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drawings/drawing2.xml" ContentType="application/vnd.openxmlformats-officedocument.drawing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drawings/drawing3.xml" ContentType="application/vnd.openxmlformats-officedocument.drawing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drawings/drawing4.xml" ContentType="application/vnd.openxmlformats-officedocument.drawing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drawings/drawing5.xml" ContentType="application/vnd.openxmlformats-officedocument.drawing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drawings/drawing6.xml" ContentType="application/vnd.openxmlformats-officedocument.drawing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drawings/drawing12.xml" ContentType="application/vnd.openxmlformats-officedocument.drawing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WbkAfspraken"/>
  <mc:AlternateContent xmlns:mc="http://schemas.openxmlformats.org/markup-compatibility/2006">
    <mc:Choice Requires="x15">
      <x15ac:absPath xmlns:x15ac="http://schemas.microsoft.com/office/spreadsheetml/2010/11/ac" url="\\psf\Dropbox\Excel\Afspraken 2016\TestOmgeving\Pelikaan\ICAP\"/>
    </mc:Choice>
  </mc:AlternateContent>
  <bookViews>
    <workbookView xWindow="-15" yWindow="6120" windowWidth="19230" windowHeight="2730" tabRatio="912" firstSheet="44" activeTab="52"/>
  </bookViews>
  <sheets>
    <sheet name="Global--&gt;" sheetId="76" r:id="rId1"/>
    <sheet name="GlobGuiMedDisc" sheetId="13" r:id="rId2"/>
    <sheet name="GlobBerMedDisc" sheetId="14" r:id="rId3"/>
    <sheet name="GlobSettings" sheetId="75" r:id="rId4"/>
    <sheet name="GlobNames" sheetId="77" r:id="rId5"/>
    <sheet name="GlobBerOpm" sheetId="4" r:id="rId6"/>
    <sheet name="GlobBerConv" sheetId="25" r:id="rId7"/>
    <sheet name="GlobTblParEnt" sheetId="80" r:id="rId8"/>
    <sheet name="GlobTblEnt" sheetId="68" r:id="rId9"/>
    <sheet name="GlobBerNorm" sheetId="19" r:id="rId10"/>
    <sheet name="GlobTemp" sheetId="7" r:id="rId11"/>
    <sheet name="Patient--&gt;" sheetId="65" r:id="rId12"/>
    <sheet name="PatText" sheetId="9" r:id="rId13"/>
    <sheet name="PatData" sheetId="8" r:id="rId14"/>
    <sheet name="PatDetails" sheetId="6" r:id="rId15"/>
    <sheet name="Pediatrie--&gt;" sheetId="63" r:id="rId16"/>
    <sheet name="PedGuiMedIV" sheetId="10" r:id="rId17"/>
    <sheet name="PedBerMedIV" sheetId="12" r:id="rId18"/>
    <sheet name="PedTblMedIV" sheetId="11" r:id="rId19"/>
    <sheet name="PedTblMedDisc" sheetId="69" r:id="rId20"/>
    <sheet name="PedGuiLijnPM" sheetId="17" r:id="rId21"/>
    <sheet name="PedBerIVenPM" sheetId="18" r:id="rId22"/>
    <sheet name="PedTblIV" sheetId="70" r:id="rId23"/>
    <sheet name="PedGuiEntTPN" sheetId="20" r:id="rId24"/>
    <sheet name="PedBerEnt" sheetId="27" r:id="rId25"/>
    <sheet name="PedBerTPN" sheetId="21" r:id="rId26"/>
    <sheet name="PedBerTot" sheetId="24" r:id="rId27"/>
    <sheet name="PedTblParEnt" sheetId="81" r:id="rId28"/>
    <sheet name="PedTblEnt" sheetId="26" r:id="rId29"/>
    <sheet name="PedGuiLab" sheetId="58" r:id="rId30"/>
    <sheet name="PedBerLab" sheetId="57" r:id="rId31"/>
    <sheet name="PedGuiAfspr" sheetId="60" r:id="rId32"/>
    <sheet name="PedBerAfspr" sheetId="59" r:id="rId33"/>
    <sheet name="PedTblAfspr" sheetId="51" r:id="rId34"/>
    <sheet name="PedGuiAcuut" sheetId="3" r:id="rId35"/>
    <sheet name="PedTblLengte" sheetId="1" r:id="rId36"/>
    <sheet name="PedTblGew" sheetId="2" r:id="rId37"/>
    <sheet name="PedPrtAfspr" sheetId="5" r:id="rId38"/>
    <sheet name="PedPrtMedDisc" sheetId="16" r:id="rId39"/>
    <sheet name="PedTblTijden" sheetId="15" r:id="rId40"/>
    <sheet name="PedPrtTPN2tot6" sheetId="28" r:id="rId41"/>
    <sheet name="PedPrtTPN7tot15" sheetId="29" r:id="rId42"/>
    <sheet name="PedPrtTPN16tot30" sheetId="30" r:id="rId43"/>
    <sheet name="PedTPN31tot50" sheetId="31" r:id="rId44"/>
    <sheet name="PedPrtTPN50" sheetId="32" r:id="rId45"/>
    <sheet name="Neo--&gt;" sheetId="64" r:id="rId46"/>
    <sheet name="NeoGuiInfB" sheetId="39" r:id="rId47"/>
    <sheet name="NeoBerInfB" sheetId="45" r:id="rId48"/>
    <sheet name="NeoDataInfB" sheetId="78" r:id="rId49"/>
    <sheet name="NeoPrtWerkbr" sheetId="74" r:id="rId50"/>
    <sheet name="NeoTblMedIV" sheetId="71" r:id="rId51"/>
    <sheet name="NeoBerAdvies" sheetId="40" r:id="rId52"/>
    <sheet name="NeoTblEnt" sheetId="79" r:id="rId53"/>
    <sheet name="NeoTblLijst" sheetId="42" r:id="rId54"/>
    <sheet name="NeoPrtMedDisc" sheetId="61" r:id="rId55"/>
    <sheet name="NeoTblTijden" sheetId="62" r:id="rId56"/>
    <sheet name="NeoGuiAfspr" sheetId="50" r:id="rId57"/>
    <sheet name="NeoBerAfspr" sheetId="52" r:id="rId58"/>
    <sheet name="NeoGuiLab" sheetId="56" r:id="rId59"/>
    <sheet name="NeoBerLab" sheetId="55" r:id="rId60"/>
    <sheet name="NeoGuiAcuut" sheetId="49" r:id="rId61"/>
    <sheet name="NeoPrtAfspr" sheetId="33" r:id="rId62"/>
    <sheet name="NeoPrtApoth" sheetId="38" r:id="rId63"/>
  </sheets>
  <functionGroups builtInGroupCount="18"/>
  <definedNames>
    <definedName name="__0_PatNum">PatDetails!$B$1</definedName>
    <definedName name="__1_Bed">PatDetails!$B$2</definedName>
    <definedName name="__2_AchterNaam">PatDetails!$B$3</definedName>
    <definedName name="__3_VoorNaam">PatDetails!$B$4</definedName>
    <definedName name="__4_GebDatum">PatDetails!$B$5</definedName>
    <definedName name="_xlnm._FilterDatabase" localSheetId="4" hidden="1">GlobNames!$A$1:$I$1948</definedName>
    <definedName name="_xlnm._FilterDatabase" localSheetId="10" hidden="1">GlobTemp!$A$2:$B$437</definedName>
    <definedName name="_xlnm._FilterDatabase" localSheetId="13" hidden="1">PatData!$A$1:$P$631</definedName>
    <definedName name="_Glob_MedDisc_ATC_01">GlobBerMedDisc!$AH$2</definedName>
    <definedName name="_Glob_MedDisc_ATC_02">GlobBerMedDisc!$AH$3</definedName>
    <definedName name="_Glob_MedDisc_ATC_03">GlobBerMedDisc!$AH$4</definedName>
    <definedName name="_Glob_MedDisc_ATC_04">GlobBerMedDisc!$AH$5</definedName>
    <definedName name="_Glob_MedDisc_ATC_05">GlobBerMedDisc!$AH$6</definedName>
    <definedName name="_Glob_MedDisc_ATC_06">GlobBerMedDisc!$AH$7</definedName>
    <definedName name="_Glob_MedDisc_ATC_07">GlobBerMedDisc!$AH$8</definedName>
    <definedName name="_Glob_MedDisc_ATC_08">GlobBerMedDisc!$AH$9</definedName>
    <definedName name="_Glob_MedDisc_ATC_09">GlobBerMedDisc!$AH$10</definedName>
    <definedName name="_Glob_MedDisc_ATC_10">GlobBerMedDisc!$AH$11</definedName>
    <definedName name="_Glob_MedDisc_ATC_11">GlobBerMedDisc!$AH$12</definedName>
    <definedName name="_Glob_MedDisc_ATC_12">GlobBerMedDisc!$AH$13</definedName>
    <definedName name="_Glob_MedDisc_ATC_13">GlobBerMedDisc!$AH$14</definedName>
    <definedName name="_Glob_MedDisc_ATC_14">GlobBerMedDisc!$AH$15</definedName>
    <definedName name="_Glob_MedDisc_ATC_15">GlobBerMedDisc!$AH$16</definedName>
    <definedName name="_Glob_MedDisc_ATC_16">GlobBerMedDisc!$AH$17</definedName>
    <definedName name="_Glob_MedDisc_ATC_17">GlobBerMedDisc!$AH$18</definedName>
    <definedName name="_Glob_MedDisc_ATC_18">GlobBerMedDisc!$AH$19</definedName>
    <definedName name="_Glob_MedDisc_ATC_19">GlobBerMedDisc!$AH$20</definedName>
    <definedName name="_Glob_MedDisc_ATC_20">GlobBerMedDisc!$AH$21</definedName>
    <definedName name="_Glob_MedDisc_ATC_21">GlobBerMedDisc!$AH$22</definedName>
    <definedName name="_Glob_MedDisc_ATC_22">GlobBerMedDisc!$AH$23</definedName>
    <definedName name="_Glob_MedDisc_ATC_23">GlobBerMedDisc!$AH$24</definedName>
    <definedName name="_Glob_MedDisc_ATC_24">GlobBerMedDisc!$AH$25</definedName>
    <definedName name="_Glob_MedDisc_ATC_25">GlobBerMedDisc!$AH$26</definedName>
    <definedName name="_Glob_MedDisc_ATC_26">GlobBerMedDisc!$AH$27</definedName>
    <definedName name="_Glob_MedDisc_ATC_27">GlobBerMedDisc!$AH$28</definedName>
    <definedName name="_Glob_MedDisc_ATC_28">GlobBerMedDisc!$AH$29</definedName>
    <definedName name="_Glob_MedDisc_ATC_29">GlobBerMedDisc!$AH$30</definedName>
    <definedName name="_Glob_MedDisc_ATC_30">GlobBerMedDisc!$AH$31</definedName>
    <definedName name="_Glob_MedDisc_DoseEenh_01">GlobBerMedDisc!$F$2</definedName>
    <definedName name="_Glob_MedDisc_DoseEenh_02">GlobBerMedDisc!$F$3</definedName>
    <definedName name="_Glob_MedDisc_DoseEenh_03">GlobBerMedDisc!$F$4</definedName>
    <definedName name="_Glob_MedDisc_DoseEenh_04">GlobBerMedDisc!$F$5</definedName>
    <definedName name="_Glob_MedDisc_DoseEenh_05">GlobBerMedDisc!$F$6</definedName>
    <definedName name="_Glob_MedDisc_DoseEenh_06">GlobBerMedDisc!$F$7</definedName>
    <definedName name="_Glob_MedDisc_DoseEenh_07">GlobBerMedDisc!$F$8</definedName>
    <definedName name="_Glob_MedDisc_DoseEenh_08">GlobBerMedDisc!$F$9</definedName>
    <definedName name="_Glob_MedDisc_DoseEenh_09">GlobBerMedDisc!$F$10</definedName>
    <definedName name="_Glob_MedDisc_DoseEenh_10">GlobBerMedDisc!$F$11</definedName>
    <definedName name="_Glob_MedDisc_DoseEenh_11">GlobBerMedDisc!$F$12</definedName>
    <definedName name="_Glob_MedDisc_DoseEenh_12">GlobBerMedDisc!$F$13</definedName>
    <definedName name="_Glob_MedDisc_DoseEenh_13">GlobBerMedDisc!$F$14</definedName>
    <definedName name="_Glob_MedDisc_DoseEenh_14">GlobBerMedDisc!$F$15</definedName>
    <definedName name="_Glob_MedDisc_DoseEenh_15">GlobBerMedDisc!$F$16</definedName>
    <definedName name="_Glob_MedDisc_DoseEenh_16">GlobBerMedDisc!$F$17</definedName>
    <definedName name="_Glob_MedDisc_DoseEenh_17">GlobBerMedDisc!$F$18</definedName>
    <definedName name="_Glob_MedDisc_DoseEenh_18">GlobBerMedDisc!$F$19</definedName>
    <definedName name="_Glob_MedDisc_DoseEenh_19">GlobBerMedDisc!$F$20</definedName>
    <definedName name="_Glob_MedDisc_DoseEenh_20">GlobBerMedDisc!$F$21</definedName>
    <definedName name="_Glob_MedDisc_DoseEenh_21">GlobBerMedDisc!$F$22</definedName>
    <definedName name="_Glob_MedDisc_DoseEenh_22">GlobBerMedDisc!$F$23</definedName>
    <definedName name="_Glob_MedDisc_DoseEenh_23">GlobBerMedDisc!$F$24</definedName>
    <definedName name="_Glob_MedDisc_DoseEenh_24">GlobBerMedDisc!$F$25</definedName>
    <definedName name="_Glob_MedDisc_DoseEenh_25">GlobBerMedDisc!$F$26</definedName>
    <definedName name="_Glob_MedDisc_DoseEenh_26">GlobBerMedDisc!$F$27</definedName>
    <definedName name="_Glob_MedDisc_DoseEenh_27">GlobBerMedDisc!$F$28</definedName>
    <definedName name="_Glob_MedDisc_DoseEenh_28">GlobBerMedDisc!$F$29</definedName>
    <definedName name="_Glob_MedDisc_DoseEenh_29">GlobBerMedDisc!$F$30</definedName>
    <definedName name="_Glob_MedDisc_DoseEenh_30">GlobBerMedDisc!$F$31</definedName>
    <definedName name="_Glob_MedDisc_DoseHoev_01">GlobBerMedDisc!$G$2</definedName>
    <definedName name="_Glob_MedDisc_DoseHoev_02">GlobBerMedDisc!$G$3</definedName>
    <definedName name="_Glob_MedDisc_DoseHoev_03">GlobBerMedDisc!$G$4</definedName>
    <definedName name="_Glob_MedDisc_DoseHoev_04">GlobBerMedDisc!$G$5</definedName>
    <definedName name="_Glob_MedDisc_DoseHoev_05">GlobBerMedDisc!$G$6</definedName>
    <definedName name="_Glob_MedDisc_DoseHoev_06">GlobBerMedDisc!$G$7</definedName>
    <definedName name="_Glob_MedDisc_DoseHoev_07">GlobBerMedDisc!$G$8</definedName>
    <definedName name="_Glob_MedDisc_DoseHoev_08">GlobBerMedDisc!$G$9</definedName>
    <definedName name="_Glob_MedDisc_DoseHoev_09">GlobBerMedDisc!$G$10</definedName>
    <definedName name="_Glob_MedDisc_DoseHoev_10">GlobBerMedDisc!$G$11</definedName>
    <definedName name="_Glob_MedDisc_DoseHoev_11">GlobBerMedDisc!$G$12</definedName>
    <definedName name="_Glob_MedDisc_DoseHoev_12">GlobBerMedDisc!$G$13</definedName>
    <definedName name="_Glob_MedDisc_DoseHoev_13">GlobBerMedDisc!$G$14</definedName>
    <definedName name="_Glob_MedDisc_DoseHoev_14">GlobBerMedDisc!$G$15</definedName>
    <definedName name="_Glob_MedDisc_DoseHoev_15">GlobBerMedDisc!$G$16</definedName>
    <definedName name="_Glob_MedDisc_DoseHoev_16">GlobBerMedDisc!$G$17</definedName>
    <definedName name="_Glob_MedDisc_DoseHoev_17">GlobBerMedDisc!$G$18</definedName>
    <definedName name="_Glob_MedDisc_DoseHoev_18">GlobBerMedDisc!$G$19</definedName>
    <definedName name="_Glob_MedDisc_DoseHoev_19">GlobBerMedDisc!$G$20</definedName>
    <definedName name="_Glob_MedDisc_DoseHoev_20">GlobBerMedDisc!$G$21</definedName>
    <definedName name="_Glob_MedDisc_DoseHoev_21">GlobBerMedDisc!$G$22</definedName>
    <definedName name="_Glob_MedDisc_DoseHoev_22">GlobBerMedDisc!$G$23</definedName>
    <definedName name="_Glob_MedDisc_DoseHoev_23">GlobBerMedDisc!$G$24</definedName>
    <definedName name="_Glob_MedDisc_DoseHoev_24">GlobBerMedDisc!$G$25</definedName>
    <definedName name="_Glob_MedDisc_DoseHoev_25">GlobBerMedDisc!$G$26</definedName>
    <definedName name="_Glob_MedDisc_DoseHoev_26">GlobBerMedDisc!$G$27</definedName>
    <definedName name="_Glob_MedDisc_DoseHoev_27">GlobBerMedDisc!$G$28</definedName>
    <definedName name="_Glob_MedDisc_DoseHoev_28">GlobBerMedDisc!$G$29</definedName>
    <definedName name="_Glob_MedDisc_DoseHoev_29">GlobBerMedDisc!$G$30</definedName>
    <definedName name="_Glob_MedDisc_DoseHoev_30">GlobBerMedDisc!$G$31</definedName>
    <definedName name="_Glob_MedDisc_Etiket_01">GlobBerMedDisc!$AK$2</definedName>
    <definedName name="_Glob_MedDisc_Etiket_02">GlobBerMedDisc!$AK$3</definedName>
    <definedName name="_Glob_MedDisc_Etiket_03">GlobBerMedDisc!$AK$4</definedName>
    <definedName name="_Glob_MedDisc_Etiket_04">GlobBerMedDisc!$AK$5</definedName>
    <definedName name="_Glob_MedDisc_Etiket_05">GlobBerMedDisc!$AK$6</definedName>
    <definedName name="_Glob_MedDisc_Etiket_06">GlobBerMedDisc!$AK$7</definedName>
    <definedName name="_Glob_MedDisc_Etiket_07">GlobBerMedDisc!$AK$8</definedName>
    <definedName name="_Glob_MedDisc_Etiket_08">GlobBerMedDisc!$AK$9</definedName>
    <definedName name="_Glob_MedDisc_Etiket_09">GlobBerMedDisc!$AK$10</definedName>
    <definedName name="_Glob_MedDisc_Etiket_10">GlobBerMedDisc!$AK$11</definedName>
    <definedName name="_Glob_MedDisc_Etiket_11">GlobBerMedDisc!$AK$12</definedName>
    <definedName name="_Glob_MedDisc_Etiket_12">GlobBerMedDisc!$AK$13</definedName>
    <definedName name="_Glob_MedDisc_Etiket_13">GlobBerMedDisc!$AK$14</definedName>
    <definedName name="_Glob_MedDisc_Etiket_14">GlobBerMedDisc!$AK$15</definedName>
    <definedName name="_Glob_MedDisc_Etiket_15">GlobBerMedDisc!$AK$16</definedName>
    <definedName name="_Glob_MedDisc_Etiket_16">GlobBerMedDisc!$AK$17</definedName>
    <definedName name="_Glob_MedDisc_Etiket_17">GlobBerMedDisc!$AK$18</definedName>
    <definedName name="_Glob_MedDisc_Etiket_18">GlobBerMedDisc!$AK$19</definedName>
    <definedName name="_Glob_MedDisc_Etiket_19">GlobBerMedDisc!$AK$20</definedName>
    <definedName name="_Glob_MedDisc_Etiket_20">GlobBerMedDisc!$AK$21</definedName>
    <definedName name="_Glob_MedDisc_Etiket_21">GlobBerMedDisc!$AK$22</definedName>
    <definedName name="_Glob_MedDisc_Etiket_22">GlobBerMedDisc!$AK$23</definedName>
    <definedName name="_Glob_MedDisc_Etiket_23">GlobBerMedDisc!$AK$24</definedName>
    <definedName name="_Glob_MedDisc_Etiket_24">GlobBerMedDisc!$AK$25</definedName>
    <definedName name="_Glob_MedDisc_Etiket_25">GlobBerMedDisc!$AK$26</definedName>
    <definedName name="_Glob_MedDisc_Etiket_26">GlobBerMedDisc!$AK$27</definedName>
    <definedName name="_Glob_MedDisc_Etiket_27">GlobBerMedDisc!$AK$28</definedName>
    <definedName name="_Glob_MedDisc_Etiket_28">GlobBerMedDisc!$AK$29</definedName>
    <definedName name="_Glob_MedDisc_Etiket_29">GlobBerMedDisc!$AK$30</definedName>
    <definedName name="_Glob_MedDisc_Etiket_30">GlobBerMedDisc!$AK$31</definedName>
    <definedName name="_Glob_MedDisc_Generic_01">GlobBerMedDisc!$D$2</definedName>
    <definedName name="_Glob_MedDisc_Generic_02">GlobBerMedDisc!$D$3</definedName>
    <definedName name="_Glob_MedDisc_Generic_03">GlobBerMedDisc!$D$4</definedName>
    <definedName name="_Glob_MedDisc_Generic_04">GlobBerMedDisc!$D$5</definedName>
    <definedName name="_Glob_MedDisc_Generic_05">GlobBerMedDisc!$D$6</definedName>
    <definedName name="_Glob_MedDisc_Generic_06">GlobBerMedDisc!$D$7</definedName>
    <definedName name="_Glob_MedDisc_Generic_07">GlobBerMedDisc!$D$8</definedName>
    <definedName name="_Glob_MedDisc_Generic_08">GlobBerMedDisc!$D$9</definedName>
    <definedName name="_Glob_MedDisc_Generic_09">GlobBerMedDisc!$D$10</definedName>
    <definedName name="_Glob_MedDisc_Generic_10">GlobBerMedDisc!$D$11</definedName>
    <definedName name="_Glob_MedDisc_Generic_11">GlobBerMedDisc!$D$12</definedName>
    <definedName name="_Glob_MedDisc_Generic_12">GlobBerMedDisc!$D$13</definedName>
    <definedName name="_Glob_MedDisc_Generic_13">GlobBerMedDisc!$D$14</definedName>
    <definedName name="_Glob_MedDisc_Generic_14">GlobBerMedDisc!$D$15</definedName>
    <definedName name="_Glob_MedDisc_Generic_15">GlobBerMedDisc!$D$16</definedName>
    <definedName name="_Glob_MedDisc_Generic_16">GlobBerMedDisc!$D$17</definedName>
    <definedName name="_Glob_MedDisc_Generic_17">GlobBerMedDisc!$D$18</definedName>
    <definedName name="_Glob_MedDisc_Generic_18">GlobBerMedDisc!$D$19</definedName>
    <definedName name="_Glob_MedDisc_Generic_19">GlobBerMedDisc!$D$20</definedName>
    <definedName name="_Glob_MedDisc_Generic_20">GlobBerMedDisc!$D$21</definedName>
    <definedName name="_Glob_MedDisc_Generic_21">GlobBerMedDisc!$D$22</definedName>
    <definedName name="_Glob_MedDisc_Generic_22">GlobBerMedDisc!$D$23</definedName>
    <definedName name="_Glob_MedDisc_Generic_23">GlobBerMedDisc!$D$24</definedName>
    <definedName name="_Glob_MedDisc_Generic_24">GlobBerMedDisc!$D$25</definedName>
    <definedName name="_Glob_MedDisc_Generic_25">GlobBerMedDisc!$D$26</definedName>
    <definedName name="_Glob_MedDisc_Generic_26">GlobBerMedDisc!$D$27</definedName>
    <definedName name="_Glob_MedDisc_Generic_27">GlobBerMedDisc!$D$28</definedName>
    <definedName name="_Glob_MedDisc_Generic_28">GlobBerMedDisc!$D$29</definedName>
    <definedName name="_Glob_MedDisc_Generic_29">GlobBerMedDisc!$D$30</definedName>
    <definedName name="_Glob_MedDisc_Generic_30">GlobBerMedDisc!$D$31</definedName>
    <definedName name="_Glob_MedDisc_GPK_01">GlobBerMedDisc!$U$2</definedName>
    <definedName name="_Glob_MedDisc_GPK_02">GlobBerMedDisc!$U$3</definedName>
    <definedName name="_Glob_MedDisc_GPK_03">GlobBerMedDisc!$U$4</definedName>
    <definedName name="_Glob_MedDisc_GPK_04">GlobBerMedDisc!$U$5</definedName>
    <definedName name="_Glob_MedDisc_GPK_05">GlobBerMedDisc!$U$6</definedName>
    <definedName name="_Glob_MedDisc_GPK_06">GlobBerMedDisc!$U$7</definedName>
    <definedName name="_Glob_MedDisc_GPK_07">GlobBerMedDisc!$U$8</definedName>
    <definedName name="_Glob_MedDisc_GPK_08">GlobBerMedDisc!$U$9</definedName>
    <definedName name="_Glob_MedDisc_GPK_09">GlobBerMedDisc!$U$10</definedName>
    <definedName name="_Glob_MedDisc_GPK_10">GlobBerMedDisc!$U$11</definedName>
    <definedName name="_Glob_MedDisc_GPK_11">GlobBerMedDisc!$U$12</definedName>
    <definedName name="_Glob_MedDisc_GPK_12">GlobBerMedDisc!$U$13</definedName>
    <definedName name="_Glob_MedDisc_GPK_13">GlobBerMedDisc!$U$14</definedName>
    <definedName name="_Glob_MedDisc_GPK_14">GlobBerMedDisc!$U$15</definedName>
    <definedName name="_Glob_MedDisc_GPK_15">GlobBerMedDisc!$U$16</definedName>
    <definedName name="_Glob_MedDisc_GPK_16">GlobBerMedDisc!$U$17</definedName>
    <definedName name="_Glob_MedDisc_GPK_17">GlobBerMedDisc!$U$18</definedName>
    <definedName name="_Glob_MedDisc_GPK_18">GlobBerMedDisc!$U$19</definedName>
    <definedName name="_Glob_MedDisc_GPK_19">GlobBerMedDisc!$U$20</definedName>
    <definedName name="_Glob_MedDisc_GPK_20">GlobBerMedDisc!$U$21</definedName>
    <definedName name="_Glob_MedDisc_GPK_21">GlobBerMedDisc!$U$22</definedName>
    <definedName name="_Glob_MedDisc_GPK_22">GlobBerMedDisc!$U$23</definedName>
    <definedName name="_Glob_MedDisc_GPK_23">GlobBerMedDisc!$U$24</definedName>
    <definedName name="_Glob_MedDisc_GPK_24">GlobBerMedDisc!$U$25</definedName>
    <definedName name="_Glob_MedDisc_GPK_25">GlobBerMedDisc!$U$26</definedName>
    <definedName name="_Glob_MedDisc_GPK_26">GlobBerMedDisc!$U$27</definedName>
    <definedName name="_Glob_MedDisc_GPK_27">GlobBerMedDisc!$U$28</definedName>
    <definedName name="_Glob_MedDisc_GPK_28">GlobBerMedDisc!$U$29</definedName>
    <definedName name="_Glob_MedDisc_GPK_29">GlobBerMedDisc!$U$30</definedName>
    <definedName name="_Glob_MedDisc_GPK_30">GlobBerMedDisc!$U$31</definedName>
    <definedName name="_Glob_MedDisc_Ind_01">GlobBerMedDisc!$B$2</definedName>
    <definedName name="_Glob_MedDisc_Ind_02">GlobBerMedDisc!$B$3</definedName>
    <definedName name="_Glob_MedDisc_Ind_03">GlobBerMedDisc!$B$4</definedName>
    <definedName name="_Glob_MedDisc_Ind_04">GlobBerMedDisc!$B$5</definedName>
    <definedName name="_Glob_MedDisc_Ind_05">GlobBerMedDisc!$B$6</definedName>
    <definedName name="_Glob_MedDisc_Ind_06">GlobBerMedDisc!$B$7</definedName>
    <definedName name="_Glob_MedDisc_Ind_07">GlobBerMedDisc!$B$8</definedName>
    <definedName name="_Glob_MedDisc_Ind_08">GlobBerMedDisc!$B$9</definedName>
    <definedName name="_Glob_MedDisc_Ind_09">GlobBerMedDisc!$B$10</definedName>
    <definedName name="_Glob_MedDisc_Ind_10">GlobBerMedDisc!$B$11</definedName>
    <definedName name="_Glob_MedDisc_Ind_11">GlobBerMedDisc!$B$12</definedName>
    <definedName name="_Glob_MedDisc_Ind_12">GlobBerMedDisc!$B$13</definedName>
    <definedName name="_Glob_MedDisc_Ind_13">GlobBerMedDisc!$B$14</definedName>
    <definedName name="_Glob_MedDisc_Ind_14">GlobBerMedDisc!$B$15</definedName>
    <definedName name="_Glob_MedDisc_Ind_15">GlobBerMedDisc!$B$16</definedName>
    <definedName name="_Glob_MedDisc_Ind_16">GlobBerMedDisc!$B$17</definedName>
    <definedName name="_Glob_MedDisc_Ind_17">GlobBerMedDisc!$B$18</definedName>
    <definedName name="_Glob_MedDisc_Ind_18">GlobBerMedDisc!$B$19</definedName>
    <definedName name="_Glob_MedDisc_Ind_19">GlobBerMedDisc!$B$20</definedName>
    <definedName name="_Glob_MedDisc_Ind_20">GlobBerMedDisc!$B$21</definedName>
    <definedName name="_Glob_MedDisc_Ind_21">GlobBerMedDisc!$B$22</definedName>
    <definedName name="_Glob_MedDisc_Ind_22">GlobBerMedDisc!$B$23</definedName>
    <definedName name="_Glob_MedDisc_Ind_23">GlobBerMedDisc!$B$24</definedName>
    <definedName name="_Glob_MedDisc_Ind_24">GlobBerMedDisc!$B$25</definedName>
    <definedName name="_Glob_MedDisc_Ind_25">GlobBerMedDisc!$B$26</definedName>
    <definedName name="_Glob_MedDisc_Ind_26">GlobBerMedDisc!$B$27</definedName>
    <definedName name="_Glob_MedDisc_Ind_27">GlobBerMedDisc!$B$28</definedName>
    <definedName name="_Glob_MedDisc_Ind_28">GlobBerMedDisc!$B$29</definedName>
    <definedName name="_Glob_MedDisc_Ind_29">GlobBerMedDisc!$B$30</definedName>
    <definedName name="_Glob_MedDisc_Ind_30">GlobBerMedDisc!$B$31</definedName>
    <definedName name="_Glob_MedDisc_Inloop_01">GlobBerMedDisc!$Q$2</definedName>
    <definedName name="_Glob_MedDisc_Inloop_02">GlobBerMedDisc!$Q$3</definedName>
    <definedName name="_Glob_MedDisc_Inloop_03">GlobBerMedDisc!$Q$4</definedName>
    <definedName name="_Glob_MedDisc_Inloop_04">GlobBerMedDisc!$Q$5</definedName>
    <definedName name="_Glob_MedDisc_Inloop_05">GlobBerMedDisc!$Q$6</definedName>
    <definedName name="_Glob_MedDisc_Inloop_06">GlobBerMedDisc!$Q$7</definedName>
    <definedName name="_Glob_MedDisc_Inloop_07">GlobBerMedDisc!$Q$8</definedName>
    <definedName name="_Glob_MedDisc_Inloop_08">GlobBerMedDisc!$Q$9</definedName>
    <definedName name="_Glob_MedDisc_Inloop_09">GlobBerMedDisc!$Q$10</definedName>
    <definedName name="_Glob_MedDisc_Inloop_10">GlobBerMedDisc!$Q$11</definedName>
    <definedName name="_Glob_MedDisc_Inloop_11">GlobBerMedDisc!$Q$12</definedName>
    <definedName name="_Glob_MedDisc_Inloop_12">GlobBerMedDisc!$Q$13</definedName>
    <definedName name="_Glob_MedDisc_Inloop_13">GlobBerMedDisc!$Q$14</definedName>
    <definedName name="_Glob_MedDisc_Inloop_14">GlobBerMedDisc!$Q$15</definedName>
    <definedName name="_Glob_MedDisc_Inloop_15">GlobBerMedDisc!$Q$16</definedName>
    <definedName name="_Glob_MedDisc_Inloop_16">GlobBerMedDisc!$Q$17</definedName>
    <definedName name="_Glob_MedDisc_Inloop_17">GlobBerMedDisc!$Q$18</definedName>
    <definedName name="_Glob_MedDisc_Inloop_18">GlobBerMedDisc!$Q$19</definedName>
    <definedName name="_Glob_MedDisc_Inloop_19">GlobBerMedDisc!$Q$20</definedName>
    <definedName name="_Glob_MedDisc_Inloop_20">GlobBerMedDisc!$Q$21</definedName>
    <definedName name="_Glob_MedDisc_Inloop_21">GlobBerMedDisc!$Q$22</definedName>
    <definedName name="_Glob_MedDisc_Inloop_22">GlobBerMedDisc!$Q$23</definedName>
    <definedName name="_Glob_MedDisc_Inloop_23">GlobBerMedDisc!$Q$24</definedName>
    <definedName name="_Glob_MedDisc_Inloop_24">GlobBerMedDisc!$Q$25</definedName>
    <definedName name="_Glob_MedDisc_Inloop_25">GlobBerMedDisc!$Q$26</definedName>
    <definedName name="_Glob_MedDisc_Inloop_26">GlobBerMedDisc!$Q$27</definedName>
    <definedName name="_Glob_MedDisc_Inloop_27">GlobBerMedDisc!$Q$28</definedName>
    <definedName name="_Glob_MedDisc_Inloop_28">GlobBerMedDisc!$Q$29</definedName>
    <definedName name="_Glob_MedDisc_Inloop_29">GlobBerMedDisc!$Q$30</definedName>
    <definedName name="_Glob_MedDisc_Inloop_30">GlobBerMedDisc!$Q$31</definedName>
    <definedName name="_Glob_MedDisc_OplKeuze_01">GlobBerMedDisc!$O$2</definedName>
    <definedName name="_Glob_MedDisc_OplKeuze_02">GlobBerMedDisc!$O$3</definedName>
    <definedName name="_Glob_MedDisc_OplKeuze_03">GlobBerMedDisc!$O$4</definedName>
    <definedName name="_Glob_MedDisc_OplKeuze_04">GlobBerMedDisc!$O$5</definedName>
    <definedName name="_Glob_MedDisc_OplKeuze_05">GlobBerMedDisc!$O$6</definedName>
    <definedName name="_Glob_MedDisc_OplKeuze_06">GlobBerMedDisc!$O$7</definedName>
    <definedName name="_Glob_MedDisc_OplKeuze_07">GlobBerMedDisc!$O$8</definedName>
    <definedName name="_Glob_MedDisc_OplKeuze_08">GlobBerMedDisc!$O$9</definedName>
    <definedName name="_Glob_MedDisc_OplKeuze_09">GlobBerMedDisc!$O$10</definedName>
    <definedName name="_Glob_MedDisc_OplKeuze_10">GlobBerMedDisc!$O$11</definedName>
    <definedName name="_Glob_MedDisc_OplKeuze_11">GlobBerMedDisc!$O$12</definedName>
    <definedName name="_Glob_MedDisc_OplKeuze_12">GlobBerMedDisc!$O$13</definedName>
    <definedName name="_Glob_MedDisc_OplKeuze_13">GlobBerMedDisc!$O$14</definedName>
    <definedName name="_Glob_MedDisc_OplKeuze_14">GlobBerMedDisc!$O$15</definedName>
    <definedName name="_Glob_MedDisc_OplKeuze_15">GlobBerMedDisc!$O$16</definedName>
    <definedName name="_Glob_MedDisc_OplKeuze_16">GlobBerMedDisc!$O$17</definedName>
    <definedName name="_Glob_MedDisc_OplKeuze_17">GlobBerMedDisc!$O$18</definedName>
    <definedName name="_Glob_MedDisc_OplKeuze_18">GlobBerMedDisc!$O$19</definedName>
    <definedName name="_Glob_MedDisc_OplKeuze_19">GlobBerMedDisc!$O$20</definedName>
    <definedName name="_Glob_MedDisc_OplKeuze_20">GlobBerMedDisc!$O$21</definedName>
    <definedName name="_Glob_MedDisc_OplKeuze_21">GlobBerMedDisc!$O$22</definedName>
    <definedName name="_Glob_MedDisc_OplKeuze_22">GlobBerMedDisc!$O$23</definedName>
    <definedName name="_Glob_MedDisc_OplKeuze_23">GlobBerMedDisc!$O$24</definedName>
    <definedName name="_Glob_MedDisc_OplKeuze_24">GlobBerMedDisc!$O$25</definedName>
    <definedName name="_Glob_MedDisc_OplKeuze_25">GlobBerMedDisc!$O$26</definedName>
    <definedName name="_Glob_MedDisc_OplKeuze_26">GlobBerMedDisc!$O$27</definedName>
    <definedName name="_Glob_MedDisc_OplKeuze_27">GlobBerMedDisc!$O$28</definedName>
    <definedName name="_Glob_MedDisc_OplKeuze_28">GlobBerMedDisc!$O$29</definedName>
    <definedName name="_Glob_MedDisc_OplKeuze_29">GlobBerMedDisc!$O$30</definedName>
    <definedName name="_Glob_MedDisc_OplKeuze_30">GlobBerMedDisc!$O$31</definedName>
    <definedName name="_Glob_MedDisc_OplVol_01">GlobBerMedDisc!$N$2</definedName>
    <definedName name="_Glob_MedDisc_OplVol_02">GlobBerMedDisc!$N$3</definedName>
    <definedName name="_Glob_MedDisc_OplVol_03">GlobBerMedDisc!$N$4</definedName>
    <definedName name="_Glob_MedDisc_OplVol_04">GlobBerMedDisc!$N$5</definedName>
    <definedName name="_Glob_MedDisc_OplVol_05">GlobBerMedDisc!$N$6</definedName>
    <definedName name="_Glob_MedDisc_OplVol_06">GlobBerMedDisc!$N$7</definedName>
    <definedName name="_Glob_MedDisc_OplVol_07">GlobBerMedDisc!$N$8</definedName>
    <definedName name="_Glob_MedDisc_OplVol_08">GlobBerMedDisc!$N$9</definedName>
    <definedName name="_Glob_MedDisc_OplVol_09">GlobBerMedDisc!$N$10</definedName>
    <definedName name="_Glob_MedDisc_OplVol_10">GlobBerMedDisc!$N$11</definedName>
    <definedName name="_Glob_MedDisc_OplVol_11">GlobBerMedDisc!$N$12</definedName>
    <definedName name="_Glob_MedDisc_OplVol_12">GlobBerMedDisc!$N$13</definedName>
    <definedName name="_Glob_MedDisc_OplVol_13">GlobBerMedDisc!$N$14</definedName>
    <definedName name="_Glob_MedDisc_OplVol_14">GlobBerMedDisc!$N$15</definedName>
    <definedName name="_Glob_MedDisc_OplVol_15">GlobBerMedDisc!$N$16</definedName>
    <definedName name="_Glob_MedDisc_OplVol_16">GlobBerMedDisc!$N$17</definedName>
    <definedName name="_Glob_MedDisc_OplVol_17">GlobBerMedDisc!$N$18</definedName>
    <definedName name="_Glob_MedDisc_OplVol_18">GlobBerMedDisc!$N$19</definedName>
    <definedName name="_Glob_MedDisc_OplVol_19">GlobBerMedDisc!$N$20</definedName>
    <definedName name="_Glob_MedDisc_OplVol_20">GlobBerMedDisc!$N$21</definedName>
    <definedName name="_Glob_MedDisc_OplVol_21">GlobBerMedDisc!$N$22</definedName>
    <definedName name="_Glob_MedDisc_OplVol_22">GlobBerMedDisc!$N$23</definedName>
    <definedName name="_Glob_MedDisc_OplVol_23">GlobBerMedDisc!$N$24</definedName>
    <definedName name="_Glob_MedDisc_OplVol_24">GlobBerMedDisc!$N$25</definedName>
    <definedName name="_Glob_MedDisc_OplVol_25">GlobBerMedDisc!$N$26</definedName>
    <definedName name="_Glob_MedDisc_OplVol_26">GlobBerMedDisc!$N$27</definedName>
    <definedName name="_Glob_MedDisc_OplVol_27">GlobBerMedDisc!$N$28</definedName>
    <definedName name="_Glob_MedDisc_OplVol_28">GlobBerMedDisc!$N$29</definedName>
    <definedName name="_Glob_MedDisc_OplVol_29">GlobBerMedDisc!$N$30</definedName>
    <definedName name="_Glob_MedDisc_OplVol_30">GlobBerMedDisc!$N$31</definedName>
    <definedName name="_Glob_MedDisc_Opm_01">GlobBerMedDisc!$AB$2</definedName>
    <definedName name="_Glob_MedDisc_Opm_02">GlobBerMedDisc!$AB$3</definedName>
    <definedName name="_Glob_MedDisc_Opm_03">GlobBerMedDisc!$AB$4</definedName>
    <definedName name="_Glob_MedDisc_Opm_04">GlobBerMedDisc!$AB$5</definedName>
    <definedName name="_Glob_MedDisc_Opm_05">GlobBerMedDisc!$AB$6</definedName>
    <definedName name="_Glob_MedDisc_Opm_06">GlobBerMedDisc!$AB$7</definedName>
    <definedName name="_Glob_MedDisc_Opm_07">GlobBerMedDisc!$AB$8</definedName>
    <definedName name="_Glob_MedDisc_Opm_08">GlobBerMedDisc!$AB$9</definedName>
    <definedName name="_Glob_MedDisc_Opm_09">GlobBerMedDisc!$AB$10</definedName>
    <definedName name="_Glob_MedDisc_Opm_10">GlobBerMedDisc!$AB$11</definedName>
    <definedName name="_Glob_MedDisc_Opm_11">GlobBerMedDisc!$AB$12</definedName>
    <definedName name="_Glob_MedDisc_Opm_12">GlobBerMedDisc!$AB$13</definedName>
    <definedName name="_Glob_MedDisc_Opm_13">GlobBerMedDisc!$AB$14</definedName>
    <definedName name="_Glob_MedDisc_Opm_14">GlobBerMedDisc!$AB$15</definedName>
    <definedName name="_Glob_MedDisc_Opm_15">GlobBerMedDisc!$AB$16</definedName>
    <definedName name="_Glob_MedDisc_Opm_16">GlobBerMedDisc!$AB$17</definedName>
    <definedName name="_Glob_MedDisc_Opm_17">GlobBerMedDisc!$AB$18</definedName>
    <definedName name="_Glob_MedDisc_Opm_18">GlobBerMedDisc!$AB$19</definedName>
    <definedName name="_Glob_MedDisc_Opm_19">GlobBerMedDisc!$AB$20</definedName>
    <definedName name="_Glob_MedDisc_Opm_20">GlobBerMedDisc!$AB$21</definedName>
    <definedName name="_Glob_MedDisc_Opm_21">GlobBerMedDisc!$AB$22</definedName>
    <definedName name="_Glob_MedDisc_Opm_22">GlobBerMedDisc!$AB$23</definedName>
    <definedName name="_Glob_MedDisc_Opm_23">GlobBerMedDisc!$AB$24</definedName>
    <definedName name="_Glob_MedDisc_Opm_24">GlobBerMedDisc!$AB$25</definedName>
    <definedName name="_Glob_MedDisc_Opm_25">GlobBerMedDisc!$AB$26</definedName>
    <definedName name="_Glob_MedDisc_Opm_26">GlobBerMedDisc!$AB$27</definedName>
    <definedName name="_Glob_MedDisc_Opm_27">GlobBerMedDisc!$AB$28</definedName>
    <definedName name="_Glob_MedDisc_Opm_28">GlobBerMedDisc!$AB$29</definedName>
    <definedName name="_Glob_MedDisc_Opm_29">GlobBerMedDisc!$AB$30</definedName>
    <definedName name="_Glob_MedDisc_Opm_30">GlobBerMedDisc!$AB$31</definedName>
    <definedName name="_Glob_MedDisc_PRN_01">GlobBerMedDisc!$AF$2</definedName>
    <definedName name="_Glob_MedDisc_PRN_02">GlobBerMedDisc!$AF$3</definedName>
    <definedName name="_Glob_MedDisc_PRN_03">GlobBerMedDisc!$AF$4</definedName>
    <definedName name="_Glob_MedDisc_PRN_04">GlobBerMedDisc!$AF$5</definedName>
    <definedName name="_Glob_MedDisc_PRN_05">GlobBerMedDisc!$AF$6</definedName>
    <definedName name="_Glob_MedDisc_PRN_06">GlobBerMedDisc!$AF$7</definedName>
    <definedName name="_Glob_MedDisc_PRN_07">GlobBerMedDisc!$AF$8</definedName>
    <definedName name="_Glob_MedDisc_PRN_08">GlobBerMedDisc!$AF$9</definedName>
    <definedName name="_Glob_MedDisc_PRN_09">GlobBerMedDisc!$AF$10</definedName>
    <definedName name="_Glob_MedDisc_PRN_10">GlobBerMedDisc!$AF$11</definedName>
    <definedName name="_Glob_MedDisc_PRN_11">GlobBerMedDisc!$AF$12</definedName>
    <definedName name="_Glob_MedDisc_PRN_12">GlobBerMedDisc!$AF$13</definedName>
    <definedName name="_Glob_MedDisc_PRN_13">GlobBerMedDisc!$AF$14</definedName>
    <definedName name="_Glob_MedDisc_PRN_14">GlobBerMedDisc!$AF$15</definedName>
    <definedName name="_Glob_MedDisc_PRN_15">GlobBerMedDisc!$AF$16</definedName>
    <definedName name="_Glob_MedDisc_PRN_16">GlobBerMedDisc!$AF$17</definedName>
    <definedName name="_Glob_MedDisc_PRN_17">GlobBerMedDisc!$AF$18</definedName>
    <definedName name="_Glob_MedDisc_PRN_18">GlobBerMedDisc!$AF$19</definedName>
    <definedName name="_Glob_MedDisc_PRN_19">GlobBerMedDisc!$AF$20</definedName>
    <definedName name="_Glob_MedDisc_PRN_20">GlobBerMedDisc!$AF$21</definedName>
    <definedName name="_Glob_MedDisc_PRN_21">GlobBerMedDisc!$AF$22</definedName>
    <definedName name="_Glob_MedDisc_PRN_22">GlobBerMedDisc!$AF$23</definedName>
    <definedName name="_Glob_MedDisc_PRN_23">GlobBerMedDisc!$AF$24</definedName>
    <definedName name="_Glob_MedDisc_PRN_24">GlobBerMedDisc!$AF$25</definedName>
    <definedName name="_Glob_MedDisc_PRN_25">GlobBerMedDisc!$AF$26</definedName>
    <definedName name="_Glob_MedDisc_PRN_26">GlobBerMedDisc!$AF$27</definedName>
    <definedName name="_Glob_MedDisc_PRN_27">GlobBerMedDisc!$AF$28</definedName>
    <definedName name="_Glob_MedDisc_PRN_28">GlobBerMedDisc!$AF$29</definedName>
    <definedName name="_Glob_MedDisc_PRN_29">GlobBerMedDisc!$AF$30</definedName>
    <definedName name="_Glob_MedDisc_PRN_30">GlobBerMedDisc!$AF$31</definedName>
    <definedName name="_Glob_MedDisc_PRNText_01">GlobBerMedDisc!$AG$2</definedName>
    <definedName name="_Glob_MedDisc_PRNText_02">GlobBerMedDisc!$AG$3</definedName>
    <definedName name="_Glob_MedDisc_PRNText_03">GlobBerMedDisc!$AG$4</definedName>
    <definedName name="_Glob_MedDisc_PRNText_04">GlobBerMedDisc!$AG$5</definedName>
    <definedName name="_Glob_MedDisc_PRNText_05">GlobBerMedDisc!$AG$6</definedName>
    <definedName name="_Glob_MedDisc_PRNText_06">GlobBerMedDisc!$AG$7</definedName>
    <definedName name="_Glob_MedDisc_PRNText_07">GlobBerMedDisc!$AG$8</definedName>
    <definedName name="_Glob_MedDisc_PRNText_08">GlobBerMedDisc!$AG$9</definedName>
    <definedName name="_Glob_MedDisc_PRNText_09">GlobBerMedDisc!$AG$10</definedName>
    <definedName name="_Glob_MedDisc_PRNText_10">GlobBerMedDisc!$AG$11</definedName>
    <definedName name="_Glob_MedDisc_PRNText_11">GlobBerMedDisc!$AG$12</definedName>
    <definedName name="_Glob_MedDisc_PRNText_12">GlobBerMedDisc!$AG$13</definedName>
    <definedName name="_Glob_MedDisc_PRNText_13">GlobBerMedDisc!$AG$14</definedName>
    <definedName name="_Glob_MedDisc_PRNText_14">GlobBerMedDisc!$AG$15</definedName>
    <definedName name="_Glob_MedDisc_PRNText_15">GlobBerMedDisc!$AG$16</definedName>
    <definedName name="_Glob_MedDisc_PRNText_16">GlobBerMedDisc!$AG$17</definedName>
    <definedName name="_Glob_MedDisc_PRNText_17">GlobBerMedDisc!$AG$18</definedName>
    <definedName name="_Glob_MedDisc_PRNText_18">GlobBerMedDisc!$AG$19</definedName>
    <definedName name="_Glob_MedDisc_PRNText_19">GlobBerMedDisc!$AG$20</definedName>
    <definedName name="_Glob_MedDisc_PRNText_20">GlobBerMedDisc!$AG$21</definedName>
    <definedName name="_Glob_MedDisc_PRNText_21">GlobBerMedDisc!$AG$22</definedName>
    <definedName name="_Glob_MedDisc_PRNText_22">GlobBerMedDisc!$AG$23</definedName>
    <definedName name="_Glob_MedDisc_PRNText_23">GlobBerMedDisc!$AG$24</definedName>
    <definedName name="_Glob_MedDisc_PRNText_24">GlobBerMedDisc!$AG$25</definedName>
    <definedName name="_Glob_MedDisc_PRNText_25">GlobBerMedDisc!$AG$26</definedName>
    <definedName name="_Glob_MedDisc_PRNText_26">GlobBerMedDisc!$AG$27</definedName>
    <definedName name="_Glob_MedDisc_PRNText_27">GlobBerMedDisc!$AG$28</definedName>
    <definedName name="_Glob_MedDisc_PRNText_28">GlobBerMedDisc!$AG$29</definedName>
    <definedName name="_Glob_MedDisc_PRNText_29">GlobBerMedDisc!$AG$30</definedName>
    <definedName name="_Glob_MedDisc_PRNText_30">GlobBerMedDisc!$AG$31</definedName>
    <definedName name="_Glob_MedDisc_StandDose_01">GlobBerMedDisc!$E$2</definedName>
    <definedName name="_Glob_MedDisc_StandDose_02">GlobBerMedDisc!$E$3</definedName>
    <definedName name="_Glob_MedDisc_StandDose_03">GlobBerMedDisc!$E$4</definedName>
    <definedName name="_Glob_MedDisc_StandDose_04">GlobBerMedDisc!$E$5</definedName>
    <definedName name="_Glob_MedDisc_StandDose_05">GlobBerMedDisc!$E$6</definedName>
    <definedName name="_Glob_MedDisc_StandDose_06">GlobBerMedDisc!$E$7</definedName>
    <definedName name="_Glob_MedDisc_StandDose_07">GlobBerMedDisc!$E$8</definedName>
    <definedName name="_Glob_MedDisc_StandDose_08">GlobBerMedDisc!$E$9</definedName>
    <definedName name="_Glob_MedDisc_StandDose_09">GlobBerMedDisc!$E$10</definedName>
    <definedName name="_Glob_MedDisc_StandDose_10">GlobBerMedDisc!$E$11</definedName>
    <definedName name="_Glob_MedDisc_StandDose_11">GlobBerMedDisc!$E$12</definedName>
    <definedName name="_Glob_MedDisc_StandDose_12">GlobBerMedDisc!$E$13</definedName>
    <definedName name="_Glob_MedDisc_StandDose_13">GlobBerMedDisc!$E$14</definedName>
    <definedName name="_Glob_MedDisc_StandDose_14">GlobBerMedDisc!$E$15</definedName>
    <definedName name="_Glob_MedDisc_StandDose_15">GlobBerMedDisc!$E$16</definedName>
    <definedName name="_Glob_MedDisc_StandDose_16">GlobBerMedDisc!$E$17</definedName>
    <definedName name="_Glob_MedDisc_StandDose_17">GlobBerMedDisc!$E$18</definedName>
    <definedName name="_Glob_MedDisc_StandDose_18">GlobBerMedDisc!$E$19</definedName>
    <definedName name="_Glob_MedDisc_StandDose_19">GlobBerMedDisc!$E$20</definedName>
    <definedName name="_Glob_MedDisc_StandDose_20">GlobBerMedDisc!$E$21</definedName>
    <definedName name="_Glob_MedDisc_StandDose_21">GlobBerMedDisc!$E$22</definedName>
    <definedName name="_Glob_MedDisc_StandDose_22">GlobBerMedDisc!$E$23</definedName>
    <definedName name="_Glob_MedDisc_StandDose_23">GlobBerMedDisc!$E$24</definedName>
    <definedName name="_Glob_MedDisc_StandDose_24">GlobBerMedDisc!$E$25</definedName>
    <definedName name="_Glob_MedDisc_StandDose_25">GlobBerMedDisc!$E$26</definedName>
    <definedName name="_Glob_MedDisc_StandDose_26">GlobBerMedDisc!$E$27</definedName>
    <definedName name="_Glob_MedDisc_StandDose_27">GlobBerMedDisc!$E$28</definedName>
    <definedName name="_Glob_MedDisc_StandDose_28">GlobBerMedDisc!$E$29</definedName>
    <definedName name="_Glob_MedDisc_StandDose_29">GlobBerMedDisc!$E$30</definedName>
    <definedName name="_Glob_MedDisc_StandDose_30">GlobBerMedDisc!$E$31</definedName>
    <definedName name="_Glob_MedDisc_Sterkte_01">GlobBerMedDisc!$AI$2</definedName>
    <definedName name="_Glob_MedDisc_Sterkte_02">GlobBerMedDisc!$AI$3</definedName>
    <definedName name="_Glob_MedDisc_Sterkte_03">GlobBerMedDisc!$AI$4</definedName>
    <definedName name="_Glob_MedDisc_Sterkte_04">GlobBerMedDisc!$AI$5</definedName>
    <definedName name="_Glob_MedDisc_Sterkte_05">GlobBerMedDisc!$AI$6</definedName>
    <definedName name="_Glob_MedDisc_Sterkte_06">GlobBerMedDisc!$AI$7</definedName>
    <definedName name="_Glob_MedDisc_Sterkte_07">GlobBerMedDisc!$AI$8</definedName>
    <definedName name="_Glob_MedDisc_Sterkte_08">GlobBerMedDisc!$AI$9</definedName>
    <definedName name="_Glob_MedDisc_Sterkte_09">GlobBerMedDisc!$AI$10</definedName>
    <definedName name="_Glob_MedDisc_Sterkte_10">GlobBerMedDisc!$AI$11</definedName>
    <definedName name="_Glob_MedDisc_Sterkte_11">GlobBerMedDisc!$AI$12</definedName>
    <definedName name="_Glob_MedDisc_Sterkte_12">GlobBerMedDisc!$AI$13</definedName>
    <definedName name="_Glob_MedDisc_Sterkte_13">GlobBerMedDisc!$AI$14</definedName>
    <definedName name="_Glob_MedDisc_Sterkte_14">GlobBerMedDisc!$AI$15</definedName>
    <definedName name="_Glob_MedDisc_Sterkte_15">GlobBerMedDisc!$AI$16</definedName>
    <definedName name="_Glob_MedDisc_Sterkte_16">GlobBerMedDisc!$AI$17</definedName>
    <definedName name="_Glob_MedDisc_Sterkte_17">GlobBerMedDisc!$AI$18</definedName>
    <definedName name="_Glob_MedDisc_Sterkte_18">GlobBerMedDisc!$AI$19</definedName>
    <definedName name="_Glob_MedDisc_Sterkte_19">GlobBerMedDisc!$AI$20</definedName>
    <definedName name="_Glob_MedDisc_Sterkte_20">GlobBerMedDisc!$AI$21</definedName>
    <definedName name="_Glob_MedDisc_Sterkte_21">GlobBerMedDisc!$AI$22</definedName>
    <definedName name="_Glob_MedDisc_Sterkte_22">GlobBerMedDisc!$AI$23</definedName>
    <definedName name="_Glob_MedDisc_Sterkte_23">GlobBerMedDisc!$AI$24</definedName>
    <definedName name="_Glob_MedDisc_Sterkte_24">GlobBerMedDisc!$AI$25</definedName>
    <definedName name="_Glob_MedDisc_Sterkte_25">GlobBerMedDisc!$AI$26</definedName>
    <definedName name="_Glob_MedDisc_Sterkte_26">GlobBerMedDisc!$AI$27</definedName>
    <definedName name="_Glob_MedDisc_Sterkte_27">GlobBerMedDisc!$AI$28</definedName>
    <definedName name="_Glob_MedDisc_Sterkte_28">GlobBerMedDisc!$AI$29</definedName>
    <definedName name="_Glob_MedDisc_Sterkte_29">GlobBerMedDisc!$AI$30</definedName>
    <definedName name="_Glob_MedDisc_Sterkte_30">GlobBerMedDisc!$AI$31</definedName>
    <definedName name="_Glob_MedDisc_SterkteEenh_01">GlobBerMedDisc!$AJ$2</definedName>
    <definedName name="_Glob_MedDisc_SterkteEenh_02">GlobBerMedDisc!$AJ$3</definedName>
    <definedName name="_Glob_MedDisc_SterkteEenh_03">GlobBerMedDisc!$AJ$4</definedName>
    <definedName name="_Glob_MedDisc_SterkteEenh_04">GlobBerMedDisc!$AJ$5</definedName>
    <definedName name="_Glob_MedDisc_SterkteEenh_05">GlobBerMedDisc!$AJ$6</definedName>
    <definedName name="_Glob_MedDisc_SterkteEenh_06">GlobBerMedDisc!$AJ$7</definedName>
    <definedName name="_Glob_MedDisc_SterkteEenh_07">GlobBerMedDisc!$AJ$8</definedName>
    <definedName name="_Glob_MedDisc_SterkteEenh_08">GlobBerMedDisc!$AJ$9</definedName>
    <definedName name="_Glob_MedDisc_SterkteEenh_09">GlobBerMedDisc!$AJ$10</definedName>
    <definedName name="_Glob_MedDisc_SterkteEenh_10">GlobBerMedDisc!$AJ$11</definedName>
    <definedName name="_Glob_MedDisc_SterkteEenh_11">GlobBerMedDisc!$AJ$12</definedName>
    <definedName name="_Glob_MedDisc_SterkteEenh_12">GlobBerMedDisc!$AJ$13</definedName>
    <definedName name="_Glob_MedDisc_SterkteEenh_13">GlobBerMedDisc!$AJ$14</definedName>
    <definedName name="_Glob_MedDisc_SterkteEenh_14">GlobBerMedDisc!$AJ$15</definedName>
    <definedName name="_Glob_MedDisc_SterkteEenh_15">GlobBerMedDisc!$AJ$16</definedName>
    <definedName name="_Glob_MedDisc_SterkteEenh_16">GlobBerMedDisc!$AJ$17</definedName>
    <definedName name="_Glob_MedDisc_SterkteEenh_17">GlobBerMedDisc!$AJ$18</definedName>
    <definedName name="_Glob_MedDisc_SterkteEenh_18">GlobBerMedDisc!$AJ$19</definedName>
    <definedName name="_Glob_MedDisc_SterkteEenh_19">GlobBerMedDisc!$AJ$20</definedName>
    <definedName name="_Glob_MedDisc_SterkteEenh_20">GlobBerMedDisc!$AJ$21</definedName>
    <definedName name="_Glob_MedDisc_SterkteEenh_21">GlobBerMedDisc!$AJ$22</definedName>
    <definedName name="_Glob_MedDisc_SterkteEenh_22">GlobBerMedDisc!$AJ$23</definedName>
    <definedName name="_Glob_MedDisc_SterkteEenh_23">GlobBerMedDisc!$AJ$24</definedName>
    <definedName name="_Glob_MedDisc_SterkteEenh_24">GlobBerMedDisc!$AJ$25</definedName>
    <definedName name="_Glob_MedDisc_SterkteEenh_25">GlobBerMedDisc!$AJ$26</definedName>
    <definedName name="_Glob_MedDisc_SterkteEenh_26">GlobBerMedDisc!$AJ$27</definedName>
    <definedName name="_Glob_MedDisc_SterkteEenh_27">GlobBerMedDisc!$AJ$28</definedName>
    <definedName name="_Glob_MedDisc_SterkteEenh_28">GlobBerMedDisc!$AJ$29</definedName>
    <definedName name="_Glob_MedDisc_SterkteEenh_29">GlobBerMedDisc!$AJ$30</definedName>
    <definedName name="_Glob_MedDisc_SterkteEenh_30">GlobBerMedDisc!$AJ$31</definedName>
    <definedName name="_Glob_MedDisc_Tijden_01">GlobBerMedDisc!$I$2</definedName>
    <definedName name="_Glob_MedDisc_Tijden_02">GlobBerMedDisc!$I$3</definedName>
    <definedName name="_Glob_MedDisc_Tijden_03">GlobBerMedDisc!$I$4</definedName>
    <definedName name="_Glob_MedDisc_Tijden_04">GlobBerMedDisc!$I$5</definedName>
    <definedName name="_Glob_MedDisc_Tijden_05">GlobBerMedDisc!$I$6</definedName>
    <definedName name="_Glob_MedDisc_Tijden_06">GlobBerMedDisc!$I$7</definedName>
    <definedName name="_Glob_MedDisc_Tijden_07">GlobBerMedDisc!$I$8</definedName>
    <definedName name="_Glob_MedDisc_Tijden_08">GlobBerMedDisc!$I$9</definedName>
    <definedName name="_Glob_MedDisc_Tijden_09">GlobBerMedDisc!$I$10</definedName>
    <definedName name="_Glob_MedDisc_Tijden_10">GlobBerMedDisc!$I$11</definedName>
    <definedName name="_Glob_MedDisc_Tijden_11">GlobBerMedDisc!$I$12</definedName>
    <definedName name="_Glob_MedDisc_Tijden_12">GlobBerMedDisc!$I$13</definedName>
    <definedName name="_Glob_MedDisc_Tijden_13">GlobBerMedDisc!$I$14</definedName>
    <definedName name="_Glob_MedDisc_Tijden_14">GlobBerMedDisc!$I$15</definedName>
    <definedName name="_Glob_MedDisc_Tijden_15">GlobBerMedDisc!$I$16</definedName>
    <definedName name="_Glob_MedDisc_Tijden_16">GlobBerMedDisc!$I$17</definedName>
    <definedName name="_Glob_MedDisc_Tijden_17">GlobBerMedDisc!$I$18</definedName>
    <definedName name="_Glob_MedDisc_Tijden_18">GlobBerMedDisc!$I$19</definedName>
    <definedName name="_Glob_MedDisc_Tijden_19">GlobBerMedDisc!$I$20</definedName>
    <definedName name="_Glob_MedDisc_Tijden_20">GlobBerMedDisc!$I$21</definedName>
    <definedName name="_Glob_MedDisc_Tijden_21">GlobBerMedDisc!$I$22</definedName>
    <definedName name="_Glob_MedDisc_Tijden_22">GlobBerMedDisc!$I$23</definedName>
    <definedName name="_Glob_MedDisc_Tijden_23">GlobBerMedDisc!$I$24</definedName>
    <definedName name="_Glob_MedDisc_Tijden_24">GlobBerMedDisc!$I$25</definedName>
    <definedName name="_Glob_MedDisc_Tijden_25">GlobBerMedDisc!$I$26</definedName>
    <definedName name="_Glob_MedDisc_Tijden_26">GlobBerMedDisc!$I$27</definedName>
    <definedName name="_Glob_MedDisc_Tijden_27">GlobBerMedDisc!$I$28</definedName>
    <definedName name="_Glob_MedDisc_Tijden_28">GlobBerMedDisc!$I$29</definedName>
    <definedName name="_Glob_MedDisc_Tijden_29">GlobBerMedDisc!$I$30</definedName>
    <definedName name="_Glob_MedDisc_Tijden_30">GlobBerMedDisc!$I$31</definedName>
    <definedName name="_Glob_MedDisc_Toed_01">GlobBerMedDisc!$L$2</definedName>
    <definedName name="_Glob_MedDisc_Toed_02">GlobBerMedDisc!$L$3</definedName>
    <definedName name="_Glob_MedDisc_Toed_03">GlobBerMedDisc!$L$4</definedName>
    <definedName name="_Glob_MedDisc_Toed_04">GlobBerMedDisc!$L$5</definedName>
    <definedName name="_Glob_MedDisc_Toed_05">GlobBerMedDisc!$L$6</definedName>
    <definedName name="_Glob_MedDisc_Toed_06">GlobBerMedDisc!$L$7</definedName>
    <definedName name="_Glob_MedDisc_Toed_07">GlobBerMedDisc!$L$8</definedName>
    <definedName name="_Glob_MedDisc_Toed_08">GlobBerMedDisc!$L$9</definedName>
    <definedName name="_Glob_MedDisc_Toed_09">GlobBerMedDisc!$L$10</definedName>
    <definedName name="_Glob_MedDisc_Toed_10">GlobBerMedDisc!$L$11</definedName>
    <definedName name="_Glob_MedDisc_Toed_11">GlobBerMedDisc!$L$12</definedName>
    <definedName name="_Glob_MedDisc_Toed_12">GlobBerMedDisc!$L$13</definedName>
    <definedName name="_Glob_MedDisc_Toed_13">GlobBerMedDisc!$L$14</definedName>
    <definedName name="_Glob_MedDisc_Toed_14">GlobBerMedDisc!$L$15</definedName>
    <definedName name="_Glob_MedDisc_Toed_15">GlobBerMedDisc!$L$16</definedName>
    <definedName name="_Glob_MedDisc_Toed_16">GlobBerMedDisc!$L$17</definedName>
    <definedName name="_Glob_MedDisc_Toed_17">GlobBerMedDisc!$L$18</definedName>
    <definedName name="_Glob_MedDisc_Toed_18">GlobBerMedDisc!$L$19</definedName>
    <definedName name="_Glob_MedDisc_Toed_19">GlobBerMedDisc!$L$20</definedName>
    <definedName name="_Glob_MedDisc_Toed_20">GlobBerMedDisc!$L$21</definedName>
    <definedName name="_Glob_MedDisc_Toed_21">GlobBerMedDisc!$L$22</definedName>
    <definedName name="_Glob_MedDisc_Toed_22">GlobBerMedDisc!$L$23</definedName>
    <definedName name="_Glob_MedDisc_Toed_23">GlobBerMedDisc!$L$24</definedName>
    <definedName name="_Glob_MedDisc_Toed_24">GlobBerMedDisc!$L$25</definedName>
    <definedName name="_Glob_MedDisc_Toed_25">GlobBerMedDisc!$L$26</definedName>
    <definedName name="_Glob_MedDisc_Toed_26">GlobBerMedDisc!$L$27</definedName>
    <definedName name="_Glob_MedDisc_Toed_27">GlobBerMedDisc!$L$28</definedName>
    <definedName name="_Glob_MedDisc_Toed_28">GlobBerMedDisc!$L$29</definedName>
    <definedName name="_Glob_MedDisc_Toed_29">GlobBerMedDisc!$L$30</definedName>
    <definedName name="_Glob_MedDisc_Toed_30">GlobBerMedDisc!$L$31</definedName>
    <definedName name="_Glob_MedDisc_Vorm_01">GlobBerMedDisc!$C$2</definedName>
    <definedName name="_Glob_MedDisc_Vorm_02">GlobBerMedDisc!$C$3</definedName>
    <definedName name="_Glob_MedDisc_Vorm_03">GlobBerMedDisc!$C$4</definedName>
    <definedName name="_Glob_MedDisc_Vorm_04">GlobBerMedDisc!$C$5</definedName>
    <definedName name="_Glob_MedDisc_Vorm_05">GlobBerMedDisc!$C$6</definedName>
    <definedName name="_Glob_MedDisc_Vorm_06">GlobBerMedDisc!$C$7</definedName>
    <definedName name="_Glob_MedDisc_Vorm_07">GlobBerMedDisc!$C$8</definedName>
    <definedName name="_Glob_MedDisc_Vorm_08">GlobBerMedDisc!$C$9</definedName>
    <definedName name="_Glob_MedDisc_Vorm_09">GlobBerMedDisc!$C$10</definedName>
    <definedName name="_Glob_MedDisc_Vorm_10">GlobBerMedDisc!$C$11</definedName>
    <definedName name="_Glob_MedDisc_Vorm_11">GlobBerMedDisc!$C$12</definedName>
    <definedName name="_Glob_MedDisc_Vorm_12">GlobBerMedDisc!$C$13</definedName>
    <definedName name="_Glob_MedDisc_Vorm_13">GlobBerMedDisc!$C$14</definedName>
    <definedName name="_Glob_MedDisc_Vorm_14">GlobBerMedDisc!$C$15</definedName>
    <definedName name="_Glob_MedDisc_Vorm_15">GlobBerMedDisc!$C$16</definedName>
    <definedName name="_Glob_MedDisc_Vorm_16">GlobBerMedDisc!$C$17</definedName>
    <definedName name="_Glob_MedDisc_Vorm_17">GlobBerMedDisc!$C$18</definedName>
    <definedName name="_Glob_MedDisc_Vorm_18">GlobBerMedDisc!$C$19</definedName>
    <definedName name="_Glob_MedDisc_Vorm_19">GlobBerMedDisc!$C$20</definedName>
    <definedName name="_Glob_MedDisc_Vorm_20">GlobBerMedDisc!$C$21</definedName>
    <definedName name="_Glob_MedDisc_Vorm_21">GlobBerMedDisc!$C$22</definedName>
    <definedName name="_Glob_MedDisc_Vorm_22">GlobBerMedDisc!$C$23</definedName>
    <definedName name="_Glob_MedDisc_Vorm_23">GlobBerMedDisc!$C$24</definedName>
    <definedName name="_Glob_MedDisc_Vorm_24">GlobBerMedDisc!$C$25</definedName>
    <definedName name="_Glob_MedDisc_Vorm_25">GlobBerMedDisc!$C$26</definedName>
    <definedName name="_Glob_MedDisc_Vorm_26">GlobBerMedDisc!$C$27</definedName>
    <definedName name="_Glob_MedDisc_Vorm_27">GlobBerMedDisc!$C$28</definedName>
    <definedName name="_Glob_MedDisc_Vorm_28">GlobBerMedDisc!$C$29</definedName>
    <definedName name="_Glob_MedDisc_Vorm_29">GlobBerMedDisc!$C$30</definedName>
    <definedName name="_Glob_MedDisc_Vorm_30">GlobBerMedDisc!$C$31</definedName>
    <definedName name="_Neo_1700_Cont_ArtLijn">NeoDataInfB!$D$2</definedName>
    <definedName name="_Neo_1700_Cont_MedKeuze_1">NeoDataInfB!$D$3</definedName>
    <definedName name="_Neo_1700_Cont_MedKeuze_2">NeoDataInfB!$D$4</definedName>
    <definedName name="_Neo_1700_Cont_MedKeuze_3">NeoDataInfB!$D$5</definedName>
    <definedName name="_Neo_1700_Cont_MedKeuze_4">NeoDataInfB!$D$6</definedName>
    <definedName name="_Neo_1700_Cont_MedKeuze_5">NeoDataInfB!$D$7</definedName>
    <definedName name="_Neo_1700_Cont_MedKeuze_6">NeoDataInfB!$D$8</definedName>
    <definedName name="_Neo_1700_Cont_MedKeuze_7">NeoDataInfB!$D$9</definedName>
    <definedName name="_Neo_1700_Cont_MedKeuze_8">NeoDataInfB!$D$10</definedName>
    <definedName name="_Neo_1700_Cont_MedKeuze_9">NeoDataInfB!$D$11</definedName>
    <definedName name="_Neo_1700_Cont_MedSterkte_1">NeoDataInfB!$D$12</definedName>
    <definedName name="_Neo_1700_Cont_MedSterkte_2">NeoDataInfB!$D$13</definedName>
    <definedName name="_Neo_1700_Cont_MedSterkte_3">NeoDataInfB!$D$14</definedName>
    <definedName name="_Neo_1700_Cont_MedSterkte_4">NeoDataInfB!$D$15</definedName>
    <definedName name="_Neo_1700_Cont_MedSterkte_5">NeoDataInfB!$D$16</definedName>
    <definedName name="_Neo_1700_Cont_MedSterkte_6">NeoDataInfB!$D$17</definedName>
    <definedName name="_Neo_1700_Cont_MedSterkte_7">NeoDataInfB!$D$18</definedName>
    <definedName name="_Neo_1700_Cont_MedSterkte_8">NeoDataInfB!$D$19</definedName>
    <definedName name="_Neo_1700_Cont_MedSterkte_9">NeoDataInfB!$D$20</definedName>
    <definedName name="_Neo_1700_Cont_MedTekst_1">NeoDataInfB!$D$21</definedName>
    <definedName name="_Neo_1700_Cont_MedTekst_2">NeoDataInfB!$D$22</definedName>
    <definedName name="_Neo_1700_Cont_OplHoev_1">NeoDataInfB!$D$23</definedName>
    <definedName name="_Neo_1700_Cont_OplHoev_2">NeoDataInfB!$D$24</definedName>
    <definedName name="_Neo_1700_Cont_OplHoev_3">NeoDataInfB!$D$25</definedName>
    <definedName name="_Neo_1700_Cont_OplHoev_4">NeoDataInfB!$D$26</definedName>
    <definedName name="_Neo_1700_Cont_OplHoev_5">NeoDataInfB!$D$27</definedName>
    <definedName name="_Neo_1700_Cont_OplHoev_6">NeoDataInfB!$D$28</definedName>
    <definedName name="_Neo_1700_Cont_OplHoev_7">NeoDataInfB!$D$29</definedName>
    <definedName name="_Neo_1700_Cont_OplHoev_8">NeoDataInfB!$D$30</definedName>
    <definedName name="_Neo_1700_Cont_OplHoev_9">NeoDataInfB!$D$31</definedName>
    <definedName name="_Neo_1700_Cont_Oplossing_01">NeoDataInfB!$D$32</definedName>
    <definedName name="_Neo_1700_Cont_Oplossing_02">NeoDataInfB!$D$33</definedName>
    <definedName name="_Neo_1700_Cont_Oplossing_03">NeoDataInfB!$D$34</definedName>
    <definedName name="_Neo_1700_Cont_Oplossing_04">NeoDataInfB!$D$35</definedName>
    <definedName name="_Neo_1700_Cont_Oplossing_05">NeoDataInfB!$D$36</definedName>
    <definedName name="_Neo_1700_Cont_Oplossing_06">NeoDataInfB!$D$37</definedName>
    <definedName name="_Neo_1700_Cont_Oplossing_07">NeoDataInfB!$D$38</definedName>
    <definedName name="_Neo_1700_Cont_Oplossing_08">NeoDataInfB!$D$39</definedName>
    <definedName name="_Neo_1700_Cont_Oplossing_09">NeoDataInfB!$D$40</definedName>
    <definedName name="_Neo_1700_Cont_Oplossing_10">NeoDataInfB!$D$41</definedName>
    <definedName name="_Neo_1700_Cont_Oplossing_11">NeoDataInfB!$D$42</definedName>
    <definedName name="_Neo_1700_Cont_Oplossing_12">NeoDataInfB!$D$43</definedName>
    <definedName name="_Neo_1700_Cont_Stand_01">NeoDataInfB!$D$44</definedName>
    <definedName name="_Neo_1700_Cont_Stand_02">NeoDataInfB!$D$45</definedName>
    <definedName name="_Neo_1700_Cont_Stand_03">NeoDataInfB!$D$46</definedName>
    <definedName name="_Neo_1700_Cont_Stand_04">NeoDataInfB!$D$47</definedName>
    <definedName name="_Neo_1700_Cont_Stand_05">NeoDataInfB!$D$48</definedName>
    <definedName name="_Neo_1700_Cont_Stand_06">NeoDataInfB!$D$49</definedName>
    <definedName name="_Neo_1700_Cont_Stand_07">NeoDataInfB!$D$50</definedName>
    <definedName name="_Neo_1700_Cont_Stand_08">NeoDataInfB!$D$51</definedName>
    <definedName name="_Neo_1700_Cont_Stand_09">NeoDataInfB!$D$52</definedName>
    <definedName name="_Neo_1700_Cont_Stand_10">NeoDataInfB!$D$53</definedName>
    <definedName name="_Neo_1700_Cont_Stand_11">NeoDataInfB!$D$54</definedName>
    <definedName name="_Neo_1700_Cont_Stand_12">NeoDataInfB!$D$55</definedName>
    <definedName name="_Neo_1700_Cont_VochtExtra_01">NeoDataInfB!$D$56</definedName>
    <definedName name="_Neo_1700_Cont_VochtExtra_02">NeoDataInfB!$D$57</definedName>
    <definedName name="_Neo_1700_Cont_VochtExtra_03">NeoDataInfB!$D$58</definedName>
    <definedName name="_Neo_1700_Cont_VochtExtra_04">NeoDataInfB!$D$59</definedName>
    <definedName name="_Neo_1700_Cont_VochtExtra_05">NeoDataInfB!$D$60</definedName>
    <definedName name="_Neo_1700_Cont_VochtExtra_06">NeoDataInfB!$D$61</definedName>
    <definedName name="_Neo_1700_Cont_VochtExtra_07">NeoDataInfB!$D$62</definedName>
    <definedName name="_Neo_1700_Cont_VochtExtra_08">NeoDataInfB!$D$63</definedName>
    <definedName name="_Neo_1700_Cont_VochtExtra_09">NeoDataInfB!$D$64</definedName>
    <definedName name="_Neo_1700_Cont_VochtExtra_10">NeoDataInfB!$D$65</definedName>
    <definedName name="_Neo_1700_Cont_VochtExtra_11">NeoDataInfB!$D$66</definedName>
    <definedName name="_Neo_1700_Cont_VochtExtra_12">NeoDataInfB!$D$67</definedName>
    <definedName name="_Neo_1700_Cont_VochtExtra_13">NeoDataInfB!$D$68</definedName>
    <definedName name="_Neo_1700_Cont_VochtExtra_14">NeoDataInfB!$D$69</definedName>
    <definedName name="_Neo_1700_Ent_Frequentie_1">NeoDataInfB!$D$70</definedName>
    <definedName name="_Neo_1700_Ent_Frequentie_2">NeoDataInfB!$D$71</definedName>
    <definedName name="_Neo_1700_Ent_Hoeveelheid_1">NeoDataInfB!$D$72</definedName>
    <definedName name="_Neo_1700_Ent_Hoeveelheid_2">NeoDataInfB!$D$73</definedName>
    <definedName name="_Neo_1700_Ent_PercentageKeuze_0">NeoDataInfB!$D$74</definedName>
    <definedName name="_Neo_1700_Ent_PercentageKeuze_1">NeoDataInfB!$D$75</definedName>
    <definedName name="_Neo_1700_Ent_PercentageKeuze_2">NeoDataInfB!$D$76</definedName>
    <definedName name="_Neo_1700_Ent_PercentageKeuze_3">NeoDataInfB!$D$77</definedName>
    <definedName name="_Neo_1700_Ent_PercentageKeuze_4">NeoDataInfB!$D$78</definedName>
    <definedName name="_Neo_1700_Ent_PercentageKeuze_5">NeoDataInfB!$D$79</definedName>
    <definedName name="_Neo_1700_Ent_PercentageKeuze_6">NeoDataInfB!$D$80</definedName>
    <definedName name="_Neo_1700_Ent_PercentageKeuze_7">NeoDataInfB!$D$81</definedName>
    <definedName name="_Neo_1700_Ent_PercentageKeuze_8">NeoDataInfB!$D$82</definedName>
    <definedName name="_Neo_1700_Ent_Toevoeging_1">NeoDataInfB!$D$83</definedName>
    <definedName name="_Neo_1700_Ent_Toevoeging_2">NeoDataInfB!$D$84</definedName>
    <definedName name="_Neo_1700_Ent_Toevoeging_3">NeoDataInfB!$D$85</definedName>
    <definedName name="_Neo_1700_Ent_Toevoeging_4">NeoDataInfB!$D$86</definedName>
    <definedName name="_Neo_1700_Ent_Toevoeging_5">NeoDataInfB!$D$87</definedName>
    <definedName name="_Neo_1700_Ent_Toevoeging_6">NeoDataInfB!$D$88</definedName>
    <definedName name="_Neo_1700_Ent_Toevoeging_7">NeoDataInfB!$D$89</definedName>
    <definedName name="_Neo_1700_Ent_Toevoeging_8">NeoDataInfB!$D$90</definedName>
    <definedName name="_Neo_1700_Ent_Voeding">NeoDataInfB!$D$91</definedName>
    <definedName name="_Neo_1700_TPN_CaCl2">NeoDataInfB!$D$92</definedName>
    <definedName name="_Neo_1700_TPN_DagKeuze">NeoDataInfB!$D$93</definedName>
    <definedName name="_Neo_1700_TPN_Fototherapie">NeoDataInfB!$D$94</definedName>
    <definedName name="_Neo_1700_TPN_GlucSterkte">NeoDataInfB!$D$95</definedName>
    <definedName name="_Neo_1700_TPN_IntakePerKg">NeoDataInfB!$D$96</definedName>
    <definedName name="_Neo_1700_TPN_IntraLipid">NeoDataInfB!$D$97</definedName>
    <definedName name="_Neo_1700_TPN_IntralipidSmof">NeoDataInfB!$D$98</definedName>
    <definedName name="_Neo_1700_TPN_KCl">NeoDataInfB!$D$99</definedName>
    <definedName name="_Neo_1700_TPN_MgCl2">NeoDataInfB!$D$100</definedName>
    <definedName name="_Neo_1700_TPN_Nacl">NeoDataInfB!$D$101</definedName>
    <definedName name="_Neo_1700_TPN_NICUMix">NeoDataInfB!$D$102</definedName>
    <definedName name="_Neo_1700_TPN_Parenteraal">NeoDataInfB!$D$103</definedName>
    <definedName name="_Neo_1700_TPN_Primene">NeoDataInfB!$D$104</definedName>
    <definedName name="_Neo_1700_TPN_SoluVit">NeoDataInfB!$D$105</definedName>
    <definedName name="_Neo_1700_TPN_SSTB">NeoDataInfB!$D$106</definedName>
    <definedName name="_Neo_AfsprB_aEEG">NeoBerAfspr!$B$22</definedName>
    <definedName name="_Neo_AfsprB_ArmLinks">NeoBerAfspr!$D$11</definedName>
    <definedName name="_Neo_AfsprB_ArmRechts">NeoBerAfspr!$D$12</definedName>
    <definedName name="_Neo_AfsprB_BeenLinks">NeoBerAfspr!$D$13</definedName>
    <definedName name="_Neo_AfsprB_BeenRechts">NeoBerAfspr!$D$14</definedName>
    <definedName name="_Neo_AfsprB_Bloedkweek">NeoBerAfspr!$F$7</definedName>
    <definedName name="_Neo_AfsprB_CatheterDemeure">NeoBerAfspr!$J$7</definedName>
    <definedName name="_Neo_AfsprB_CT">NeoBerAfspr!$B$23</definedName>
    <definedName name="_Neo_AfsprB_ECG">NeoBerAfspr!$B$24</definedName>
    <definedName name="_Neo_AfsprB_EchoBuik">NeoBerAfspr!$B$25</definedName>
    <definedName name="_Neo_AfsprB_EchoHart">NeoBerAfspr!$B$26</definedName>
    <definedName name="_Neo_AfsprB_FaecesBacterieel">NeoBerAfspr!$H$8</definedName>
    <definedName name="_Neo_AfsprB_Faeceskweek">NeoBerAfspr!$F$8</definedName>
    <definedName name="_Neo_AfsprB_FaecesRotaAdeno">NeoBerAfspr!$H$9</definedName>
    <definedName name="_Neo_AfsprB_FaecesSchimmelGist">NeoBerAfspr!$H$10</definedName>
    <definedName name="_Neo_AfsprB_FaecesViraal">NeoBerAfspr!$H$11</definedName>
    <definedName name="_Neo_AfsprB_Finnigan">NeoBerAfspr!$B$7</definedName>
    <definedName name="_Neo_AfsprB_Fototherapie">NeoBerAfspr!$J$29</definedName>
    <definedName name="_Neo_AfsprB_FototherapieStop">NeoBerAfspr!$J$8</definedName>
    <definedName name="_Neo_AfsprB_Gatrostoma">NeoBerAfspr!$J$9</definedName>
    <definedName name="_Neo_AfsprB_Gewicht">NeoBerAfspr!$B$8</definedName>
    <definedName name="_Neo_AfsprB_InfuusOpSlot">NeoBerAfspr!$J$10</definedName>
    <definedName name="_Neo_AfsprB_InfuusUit">NeoBerAfspr!$J$11</definedName>
    <definedName name="_Neo_AfsprB_Keelkweek">NeoBerAfspr!$F$12</definedName>
    <definedName name="_Neo_AfsprB_Lengte">NeoBerAfspr!$B$9</definedName>
    <definedName name="_Neo_AfsprB_Liquor">NeoBerAfspr!$B$46</definedName>
    <definedName name="_Neo_AfsprB_MaagsondeOpenHoog">NeoBerAfspr!$J$12</definedName>
    <definedName name="_Neo_AfsprB_Monitor">NeoBerAfspr!$B$10</definedName>
    <definedName name="_Neo_AfsprB_MRI">NeoBerAfspr!$B$27</definedName>
    <definedName name="_Neo_AfsprB_Neusspoelsel">NeoBerAfspr!$F$13</definedName>
    <definedName name="_Neo_AfsprB_NeusspoelselViraal">NeoBerAfspr!$H$13</definedName>
    <definedName name="_Neo_AfsprB_NIBD">NeoBerAfspr!$B$11</definedName>
    <definedName name="_Neo_AfsprB_NIBDAll">NeoBerAfspr!$B$15</definedName>
    <definedName name="_Neo_AfsprB_NIRS1">NeoBerAfspr!$B$28</definedName>
    <definedName name="_Neo_AfsprB_NIRS2">NeoBerAfspr!$B$29</definedName>
    <definedName name="_Neo_AfsprB_NIRSnier">NeoBerAfspr!$B$30</definedName>
    <definedName name="_Neo_AfsprB_OntslagAkkoord">NeoBerAfspr!$J$15</definedName>
    <definedName name="_Neo_AfsprB_OntslagInOverleg">NeoBerAfspr!$J$13</definedName>
    <definedName name="_Neo_AfsprB_OntslagNaVisite">NeoBerAfspr!$J$14</definedName>
    <definedName name="_Neo_AfsprB_Opnamekweken">NeoBerAfspr!$F$14</definedName>
    <definedName name="_Neo_AfsprB_OppervlakteGistSchimmel">NeoBerAfspr!$H$16</definedName>
    <definedName name="_Neo_AfsprB_Oppervlaktekweken">NeoBerAfspr!$F$15</definedName>
    <definedName name="_Neo_AfsprB_OppervlakteOpname">NeoBerAfspr!$H$15</definedName>
    <definedName name="_Neo_AfsprB_Pacemakerdraden">NeoBerAfspr!$J$16</definedName>
    <definedName name="_Neo_AfsprB_Peritoneaal">NeoBerAfspr!$B$43</definedName>
    <definedName name="_Neo_AfsprB_PeritoneaalVacuum">NeoBerAfspr!$D$43</definedName>
    <definedName name="_Neo_AfsprB_Pigtail">NeoBerAfspr!$B$44</definedName>
    <definedName name="_Neo_AfsprB_PigtailVacuum">NeoBerAfspr!$D$44</definedName>
    <definedName name="_Neo_AfsprB_Redon">NeoBerAfspr!$B$45</definedName>
    <definedName name="_Neo_AfsprB_RedonVacuum">NeoBerAfspr!$D$45</definedName>
    <definedName name="_Neo_AfsprB_Rickham">NeoBerAfspr!$J$17</definedName>
    <definedName name="_Neo_AfsprB_RS">NeoBerAfspr!$J$18</definedName>
    <definedName name="_Neo_AfsprB_RSdiagnostiek">NeoBerAfspr!$F$17</definedName>
    <definedName name="_Neo_AfsprB_SaturatiePost">NeoBerAfspr!$B$16</definedName>
    <definedName name="_Neo_AfsprB_SaturatiePre">NeoBerAfspr!$B$17</definedName>
    <definedName name="_Neo_AfsprB_Schedel">NeoBerAfspr!$B$18</definedName>
    <definedName name="_Neo_AfsprB_SputumBacterieel">NeoBerAfspr!$H$18</definedName>
    <definedName name="_Neo_AfsprB_Sputumkweek">NeoBerAfspr!$F$18</definedName>
    <definedName name="_Neo_AfsprB_SputumUreaplasmaMycoplasma">NeoBerAfspr!$H$19</definedName>
    <definedName name="_Neo_AfsprB_SputumViraal">NeoBerAfspr!$H$20</definedName>
    <definedName name="_Neo_AfsprB_Thorax1">NeoBerAfspr!$B$34</definedName>
    <definedName name="_Neo_AfsprB_Thorax2">NeoBerAfspr!$B$37</definedName>
    <definedName name="_Neo_AfsprB_Thorax3">NeoBerAfspr!$B$40</definedName>
    <definedName name="_Neo_AfsprB_Uitzuigkweek">NeoBerAfspr!$F$21</definedName>
    <definedName name="_Neo_AfsprB_Urine">NeoBerAfspr!$F$23</definedName>
    <definedName name="_Neo_AfsprB_Urine24uur">NeoBerAfspr!$H$27</definedName>
    <definedName name="_Neo_AfsprB_UrineCMV">NeoBerAfspr!$H$28</definedName>
    <definedName name="_Neo_AfsprB_Urinekweek">NeoBerAfspr!$F$22</definedName>
    <definedName name="_Neo_AfsprB_UrinekweekBacterieel">NeoBerAfspr!$H$22</definedName>
    <definedName name="_Neo_AfsprB_UrineMetabool">NeoBerAfspr!$H$29</definedName>
    <definedName name="_Neo_AfsprB_UrineNatriumKalium">NeoBerAfspr!$H$23</definedName>
    <definedName name="_Neo_AfsprB_UrineRchitis">NeoBerAfspr!$H$30</definedName>
    <definedName name="_Neo_AfsprB_UrineSediment">NeoBerAfspr!$H$24</definedName>
    <definedName name="_Neo_AfsprB_UrineSedimentKweek">NeoBerAfspr!$H$25</definedName>
    <definedName name="_Neo_AfsprB_UrineSedimentMaWoVr">NeoBerAfspr!$H$26</definedName>
    <definedName name="_Neo_AfsprB_Urostoma">NeoBerAfspr!$J$19</definedName>
    <definedName name="_Neo_AfsprB_Verliezen">NeoBerAfspr!$J$20</definedName>
    <definedName name="_Neo_AfsprB_VerliezenFFP">NeoBerAfspr!$L$23</definedName>
    <definedName name="_Neo_AfsprB_VerliezenNaCl">NeoBerAfspr!$L$22</definedName>
    <definedName name="_Neo_AfsprB_VerliezenRingerslactaat">NeoBerAfspr!$L$21</definedName>
    <definedName name="_Neo_AfsprB_Verwijderen">NeoBerAfspr!$J$24</definedName>
    <definedName name="_Neo_AfsprB_VerwijderenCAD">NeoBerAfspr!$L$24</definedName>
    <definedName name="_Neo_AfsprB_VerwijderenNVL">NeoBerAfspr!$L$25</definedName>
    <definedName name="_Neo_AfsprB_VerwijderenPAL">NeoBerAfspr!$L$26</definedName>
    <definedName name="_Neo_AfsprB_VerwijderenSilastic">NeoBerAfspr!$L$27</definedName>
    <definedName name="_Neo_AfsprB_Vochtbalans">NeoBerAfspr!$B$19</definedName>
    <definedName name="_Neo_AfsprB_WondkweekTekst">NeoBerAfspr!$G$31</definedName>
    <definedName name="_Neo_AfsprB_XBOZ">NeoBerAfspr!$B$31</definedName>
    <definedName name="_Neo_AfsprB_XThorax">NeoBerAfspr!$B$32</definedName>
    <definedName name="_Neo_AfsprD_AantalLampen">NeoBerAfspr!$K$29</definedName>
    <definedName name="_Neo_AfsprD_aEEG">NeoBerAfspr!$D$22</definedName>
    <definedName name="_Neo_AfsprD_GewichtFrequentie">NeoBerAfspr!$C$8</definedName>
    <definedName name="_Neo_AfsprD_GewichtPer">NeoBerAfspr!$D$8</definedName>
    <definedName name="_Neo_AfsprD_LengteFrequentie">NeoBerAfspr!$C$9</definedName>
    <definedName name="_Neo_AfsprD_LengtePer">NeoBerAfspr!$D$9</definedName>
    <definedName name="_Neo_AfsprD_LiquorHoogte">NeoBerAfspr!$D$47</definedName>
    <definedName name="_Neo_AfsprD_LiquorSub">NeoBerAfspr!$D$46</definedName>
    <definedName name="_Neo_AfsprD_NIBDdd">NeoBerAfspr!$B$12</definedName>
    <definedName name="_Neo_AfsprD_Rickhamdd">NeoBerAfspr!$K$17</definedName>
    <definedName name="_Neo_AfsprD_Rickhamml">NeoBerAfspr!$L$17</definedName>
    <definedName name="_Neo_AfsprD_SchedelFrequentie">NeoBerAfspr!$C$18</definedName>
    <definedName name="_Neo_AfsprD_SchedelPer">NeoBerAfspr!$D$18</definedName>
    <definedName name="_Neo_AfsprD_Thorax1Sub1">NeoBerAfspr!$D$36</definedName>
    <definedName name="_Neo_AfsprD_Thorax1Sub2">NeoBerAfspr!$D$34</definedName>
    <definedName name="_Neo_AfsprD_Thorax1Sub3">NeoBerAfspr!$D$35</definedName>
    <definedName name="_Neo_AfsprD_Thorax2Sub1">NeoBerAfspr!$D$39</definedName>
    <definedName name="_Neo_AfsprD_Thorax2Sub2">NeoBerAfspr!$D$37</definedName>
    <definedName name="_Neo_AfsprD_Thorax2Sub3">NeoBerAfspr!$D$38</definedName>
    <definedName name="_Neo_AfsprD_Thorax3Sub1">NeoBerAfspr!$D$42</definedName>
    <definedName name="_Neo_AfsprD_Thorax3Sub2">NeoBerAfspr!$D$40</definedName>
    <definedName name="_Neo_AfsprD_Thorax3Sub3">NeoBerAfspr!$D$41</definedName>
    <definedName name="_Neo_AfsprD_VerliezenFrequentie">NeoBerAfspr!$K$20</definedName>
    <definedName name="_Neo_AfsprD_Vertrek">NeoBerAfspr!$D$27</definedName>
    <definedName name="_Neo_AfsprD_Wondkweek">NeoBerAfspr!$G$31</definedName>
    <definedName name="_Neo_AfsprMRI">NeoBerAfspr!$D$27</definedName>
    <definedName name="_Neo_InfB_Cont_ArtLijn">NeoDataInfB!$B$2</definedName>
    <definedName name="_Neo_InfB_Cont_MedKeuze_1">NeoDataInfB!$B$3</definedName>
    <definedName name="_Neo_InfB_Cont_MedKeuze_2">NeoDataInfB!$B$4</definedName>
    <definedName name="_Neo_InfB_Cont_MedKeuze_3">NeoDataInfB!$B$5</definedName>
    <definedName name="_Neo_InfB_Cont_MedKeuze_4">NeoDataInfB!$B$6</definedName>
    <definedName name="_Neo_InfB_Cont_MedKeuze_5">NeoDataInfB!$B$7</definedName>
    <definedName name="_Neo_InfB_Cont_MedKeuze_6">NeoDataInfB!$B$8</definedName>
    <definedName name="_Neo_InfB_Cont_MedKeuze_7">NeoDataInfB!$B$9</definedName>
    <definedName name="_Neo_InfB_Cont_MedKeuze_8">NeoDataInfB!$B$10</definedName>
    <definedName name="_Neo_InfB_Cont_MedKeuze_9">NeoDataInfB!$B$11</definedName>
    <definedName name="_Neo_InfB_Cont_MedSterkte_1">NeoDataInfB!$B$12</definedName>
    <definedName name="_Neo_InfB_Cont_MedSterkte_2">NeoDataInfB!$B$13</definedName>
    <definedName name="_Neo_InfB_Cont_MedSterkte_3">NeoDataInfB!$B$14</definedName>
    <definedName name="_Neo_InfB_Cont_MedSterkte_4">NeoDataInfB!$B$15</definedName>
    <definedName name="_Neo_InfB_Cont_MedSterkte_5">NeoDataInfB!$B$16</definedName>
    <definedName name="_Neo_InfB_Cont_MedSterkte_6">NeoDataInfB!$B$17</definedName>
    <definedName name="_Neo_InfB_Cont_MedSterkte_7">NeoDataInfB!$B$18</definedName>
    <definedName name="_Neo_InfB_Cont_MedSterkte_8">NeoDataInfB!$B$19</definedName>
    <definedName name="_Neo_InfB_Cont_MedSterkte_9">NeoDataInfB!$B$20</definedName>
    <definedName name="_Neo_InfB_Cont_MedTekst_1">NeoDataInfB!$B$21</definedName>
    <definedName name="_Neo_InfB_Cont_MedTekst_2">NeoDataInfB!$B$22</definedName>
    <definedName name="_Neo_InfB_Cont_OplHoev_1">NeoDataInfB!$B$23</definedName>
    <definedName name="_Neo_InfB_Cont_OplHoev_2">NeoDataInfB!$B$24</definedName>
    <definedName name="_Neo_InfB_Cont_OplHoev_3">NeoDataInfB!$B$25</definedName>
    <definedName name="_Neo_InfB_Cont_OplHoev_4">NeoDataInfB!$B$26</definedName>
    <definedName name="_Neo_InfB_Cont_OplHoev_5">NeoDataInfB!$B$27</definedName>
    <definedName name="_Neo_InfB_Cont_OplHoev_6">NeoDataInfB!$B$28</definedName>
    <definedName name="_Neo_InfB_Cont_OplHoev_7">NeoDataInfB!$B$29</definedName>
    <definedName name="_Neo_InfB_Cont_OplHoev_8">NeoDataInfB!$B$30</definedName>
    <definedName name="_Neo_InfB_Cont_OplHoev_9">NeoDataInfB!$B$31</definedName>
    <definedName name="_Neo_InfB_Cont_Oplossing_01">NeoDataInfB!$B$32</definedName>
    <definedName name="_Neo_InfB_Cont_Oplossing_02">NeoDataInfB!$B$33</definedName>
    <definedName name="_Neo_InfB_Cont_Oplossing_03">NeoDataInfB!$B$34</definedName>
    <definedName name="_Neo_InfB_Cont_Oplossing_04">NeoDataInfB!$B$35</definedName>
    <definedName name="_Neo_InfB_Cont_Oplossing_05">NeoDataInfB!$B$36</definedName>
    <definedName name="_Neo_InfB_Cont_Oplossing_06">NeoDataInfB!$B$37</definedName>
    <definedName name="_Neo_InfB_Cont_Oplossing_07">NeoDataInfB!$B$38</definedName>
    <definedName name="_Neo_InfB_Cont_Oplossing_08">NeoDataInfB!$B$39</definedName>
    <definedName name="_Neo_InfB_Cont_Oplossing_09">NeoDataInfB!$B$40</definedName>
    <definedName name="_Neo_InfB_Cont_Oplossing_10">NeoDataInfB!$B$41</definedName>
    <definedName name="_Neo_InfB_Cont_Oplossing_11">NeoDataInfB!$B$42</definedName>
    <definedName name="_Neo_InfB_Cont_Oplossing_12">NeoDataInfB!$B$43</definedName>
    <definedName name="_Neo_InfB_Cont_Stand_01">NeoDataInfB!$B$44</definedName>
    <definedName name="_Neo_InfB_Cont_Stand_02">NeoDataInfB!$B$45</definedName>
    <definedName name="_Neo_InfB_Cont_Stand_03">NeoDataInfB!$B$46</definedName>
    <definedName name="_Neo_InfB_Cont_Stand_04">NeoDataInfB!$B$47</definedName>
    <definedName name="_Neo_InfB_Cont_Stand_05">NeoDataInfB!$B$48</definedName>
    <definedName name="_Neo_InfB_Cont_Stand_06">NeoDataInfB!$B$49</definedName>
    <definedName name="_Neo_InfB_Cont_Stand_07">NeoDataInfB!$B$50</definedName>
    <definedName name="_Neo_InfB_Cont_Stand_08">NeoDataInfB!$B$51</definedName>
    <definedName name="_Neo_InfB_Cont_Stand_09">NeoDataInfB!$B$52</definedName>
    <definedName name="_Neo_InfB_Cont_Stand_10">NeoDataInfB!$B$53</definedName>
    <definedName name="_Neo_InfB_Cont_Stand_11">NeoDataInfB!$B$54</definedName>
    <definedName name="_Neo_InfB_Cont_Stand_12">NeoDataInfB!$B$55</definedName>
    <definedName name="_Neo_InfB_Cont_VochtExtra_01">NeoDataInfB!$B$56</definedName>
    <definedName name="_Neo_InfB_Cont_VochtExtra_02">NeoDataInfB!$B$57</definedName>
    <definedName name="_Neo_InfB_Cont_VochtExtra_03">NeoDataInfB!$B$58</definedName>
    <definedName name="_Neo_InfB_Cont_VochtExtra_04">NeoDataInfB!$B$59</definedName>
    <definedName name="_Neo_InfB_Cont_VochtExtra_05">NeoDataInfB!$B$60</definedName>
    <definedName name="_Neo_InfB_Cont_VochtExtra_06">NeoDataInfB!$B$61</definedName>
    <definedName name="_Neo_InfB_Cont_VochtExtra_07">NeoDataInfB!$B$62</definedName>
    <definedName name="_Neo_InfB_Cont_VochtExtra_08">NeoDataInfB!$B$63</definedName>
    <definedName name="_Neo_InfB_Cont_VochtExtra_09">NeoDataInfB!$B$64</definedName>
    <definedName name="_Neo_InfB_Cont_VochtExtra_10">NeoDataInfB!$B$65</definedName>
    <definedName name="_Neo_InfB_Cont_VochtExtra_11">NeoDataInfB!$B$66</definedName>
    <definedName name="_Neo_InfB_Cont_VochtExtra_12">NeoDataInfB!$B$67</definedName>
    <definedName name="_Neo_InfB_Cont_VochtExtra_13">NeoDataInfB!$B$68</definedName>
    <definedName name="_Neo_InfB_Cont_VochtExtra_14">NeoDataInfB!$B$69</definedName>
    <definedName name="_Neo_InfB_Ent_Frequentie_1">NeoDataInfB!$B$70</definedName>
    <definedName name="_Neo_InfB_Ent_Frequentie_2">NeoDataInfB!$B$71</definedName>
    <definedName name="_Neo_InfB_Ent_Hoeveelheid_1">NeoDataInfB!$B$72</definedName>
    <definedName name="_Neo_InfB_Ent_Hoeveelheid_2">NeoDataInfB!$B$73</definedName>
    <definedName name="_Neo_InfB_Ent_PercentageKeuze_0">NeoDataInfB!$B$74</definedName>
    <definedName name="_Neo_InfB_Ent_PercentageKeuze_1">NeoDataInfB!$B$75</definedName>
    <definedName name="_Neo_InfB_Ent_PercentageKeuze_2">NeoDataInfB!$B$76</definedName>
    <definedName name="_Neo_InfB_Ent_PercentageKeuze_3">NeoDataInfB!$B$77</definedName>
    <definedName name="_Neo_InfB_Ent_PercentageKeuze_4">NeoDataInfB!$B$78</definedName>
    <definedName name="_Neo_InfB_Ent_PercentageKeuze_5">NeoDataInfB!$B$79</definedName>
    <definedName name="_Neo_InfB_Ent_PercentageKeuze_6">NeoDataInfB!$B$80</definedName>
    <definedName name="_Neo_InfB_Ent_PercentageKeuze_7">NeoDataInfB!$B$81</definedName>
    <definedName name="_Neo_InfB_Ent_PercentageKeuze_8">NeoDataInfB!$B$82</definedName>
    <definedName name="_Neo_InfB_Ent_Toevoeging_1">NeoDataInfB!$B$83</definedName>
    <definedName name="_Neo_InfB_Ent_Toevoeging_2">NeoDataInfB!$B$84</definedName>
    <definedName name="_Neo_InfB_Ent_Toevoeging_3">NeoDataInfB!$B$85</definedName>
    <definedName name="_Neo_InfB_Ent_Toevoeging_4">NeoDataInfB!$B$86</definedName>
    <definedName name="_Neo_InfB_Ent_Toevoeging_5">NeoDataInfB!$B$87</definedName>
    <definedName name="_Neo_InfB_Ent_Toevoeging_6">NeoDataInfB!$B$88</definedName>
    <definedName name="_Neo_InfB_Ent_Toevoeging_7">NeoDataInfB!$B$89</definedName>
    <definedName name="_Neo_InfB_Ent_Toevoeging_8">NeoDataInfB!$B$90</definedName>
    <definedName name="_Neo_InfB_Ent_Voeding">NeoDataInfB!$B$91</definedName>
    <definedName name="_Neo_InfB_TPN_CaCl2">NeoDataInfB!$B$92</definedName>
    <definedName name="_Neo_InfB_TPN_DagKeuze">NeoDataInfB!$B$93</definedName>
    <definedName name="_Neo_InfB_TPN_Fototherapie">NeoDataInfB!$B$94</definedName>
    <definedName name="_Neo_InfB_TPN_GlucSterkte">NeoDataInfB!$B$95</definedName>
    <definedName name="_Neo_InfB_TPN_IntakePerKg">NeoDataInfB!$B$96</definedName>
    <definedName name="_Neo_InfB_TPN_IntraLipid">NeoDataInfB!$B$97</definedName>
    <definedName name="_Neo_InfB_TPN_IntralipidSmof">NeoDataInfB!$B$98</definedName>
    <definedName name="_Neo_InfB_TPN_KCl">NeoDataInfB!$B$99</definedName>
    <definedName name="_Neo_InfB_TPN_MgCl2">NeoDataInfB!$B$100</definedName>
    <definedName name="_Neo_InfB_TPN_Nacl">NeoDataInfB!$B$101</definedName>
    <definedName name="_Neo_InfB_TPN_NICUMix">NeoDataInfB!$B$102</definedName>
    <definedName name="_Neo_InfB_TPN_Parenteraal">NeoDataInfB!$B$103</definedName>
    <definedName name="_Neo_InfB_TPN_Primene">NeoDataInfB!$B$104</definedName>
    <definedName name="_Neo_InfB_TPN_SoluVit">NeoDataInfB!$B$105</definedName>
    <definedName name="_Neo_InfB_TPN_SSTB">NeoDataInfB!$B$106</definedName>
    <definedName name="_Neo_Lab_04_01">NeoBerLab!$M$4</definedName>
    <definedName name="_Neo_Lab_04_02">NeoBerLab!$M$5</definedName>
    <definedName name="_Neo_Lab_04_03">NeoBerLab!$M$6</definedName>
    <definedName name="_Neo_Lab_04_04">NeoBerLab!$M$7</definedName>
    <definedName name="_Neo_Lab_04_05">NeoBerLab!$M$8</definedName>
    <definedName name="_Neo_Lab_04_06">NeoBerLab!$M$9</definedName>
    <definedName name="_Neo_Lab_04_07">NeoBerLab!$M$10</definedName>
    <definedName name="_Neo_Lab_04_08">NeoBerLab!$M$11</definedName>
    <definedName name="_Neo_Lab_04_09">NeoBerLab!$M$12</definedName>
    <definedName name="_Neo_Lab_04_10">NeoBerLab!$M$13</definedName>
    <definedName name="_Neo_Lab_04_11">NeoBerLab!$M$14</definedName>
    <definedName name="_Neo_Lab_04_12">NeoBerLab!$M$15</definedName>
    <definedName name="_Neo_Lab_04_13">NeoBerLab!$M$16</definedName>
    <definedName name="_Neo_Lab_04_14">NeoBerLab!$M$17</definedName>
    <definedName name="_Neo_Lab_04_15">NeoBerLab!$M$18</definedName>
    <definedName name="_Neo_Lab_04_16">NeoBerLab!$M$19</definedName>
    <definedName name="_Neo_Lab_04_17">NeoBerLab!$M$20</definedName>
    <definedName name="_Neo_Lab_04_18">NeoBerLab!$M$21</definedName>
    <definedName name="_Neo_Lab_04_19">NeoBerLab!$M$22</definedName>
    <definedName name="_Neo_Lab_04_20">NeoBerLab!$M$23</definedName>
    <definedName name="_Neo_Lab_04_21">NeoBerLab!$M$24</definedName>
    <definedName name="_Neo_Lab_04_22">NeoBerLab!$M$25</definedName>
    <definedName name="_Neo_Lab_04_23">NeoBerLab!$M$26</definedName>
    <definedName name="_Neo_Lab_04_24">NeoBerLab!$M$27</definedName>
    <definedName name="_Neo_Lab_04_25">NeoBerLab!$M$28</definedName>
    <definedName name="_Neo_Lab_04_26">NeoBerLab!$M$29</definedName>
    <definedName name="_Neo_Lab_04_27">NeoBerLab!$M$30</definedName>
    <definedName name="_Neo_Lab_04_28">NeoBerLab!$M$31</definedName>
    <definedName name="_Neo_Lab_04_29">NeoBerLab!$M$32</definedName>
    <definedName name="_Neo_Lab_04_30">NeoBerLab!$M$33</definedName>
    <definedName name="_Neo_Lab_04_31">NeoBerLab!$M$34</definedName>
    <definedName name="_Neo_Lab_12_01">NeoBerLab!$E$4</definedName>
    <definedName name="_Neo_Lab_12_02">NeoBerLab!$E$5</definedName>
    <definedName name="_Neo_Lab_12_03">NeoBerLab!$E$6</definedName>
    <definedName name="_Neo_Lab_12_04">NeoBerLab!$E$7</definedName>
    <definedName name="_Neo_Lab_12_05">NeoBerLab!$E$8</definedName>
    <definedName name="_Neo_Lab_12_06">NeoBerLab!$E$9</definedName>
    <definedName name="_Neo_Lab_12_07">NeoBerLab!$E$10</definedName>
    <definedName name="_Neo_Lab_12_08">NeoBerLab!$E$11</definedName>
    <definedName name="_Neo_Lab_12_09">NeoBerLab!$E$12</definedName>
    <definedName name="_Neo_Lab_12_10">NeoBerLab!$E$13</definedName>
    <definedName name="_Neo_Lab_12_11">NeoBerLab!$E$14</definedName>
    <definedName name="_Neo_Lab_12_12">NeoBerLab!$E$15</definedName>
    <definedName name="_Neo_Lab_12_13">NeoBerLab!$E$16</definedName>
    <definedName name="_Neo_Lab_12_14">NeoBerLab!$E$17</definedName>
    <definedName name="_Neo_Lab_12_15">NeoBerLab!$E$18</definedName>
    <definedName name="_Neo_Lab_12_16">NeoBerLab!$E$19</definedName>
    <definedName name="_Neo_Lab_12_17">NeoBerLab!$E$20</definedName>
    <definedName name="_Neo_Lab_12_18">NeoBerLab!$E$21</definedName>
    <definedName name="_Neo_Lab_12_19">NeoBerLab!$E$22</definedName>
    <definedName name="_Neo_Lab_12_20">NeoBerLab!$E$23</definedName>
    <definedName name="_Neo_Lab_12_21">NeoBerLab!$E$24</definedName>
    <definedName name="_Neo_Lab_12_22">NeoBerLab!$E$25</definedName>
    <definedName name="_Neo_Lab_12_23">NeoBerLab!$E$26</definedName>
    <definedName name="_Neo_Lab_12_24">NeoBerLab!$E$27</definedName>
    <definedName name="_Neo_Lab_12_25">NeoBerLab!$E$28</definedName>
    <definedName name="_Neo_Lab_12_26">NeoBerLab!$E$29</definedName>
    <definedName name="_Neo_Lab_12_27">NeoBerLab!$E$30</definedName>
    <definedName name="_Neo_Lab_12_28">NeoBerLab!$E$31</definedName>
    <definedName name="_Neo_Lab_12_29">NeoBerLab!$E$32</definedName>
    <definedName name="_Neo_Lab_12_30">NeoBerLab!$E$33</definedName>
    <definedName name="_Neo_Lab_12_31">NeoBerLab!$E$34</definedName>
    <definedName name="_Neo_Lab_16_01">NeoBerLab!$G$4</definedName>
    <definedName name="_Neo_Lab_16_02">NeoBerLab!$G$5</definedName>
    <definedName name="_Neo_Lab_16_03">NeoBerLab!$G$6</definedName>
    <definedName name="_Neo_Lab_16_04">NeoBerLab!$G$7</definedName>
    <definedName name="_Neo_Lab_16_05">NeoBerLab!$G$8</definedName>
    <definedName name="_Neo_Lab_16_06">NeoBerLab!$G$9</definedName>
    <definedName name="_Neo_Lab_16_07">NeoBerLab!$G$10</definedName>
    <definedName name="_Neo_Lab_16_08">NeoBerLab!$G$11</definedName>
    <definedName name="_Neo_Lab_16_09">NeoBerLab!$G$12</definedName>
    <definedName name="_Neo_Lab_16_10">NeoBerLab!$G$13</definedName>
    <definedName name="_Neo_Lab_16_11">NeoBerLab!$G$14</definedName>
    <definedName name="_Neo_Lab_16_12">NeoBerLab!$G$15</definedName>
    <definedName name="_Neo_Lab_16_13">NeoBerLab!$G$16</definedName>
    <definedName name="_Neo_Lab_16_14">NeoBerLab!$G$17</definedName>
    <definedName name="_Neo_Lab_16_15">NeoBerLab!$G$18</definedName>
    <definedName name="_Neo_Lab_16_16">NeoBerLab!$G$19</definedName>
    <definedName name="_Neo_Lab_16_17">NeoBerLab!$G$20</definedName>
    <definedName name="_Neo_Lab_16_18">NeoBerLab!$G$21</definedName>
    <definedName name="_Neo_Lab_16_19">NeoBerLab!$G$22</definedName>
    <definedName name="_Neo_Lab_16_20">NeoBerLab!$G$23</definedName>
    <definedName name="_Neo_Lab_16_21">NeoBerLab!$G$24</definedName>
    <definedName name="_Neo_Lab_16_22">NeoBerLab!$G$25</definedName>
    <definedName name="_Neo_Lab_16_23">NeoBerLab!$G$26</definedName>
    <definedName name="_Neo_Lab_16_24">NeoBerLab!$G$27</definedName>
    <definedName name="_Neo_Lab_16_25">NeoBerLab!$G$28</definedName>
    <definedName name="_Neo_Lab_16_26">NeoBerLab!$G$29</definedName>
    <definedName name="_Neo_Lab_16_27">NeoBerLab!$G$30</definedName>
    <definedName name="_Neo_Lab_16_28">NeoBerLab!$G$31</definedName>
    <definedName name="_Neo_Lab_16_29">NeoBerLab!$G$32</definedName>
    <definedName name="_Neo_Lab_16_30">NeoBerLab!$G$33</definedName>
    <definedName name="_Neo_Lab_16_31">NeoBerLab!$G$34</definedName>
    <definedName name="_Neo_Lab_20_01">NeoBerLab!$I$4</definedName>
    <definedName name="_Neo_Lab_20_02">NeoBerLab!$I$5</definedName>
    <definedName name="_Neo_Lab_20_03">NeoBerLab!$I$6</definedName>
    <definedName name="_Neo_Lab_20_04">NeoBerLab!$I$7</definedName>
    <definedName name="_Neo_Lab_20_05">NeoBerLab!$I$8</definedName>
    <definedName name="_Neo_Lab_20_06">NeoBerLab!$I$9</definedName>
    <definedName name="_Neo_Lab_20_07">NeoBerLab!$I$10</definedName>
    <definedName name="_Neo_Lab_20_08">NeoBerLab!$I$11</definedName>
    <definedName name="_Neo_Lab_20_09">NeoBerLab!$I$12</definedName>
    <definedName name="_Neo_Lab_20_10">NeoBerLab!$I$13</definedName>
    <definedName name="_Neo_Lab_20_11">NeoBerLab!$I$14</definedName>
    <definedName name="_Neo_Lab_20_12">NeoBerLab!$I$15</definedName>
    <definedName name="_Neo_Lab_20_13">NeoBerLab!$I$16</definedName>
    <definedName name="_Neo_Lab_20_14">NeoBerLab!$I$17</definedName>
    <definedName name="_Neo_Lab_20_15">NeoBerLab!$I$18</definedName>
    <definedName name="_Neo_Lab_20_16">NeoBerLab!$I$19</definedName>
    <definedName name="_Neo_Lab_20_17">NeoBerLab!$I$20</definedName>
    <definedName name="_Neo_Lab_20_18">NeoBerLab!$I$21</definedName>
    <definedName name="_Neo_Lab_20_19">NeoBerLab!$I$22</definedName>
    <definedName name="_Neo_Lab_20_20">NeoBerLab!$I$23</definedName>
    <definedName name="_Neo_Lab_20_21">NeoBerLab!$I$24</definedName>
    <definedName name="_Neo_Lab_20_22">NeoBerLab!$I$25</definedName>
    <definedName name="_Neo_Lab_20_23">NeoBerLab!$I$26</definedName>
    <definedName name="_Neo_Lab_20_24">NeoBerLab!$I$27</definedName>
    <definedName name="_Neo_Lab_20_25">NeoBerLab!$I$28</definedName>
    <definedName name="_Neo_Lab_20_26">NeoBerLab!$I$29</definedName>
    <definedName name="_Neo_Lab_20_27">NeoBerLab!$I$30</definedName>
    <definedName name="_Neo_Lab_20_28">NeoBerLab!$I$31</definedName>
    <definedName name="_Neo_Lab_20_29">NeoBerLab!$I$32</definedName>
    <definedName name="_Neo_Lab_20_30">NeoBerLab!$I$33</definedName>
    <definedName name="_Neo_Lab_20_31">NeoBerLab!$I$34</definedName>
    <definedName name="_Neo_Lab_24_01">NeoBerLab!$K$4</definedName>
    <definedName name="_Neo_Lab_24_02">NeoBerLab!$K$5</definedName>
    <definedName name="_Neo_Lab_24_03">NeoBerLab!$K$6</definedName>
    <definedName name="_Neo_Lab_24_04">NeoBerLab!$K$7</definedName>
    <definedName name="_Neo_Lab_24_05">NeoBerLab!$K$8</definedName>
    <definedName name="_Neo_Lab_24_06">NeoBerLab!$K$9</definedName>
    <definedName name="_Neo_Lab_24_07">NeoBerLab!$K$10</definedName>
    <definedName name="_Neo_Lab_24_08">NeoBerLab!$K$11</definedName>
    <definedName name="_Neo_Lab_24_09">NeoBerLab!$K$12</definedName>
    <definedName name="_Neo_Lab_24_10">NeoBerLab!$K$13</definedName>
    <definedName name="_Neo_Lab_24_11">NeoBerLab!$K$14</definedName>
    <definedName name="_Neo_Lab_24_12">NeoBerLab!$K$15</definedName>
    <definedName name="_Neo_Lab_24_13">NeoBerLab!$K$16</definedName>
    <definedName name="_Neo_Lab_24_14">NeoBerLab!$K$17</definedName>
    <definedName name="_Neo_Lab_24_15">NeoBerLab!$K$18</definedName>
    <definedName name="_Neo_Lab_24_16">NeoBerLab!$K$19</definedName>
    <definedName name="_Neo_Lab_24_17">NeoBerLab!$K$20</definedName>
    <definedName name="_Neo_Lab_24_18">NeoBerLab!$K$21</definedName>
    <definedName name="_Neo_Lab_24_19">NeoBerLab!$K$22</definedName>
    <definedName name="_Neo_Lab_24_20">NeoBerLab!$K$23</definedName>
    <definedName name="_Neo_Lab_24_21">NeoBerLab!$K$24</definedName>
    <definedName name="_Neo_Lab_24_22">NeoBerLab!$K$25</definedName>
    <definedName name="_Neo_Lab_24_23">NeoBerLab!$K$26</definedName>
    <definedName name="_Neo_Lab_24_24">NeoBerLab!$K$27</definedName>
    <definedName name="_Neo_Lab_24_25">NeoBerLab!$K$28</definedName>
    <definedName name="_Neo_Lab_24_26">NeoBerLab!$K$29</definedName>
    <definedName name="_Neo_Lab_24_27">NeoBerLab!$K$30</definedName>
    <definedName name="_Neo_Lab_24_28">NeoBerLab!$K$31</definedName>
    <definedName name="_Neo_Lab_24_29">NeoBerLab!$K$32</definedName>
    <definedName name="_Neo_Lab_24_30">NeoBerLab!$K$33</definedName>
    <definedName name="_Neo_Lab_24_31">NeoBerLab!$K$34</definedName>
    <definedName name="_Neo_Lab_Dag1_01">NeoBerLab!$O$4</definedName>
    <definedName name="_Neo_Lab_Dag1_02">NeoBerLab!$O$5</definedName>
    <definedName name="_Neo_Lab_Dag1_03">NeoBerLab!$O$6</definedName>
    <definedName name="_Neo_Lab_Dag1_04">NeoBerLab!$O$7</definedName>
    <definedName name="_Neo_Lab_Dag1_05">NeoBerLab!$O$8</definedName>
    <definedName name="_Neo_Lab_Dag1_06">NeoBerLab!$O$9</definedName>
    <definedName name="_Neo_Lab_Dag1_07">NeoBerLab!$O$10</definedName>
    <definedName name="_Neo_Lab_Dag1_08">NeoBerLab!$O$11</definedName>
    <definedName name="_Neo_Lab_Dag1_09">NeoBerLab!$O$12</definedName>
    <definedName name="_Neo_Lab_Dag1_10">NeoBerLab!$O$13</definedName>
    <definedName name="_Neo_Lab_Dag1_11">NeoBerLab!$O$14</definedName>
    <definedName name="_Neo_Lab_Dag1_12">NeoBerLab!$O$15</definedName>
    <definedName name="_Neo_Lab_Dag1_13">NeoBerLab!$O$16</definedName>
    <definedName name="_Neo_Lab_Dag1_14">NeoBerLab!$O$17</definedName>
    <definedName name="_Neo_Lab_Dag1_15">NeoBerLab!$O$18</definedName>
    <definedName name="_Neo_Lab_Dag1_16">NeoBerLab!$O$19</definedName>
    <definedName name="_Neo_Lab_Dag1_17">NeoBerLab!$O$20</definedName>
    <definedName name="_Neo_Lab_Dag1_18">NeoBerLab!$O$21</definedName>
    <definedName name="_Neo_Lab_Dag1_19">NeoBerLab!$O$22</definedName>
    <definedName name="_Neo_Lab_Dag1_20">NeoBerLab!$O$23</definedName>
    <definedName name="_Neo_Lab_Dag1_21">NeoBerLab!$O$24</definedName>
    <definedName name="_Neo_Lab_Dag1_22">NeoBerLab!$O$25</definedName>
    <definedName name="_Neo_Lab_Dag1_23">NeoBerLab!$O$26</definedName>
    <definedName name="_Neo_Lab_Dag1_24">NeoBerLab!$O$27</definedName>
    <definedName name="_Neo_Lab_Dag1_25">NeoBerLab!$O$28</definedName>
    <definedName name="_Neo_Lab_Dag1_26">NeoBerLab!$O$29</definedName>
    <definedName name="_Neo_Lab_Dag1_27">NeoBerLab!$O$30</definedName>
    <definedName name="_Neo_Lab_Dag1_28">NeoBerLab!$O$31</definedName>
    <definedName name="_Neo_Lab_Dag1_29">NeoBerLab!$O$32</definedName>
    <definedName name="_Neo_Lab_Dag1_30">NeoBerLab!$O$33</definedName>
    <definedName name="_Neo_Lab_Dag1_31">NeoBerLab!$O$34</definedName>
    <definedName name="_Neo_Lab_Dag2_01">NeoBerLab!$Q$4</definedName>
    <definedName name="_Neo_Lab_Dag2_02">NeoBerLab!$Q$5</definedName>
    <definedName name="_Neo_Lab_Dag2_03">NeoBerLab!$Q$6</definedName>
    <definedName name="_Neo_Lab_Dag2_04">NeoBerLab!$Q$7</definedName>
    <definedName name="_Neo_Lab_Dag2_05">NeoBerLab!$Q$8</definedName>
    <definedName name="_Neo_Lab_Dag2_06">NeoBerLab!$Q$9</definedName>
    <definedName name="_Neo_Lab_Dag2_07">NeoBerLab!$Q$10</definedName>
    <definedName name="_Neo_Lab_Dag2_08">NeoBerLab!$Q$11</definedName>
    <definedName name="_Neo_Lab_Dag2_09">NeoBerLab!$Q$12</definedName>
    <definedName name="_Neo_Lab_Dag2_10">NeoBerLab!$Q$13</definedName>
    <definedName name="_Neo_Lab_Dag2_11">NeoBerLab!$Q$14</definedName>
    <definedName name="_Neo_Lab_Dag2_12">NeoBerLab!$Q$15</definedName>
    <definedName name="_Neo_Lab_Dag2_13">NeoBerLab!$Q$16</definedName>
    <definedName name="_Neo_Lab_Dag2_14">NeoBerLab!$Q$17</definedName>
    <definedName name="_Neo_Lab_Dag2_15">NeoBerLab!$Q$18</definedName>
    <definedName name="_Neo_Lab_Dag2_16">NeoBerLab!$Q$19</definedName>
    <definedName name="_Neo_Lab_Dag2_17">NeoBerLab!$Q$20</definedName>
    <definedName name="_Neo_Lab_Dag2_18">NeoBerLab!$Q$21</definedName>
    <definedName name="_Neo_Lab_Dag2_19">NeoBerLab!$Q$22</definedName>
    <definedName name="_Neo_Lab_Dag2_20">NeoBerLab!$Q$23</definedName>
    <definedName name="_Neo_Lab_Dag2_21">NeoBerLab!$Q$24</definedName>
    <definedName name="_Neo_Lab_Dag2_22">NeoBerLab!$Q$25</definedName>
    <definedName name="_Neo_Lab_Dag2_23">NeoBerLab!$Q$26</definedName>
    <definedName name="_Neo_Lab_Dag2_24">NeoBerLab!$Q$27</definedName>
    <definedName name="_Neo_Lab_Dag2_25">NeoBerLab!$Q$28</definedName>
    <definedName name="_Neo_Lab_Dag2_26">NeoBerLab!$Q$29</definedName>
    <definedName name="_Neo_Lab_Dag2_27">NeoBerLab!$Q$30</definedName>
    <definedName name="_Neo_Lab_Dag2_28">NeoBerLab!$Q$31</definedName>
    <definedName name="_Neo_Lab_Dag2_29">NeoBerLab!$Q$32</definedName>
    <definedName name="_Neo_Lab_Dag2_30">NeoBerLab!$Q$33</definedName>
    <definedName name="_Neo_Lab_Dag2_31">NeoBerLab!$Q$34</definedName>
    <definedName name="_Neo_Lab_Dag3_01">NeoBerLab!$S$4</definedName>
    <definedName name="_Neo_Lab_Dag3_02">NeoBerLab!$S$5</definedName>
    <definedName name="_Neo_Lab_Dag3_03">NeoBerLab!$S$6</definedName>
    <definedName name="_Neo_Lab_Dag3_04">NeoBerLab!$S$7</definedName>
    <definedName name="_Neo_Lab_Dag3_05">NeoBerLab!$S$8</definedName>
    <definedName name="_Neo_Lab_Dag3_06">NeoBerLab!$S$9</definedName>
    <definedName name="_Neo_Lab_Dag3_07">NeoBerLab!$S$10</definedName>
    <definedName name="_Neo_Lab_Dag3_08">NeoBerLab!$S$11</definedName>
    <definedName name="_Neo_Lab_Dag3_09">NeoBerLab!$S$12</definedName>
    <definedName name="_Neo_Lab_Dag3_10">NeoBerLab!$S$13</definedName>
    <definedName name="_Neo_Lab_Dag3_11">NeoBerLab!$S$14</definedName>
    <definedName name="_Neo_Lab_Dag3_12">NeoBerLab!$S$15</definedName>
    <definedName name="_Neo_Lab_Dag3_13">NeoBerLab!$S$16</definedName>
    <definedName name="_Neo_Lab_Dag3_14">NeoBerLab!$S$17</definedName>
    <definedName name="_Neo_Lab_Dag3_15">NeoBerLab!$S$18</definedName>
    <definedName name="_Neo_Lab_Dag3_16">NeoBerLab!$S$19</definedName>
    <definedName name="_Neo_Lab_Dag3_17">NeoBerLab!$S$20</definedName>
    <definedName name="_Neo_Lab_Dag3_18">NeoBerLab!$S$21</definedName>
    <definedName name="_Neo_Lab_Dag3_19">NeoBerLab!$S$22</definedName>
    <definedName name="_Neo_Lab_Dag3_20">NeoBerLab!$S$23</definedName>
    <definedName name="_Neo_Lab_Dag3_21">NeoBerLab!$S$24</definedName>
    <definedName name="_Neo_Lab_Dag3_22">NeoBerLab!$S$25</definedName>
    <definedName name="_Neo_Lab_Dag3_23">NeoBerLab!$S$26</definedName>
    <definedName name="_Neo_Lab_Dag3_24">NeoBerLab!$S$27</definedName>
    <definedName name="_Neo_Lab_Dag3_25">NeoBerLab!$S$28</definedName>
    <definedName name="_Neo_Lab_Dag3_26">NeoBerLab!$S$29</definedName>
    <definedName name="_Neo_Lab_Dag3_27">NeoBerLab!$S$30</definedName>
    <definedName name="_Neo_Lab_Dag3_28">NeoBerLab!$S$31</definedName>
    <definedName name="_Neo_Lab_Dag3_29">NeoBerLab!$S$32</definedName>
    <definedName name="_Neo_Lab_Dag3_30">NeoBerLab!$S$33</definedName>
    <definedName name="_Neo_Lab_Dag3_31">NeoBerLab!$S$34</definedName>
    <definedName name="_Neo_Lab_Opm">NeoBerLab!$D$38</definedName>
    <definedName name="_Neo_Lab_Opn_01">NeoBerLab!$C$4</definedName>
    <definedName name="_Neo_Lab_Opn_02">NeoBerLab!$C$5</definedName>
    <definedName name="_Neo_Lab_Opn_03">NeoBerLab!$C$6</definedName>
    <definedName name="_Neo_Lab_Opn_04">NeoBerLab!$C$7</definedName>
    <definedName name="_Neo_Lab_Opn_05">NeoBerLab!$C$8</definedName>
    <definedName name="_Neo_Lab_Opn_06">NeoBerLab!$C$9</definedName>
    <definedName name="_Neo_Lab_Opn_07">NeoBerLab!$C$10</definedName>
    <definedName name="_Neo_Lab_Opn_08">NeoBerLab!$C$11</definedName>
    <definedName name="_Neo_Lab_Opn_09">NeoBerLab!$C$12</definedName>
    <definedName name="_Neo_Lab_Opn_10">NeoBerLab!$C$13</definedName>
    <definedName name="_Neo_Lab_Opn_11">NeoBerLab!$C$14</definedName>
    <definedName name="_Neo_Lab_Opn_12">NeoBerLab!$C$15</definedName>
    <definedName name="_Neo_Lab_Opn_13">NeoBerLab!$C$16</definedName>
    <definedName name="_Neo_Lab_Opn_14">NeoBerLab!$C$17</definedName>
    <definedName name="_Neo_Lab_Opn_15">NeoBerLab!$C$18</definedName>
    <definedName name="_Neo_Lab_Opn_16">NeoBerLab!$C$19</definedName>
    <definedName name="_Neo_Lab_Opn_17">NeoBerLab!$C$20</definedName>
    <definedName name="_Neo_Lab_Opn_18">NeoBerLab!$C$21</definedName>
    <definedName name="_Neo_Lab_Opn_19">NeoBerLab!$C$22</definedName>
    <definedName name="_Neo_Lab_Opn_20">NeoBerLab!$C$23</definedName>
    <definedName name="_Neo_Lab_Opn_21">NeoBerLab!$C$24</definedName>
    <definedName name="_Neo_Lab_Opn_22">NeoBerLab!$C$25</definedName>
    <definedName name="_Neo_Lab_Opn_23">NeoBerLab!$C$26</definedName>
    <definedName name="_Neo_Lab_Opn_24">NeoBerLab!$C$27</definedName>
    <definedName name="_Neo_Lab_Opn_25">NeoBerLab!$C$28</definedName>
    <definedName name="_Neo_Lab_Opn_26">NeoBerLab!$C$29</definedName>
    <definedName name="_Neo_Lab_Opn_27">NeoBerLab!$C$30</definedName>
    <definedName name="_Neo_Lab_Opn_28">NeoBerLab!$C$31</definedName>
    <definedName name="_Neo_Lab_Opn_29">NeoBerLab!$C$32</definedName>
    <definedName name="_Neo_Lab_Opn_30">NeoBerLab!$C$33</definedName>
    <definedName name="_Neo_Lab_Opn_31">NeoBerLab!$C$34</definedName>
    <definedName name="_Neo_Lab_Opn_32">NeoBerLab!$C$35</definedName>
    <definedName name="_Pat_Dagen">NeoBerInfB!$D$5</definedName>
    <definedName name="_Pat_GebGew">PatDetails!$B$8</definedName>
    <definedName name="_Pat_Gewicht">PatDetails!$B$6</definedName>
    <definedName name="_Pat_Lengte">PatDetails!$B$7</definedName>
    <definedName name="_Pat_OpnDatum">PatDetails!$B$9</definedName>
    <definedName name="_Pat_Weken">NeoBerInfB!$D$4</definedName>
    <definedName name="_Ped_AfsprB_ArmLinks">PedBerAfspr!$D$11</definedName>
    <definedName name="_Ped_AfsprB_ArmRechts">PedBerAfspr!$D$12</definedName>
    <definedName name="_Ped_AfsprB_BeenLinks">PedBerAfspr!$D$13</definedName>
    <definedName name="_Ped_AfsprB_BeenRechts">PedBerAfspr!$D$14</definedName>
    <definedName name="_Ped_AfsprB_Buik">PedBerAfspr!$B$10</definedName>
    <definedName name="_Ped_AfsprB_Catheter">PedBerAfspr!$F$7</definedName>
    <definedName name="_Ped_AfsprB_CFM">PedBerAfspr!$B$20</definedName>
    <definedName name="_Ped_AfsprB_Duodenumsonde">PedBerAfspr!$F$10</definedName>
    <definedName name="_Ped_AfsprB_ECG">PedBerAfspr!$B$21</definedName>
    <definedName name="_Ped_AfsprB_Gastrostoma">PedBerAfspr!$F$12</definedName>
    <definedName name="_Ped_AfsprB_GCS">PedBerAfspr!$B$42</definedName>
    <definedName name="_Ped_AfsprB_Gewicht">PedBerAfspr!$B$7</definedName>
    <definedName name="_Ped_AfsprB_HardeKraag">PedBerAfspr!$F$15</definedName>
    <definedName name="_Ped_AfsprB_Headblocks">PedBerAfspr!$F$13</definedName>
    <definedName name="_Ped_AfsprB_ICP">PedBerAfspr!$B$24</definedName>
    <definedName name="_Ped_AfsprB_Lengte">PedBerAfspr!$B$8</definedName>
    <definedName name="_Ped_AfsprB_Liquor">PedBerAfspr!$B$39</definedName>
    <definedName name="_Ped_AfsprB_Maagretentie">PedBerAfspr!$F$16</definedName>
    <definedName name="_Ped_AfsprB_Maagsonde">PedBerAfspr!$F$9</definedName>
    <definedName name="_Ped_AfsprB_NIBD">PedBerAfspr!$B$11</definedName>
    <definedName name="_Ped_AfsprB_NIBDAlle">PedBerAfspr!$B$15</definedName>
    <definedName name="_Ped_AfsprB_NIRS1">PedBerAfspr!$B$22</definedName>
    <definedName name="_Ped_AfsprB_NIRS2">PedBerAfspr!$B$23</definedName>
    <definedName name="_Ped_AfsprB_PEG">PedBerAfspr!$F$11</definedName>
    <definedName name="_Ped_AfsprB_Peritoneaal">PedBerAfspr!$B$36</definedName>
    <definedName name="_Ped_AfsprB_PeritoneaalVacuum">PedBerAfspr!$D$36</definedName>
    <definedName name="_Ped_AfsprB_Pigtail">PedBerAfspr!$B$37</definedName>
    <definedName name="_Ped_AfsprB_PigtailVacuum">PedBerAfspr!$D$37</definedName>
    <definedName name="_Ped_AfsprB_Pupil">PedBerAfspr!$B$43</definedName>
    <definedName name="_Ped_AfsprB_Redon">PedBerAfspr!$B$38</definedName>
    <definedName name="_Ped_AfsprB_RedonVacuum">PedBerAfspr!$D$38</definedName>
    <definedName name="_Ped_AfsprB_SaturatiePost">PedBerAfspr!$B$16</definedName>
    <definedName name="_Ped_AfsprB_SaturatiePre">PedBerAfspr!$B$17</definedName>
    <definedName name="_Ped_AfsprB_Schedel">PedBerAfspr!$B$9</definedName>
    <definedName name="_Ped_AfsprB_Sedatie">PedBerAfspr!$B$44</definedName>
    <definedName name="_Ped_AfsprB_Thorax1">PedBerAfspr!$B$27</definedName>
    <definedName name="_Ped_AfsprB_Thorax2">PedBerAfspr!$B$30</definedName>
    <definedName name="_Ped_AfsprB_Thorax3">PedBerAfspr!$B$33</definedName>
    <definedName name="_Ped_AfsprB_TOSCA">PedBerAfspr!$B$25</definedName>
    <definedName name="_Ped_AfsprB_Urostoma">PedBerAfspr!$F$8</definedName>
    <definedName name="_Ped_AfsprB_Verliezen">PedBerAfspr!$F$18</definedName>
    <definedName name="_Ped_AfsprB_ZachteKraag">PedBerAfspr!$F$14</definedName>
    <definedName name="_Ped_AfsprD_GCSdd">PedBerAfspr!$C$42</definedName>
    <definedName name="_Ped_AfsprD_GewichtFrequentie">PedBerAfspr!$C$7</definedName>
    <definedName name="_Ped_AfsprD_GewichtPer">PedBerAfspr!$D$7</definedName>
    <definedName name="_Ped_AfsprD_LengteFrequentie">PedBerAfspr!$C$8</definedName>
    <definedName name="_Ped_AfsprD_LengtePer">PedBerAfspr!$D$8</definedName>
    <definedName name="_Ped_AfsprD_LiquorHoogte">PedBerAfspr!$D$40</definedName>
    <definedName name="_Ped_AfsprD_LiquorSub">PedBerAfspr!$D$39</definedName>
    <definedName name="_Ped_AfsprD_MaagretentieUur">PedBerAfspr!$G$16</definedName>
    <definedName name="_Ped_AfsprD_NIBDdd">PedBerAfspr!$B$12</definedName>
    <definedName name="_Ped_AfsprD_Overig">PedBerAfspr!$F$17</definedName>
    <definedName name="_Ped_AfsprD_SchedelFrequentie">PedBerAfspr!$C$9</definedName>
    <definedName name="_Ped_AfsprD_SchedelPer">PedBerAfspr!$D$9</definedName>
    <definedName name="_Ped_AfsprD_Thorax1Sub1">PedBerAfspr!$D$29</definedName>
    <definedName name="_Ped_AfsprD_Thorax1Sub2">PedBerAfspr!$D$27</definedName>
    <definedName name="_Ped_AfsprD_Thorax1Sub3">PedBerAfspr!$D$28</definedName>
    <definedName name="_Ped_AfsprD_Thorax2Sub1">PedBerAfspr!$D$32</definedName>
    <definedName name="_Ped_AfsprD_Thorax2Sub2">PedBerAfspr!$D$30</definedName>
    <definedName name="_Ped_AfsprD_Thorax2Sub3">PedBerAfspr!$D$31</definedName>
    <definedName name="_Ped_AfsprD_Thorax3Sub1">PedBerAfspr!$D$35</definedName>
    <definedName name="_Ped_AfsprD_Thorax3Sub2">PedBerAfspr!$D$33</definedName>
    <definedName name="_Ped_AfsprD_Thorax3Sub3">PedBerAfspr!$D$34</definedName>
    <definedName name="_Ped_AfsprD_Verliezen">PedBerAfspr!$H$18</definedName>
    <definedName name="_Ped_AfsprD_VerliezenStof">PedBerAfspr!$H$18</definedName>
    <definedName name="_Ped_AfsprD_VerliezenUur">PedBerAfspr!$G$18</definedName>
    <definedName name="_Ped_AfsprOverig">PedBerAfspr!$F$17</definedName>
    <definedName name="_Ped_Ent_Freq_1">PedBerEnt!$B$3</definedName>
    <definedName name="_Ped_Ent_Freq_2">PedBerEnt!$B$4</definedName>
    <definedName name="_Ped_Ent_Freq_3">PedBerEnt!$B$5</definedName>
    <definedName name="_Ped_Ent_Freq_4">PedBerEnt!$B$6</definedName>
    <definedName name="_Ped_Ent_Keuze_1">PedBerEnt!$F$3</definedName>
    <definedName name="_Ped_Ent_Keuze_2">PedBerEnt!$F$4</definedName>
    <definedName name="_Ped_Ent_Keuze_3">PedBerEnt!$F$5</definedName>
    <definedName name="_Ped_Ent_Keuze_4">PedBerEnt!$F$6</definedName>
    <definedName name="_Ped_Ent_Opm">PedBerEnt!$B$8</definedName>
    <definedName name="_Ped_Ent_Sonde">PedBerEnt!$G$3</definedName>
    <definedName name="_Ped_Ent_Speciale_01">PedBerEnt!$B$11</definedName>
    <definedName name="_Ped_Ent_Speciale_02">PedBerEnt!$B$12</definedName>
    <definedName name="_Ped_Ent_Speciale_03">PedBerEnt!$B$13</definedName>
    <definedName name="_Ped_Ent_Speciale_04">PedBerEnt!$B$14</definedName>
    <definedName name="_Ped_Ent_Speciale_05">PedBerEnt!$B$15</definedName>
    <definedName name="_Ped_Ent_Speciale_06">PedBerEnt!$B$16</definedName>
    <definedName name="_Ped_Ent_Speciale_07">PedBerEnt!$B$17</definedName>
    <definedName name="_Ped_Ent_Speciale_08">PedBerEnt!$B$18</definedName>
    <definedName name="_Ped_Ent_Speciale_09">PedBerEnt!$B$19</definedName>
    <definedName name="_Ped_Ent_Speciale_10">PedBerEnt!$B$20</definedName>
    <definedName name="_Ped_Ent_Speciale_11">PedBerEnt!$B$21</definedName>
    <definedName name="_Ped_Ent_Speciale_12">PedBerEnt!$B$22</definedName>
    <definedName name="_Ped_Ent_Vol_1">PedBerEnt!$C$3</definedName>
    <definedName name="_Ped_Ent_Vol_2">PedBerEnt!$C$4</definedName>
    <definedName name="_Ped_Ent_Vol_3">PedBerEnt!$C$5</definedName>
    <definedName name="_Ped_Ent_Vol_4">PedBerEnt!$C$6</definedName>
    <definedName name="_Ped_IVLijn_1">PedBerIVenPM!$B$2</definedName>
    <definedName name="_Ped_IVLijn_2">PedBerIVenPM!$B$3</definedName>
    <definedName name="_Ped_IVLijn_3">PedBerIVenPM!$B$4</definedName>
    <definedName name="_Ped_IVLijn_4">PedBerIVenPM!$B$5</definedName>
    <definedName name="_Ped_IVLijn_5">PedBerIVenPM!$B$6</definedName>
    <definedName name="_Ped_IVLijn_6">PedBerIVenPM!$B$7</definedName>
    <definedName name="_Ped_IVLijn_Opm">PedBerIVenPM!$B$9</definedName>
    <definedName name="_Ped_Lab_14_01">PedBerLab!$E$4</definedName>
    <definedName name="_Ped_Lab_14_02">PedBerLab!$E$5</definedName>
    <definedName name="_Ped_Lab_14_03">PedBerLab!$E$6</definedName>
    <definedName name="_Ped_Lab_14_04">PedBerLab!$E$7</definedName>
    <definedName name="_Ped_Lab_14_05">PedBerLab!$E$8</definedName>
    <definedName name="_Ped_Lab_14_06">PedBerLab!$E$9</definedName>
    <definedName name="_Ped_Lab_14_07">PedBerLab!$E$10</definedName>
    <definedName name="_Ped_Lab_14_08">PedBerLab!$E$11</definedName>
    <definedName name="_Ped_Lab_14_09">PedBerLab!$E$12</definedName>
    <definedName name="_Ped_Lab_14_10">PedBerLab!$E$13</definedName>
    <definedName name="_Ped_Lab_14_11">PedBerLab!$E$14</definedName>
    <definedName name="_Ped_Lab_14_12">PedBerLab!$E$15</definedName>
    <definedName name="_Ped_Lab_14_13">PedBerLab!$E$16</definedName>
    <definedName name="_Ped_Lab_14_14">PedBerLab!$E$17</definedName>
    <definedName name="_Ped_Lab_14_15">PedBerLab!$E$18</definedName>
    <definedName name="_Ped_Lab_14_16">PedBerLab!$E$19</definedName>
    <definedName name="_Ped_Lab_14_17">PedBerLab!$E$20</definedName>
    <definedName name="_Ped_Lab_14_18">PedBerLab!$E$21</definedName>
    <definedName name="_Ped_Lab_14_19">PedBerLab!$E$22</definedName>
    <definedName name="_Ped_Lab_14_20">PedBerLab!$E$23</definedName>
    <definedName name="_Ped_Lab_14_21">PedBerLab!$E$24</definedName>
    <definedName name="_Ped_Lab_14_22">PedBerLab!$E$25</definedName>
    <definedName name="_Ped_Lab_14_23">PedBerLab!$E$26</definedName>
    <definedName name="_Ped_Lab_14_24">PedBerLab!$E$27</definedName>
    <definedName name="_Ped_Lab_14_25">PedBerLab!$E$28</definedName>
    <definedName name="_Ped_Lab_14_26">PedBerLab!$E$29</definedName>
    <definedName name="_Ped_Lab_14_27">PedBerLab!$E$30</definedName>
    <definedName name="_Ped_Lab_14_28">PedBerLab!$E$31</definedName>
    <definedName name="_Ped_Lab_14_29">PedBerLab!$E$32</definedName>
    <definedName name="_Ped_Lab_14_30">PedBerLab!$E$33</definedName>
    <definedName name="_Ped_Lab_14_31">PedBerLab!$E$34</definedName>
    <definedName name="_Ped_Lab_19_01">PedBerLab!$G$4</definedName>
    <definedName name="_Ped_Lab_19_02">PedBerLab!$G$5</definedName>
    <definedName name="_Ped_Lab_19_03">PedBerLab!$G$6</definedName>
    <definedName name="_Ped_Lab_19_04">PedBerLab!$G$7</definedName>
    <definedName name="_Ped_Lab_19_05">PedBerLab!$G$8</definedName>
    <definedName name="_Ped_Lab_19_06">PedBerLab!$G$9</definedName>
    <definedName name="_Ped_Lab_19_07">PedBerLab!$G$10</definedName>
    <definedName name="_Ped_Lab_19_08">PedBerLab!$G$11</definedName>
    <definedName name="_Ped_Lab_19_09">PedBerLab!$G$12</definedName>
    <definedName name="_Ped_Lab_19_10">PedBerLab!$G$13</definedName>
    <definedName name="_Ped_Lab_19_11">PedBerLab!$G$14</definedName>
    <definedName name="_Ped_Lab_19_12">PedBerLab!$G$15</definedName>
    <definedName name="_Ped_Lab_19_13">PedBerLab!$G$16</definedName>
    <definedName name="_Ped_Lab_19_14">PedBerLab!$G$17</definedName>
    <definedName name="_Ped_Lab_19_15">PedBerLab!$G$18</definedName>
    <definedName name="_Ped_Lab_19_16">PedBerLab!$G$19</definedName>
    <definedName name="_Ped_Lab_19_17">PedBerLab!$G$20</definedName>
    <definedName name="_Ped_Lab_19_18">PedBerLab!$G$21</definedName>
    <definedName name="_Ped_Lab_19_19">PedBerLab!$G$22</definedName>
    <definedName name="_Ped_Lab_19_20">PedBerLab!$G$23</definedName>
    <definedName name="_Ped_Lab_19_21">PedBerLab!$G$24</definedName>
    <definedName name="_Ped_Lab_19_22">PedBerLab!$G$25</definedName>
    <definedName name="_Ped_Lab_19_23">PedBerLab!$G$26</definedName>
    <definedName name="_Ped_Lab_19_24">PedBerLab!$G$27</definedName>
    <definedName name="_Ped_Lab_19_25">PedBerLab!$G$28</definedName>
    <definedName name="_Ped_Lab_19_26">PedBerLab!$G$29</definedName>
    <definedName name="_Ped_Lab_19_27">PedBerLab!$G$30</definedName>
    <definedName name="_Ped_Lab_19_28">PedBerLab!$G$31</definedName>
    <definedName name="_Ped_Lab_19_29">PedBerLab!$G$32</definedName>
    <definedName name="_Ped_Lab_19_30">PedBerLab!$G$33</definedName>
    <definedName name="_Ped_Lab_19_31">PedBerLab!$G$34</definedName>
    <definedName name="_Ped_Lab_19_32">PedBerLab!$G$35</definedName>
    <definedName name="_Ped_Lab_24_01">PedBerLab!$I$4</definedName>
    <definedName name="_Ped_Lab_24_02">PedBerLab!$I$5</definedName>
    <definedName name="_Ped_Lab_24_03">PedBerLab!$I$6</definedName>
    <definedName name="_Ped_Lab_24_04">PedBerLab!$I$7</definedName>
    <definedName name="_Ped_Lab_24_05">PedBerLab!$I$8</definedName>
    <definedName name="_Ped_Lab_24_06">PedBerLab!$I$9</definedName>
    <definedName name="_Ped_Lab_24_07">PedBerLab!$I$10</definedName>
    <definedName name="_Ped_Lab_24_08">PedBerLab!$I$11</definedName>
    <definedName name="_Ped_Lab_24_09">PedBerLab!$I$12</definedName>
    <definedName name="_Ped_Lab_24_10">PedBerLab!$I$13</definedName>
    <definedName name="_Ped_Lab_24_11">PedBerLab!$I$14</definedName>
    <definedName name="_Ped_Lab_24_12">PedBerLab!$I$15</definedName>
    <definedName name="_Ped_Lab_24_13">PedBerLab!$I$16</definedName>
    <definedName name="_Ped_Lab_24_14">PedBerLab!$I$17</definedName>
    <definedName name="_Ped_Lab_24_15">PedBerLab!$I$18</definedName>
    <definedName name="_Ped_Lab_24_16">PedBerLab!$I$19</definedName>
    <definedName name="_Ped_Lab_24_17">PedBerLab!$I$20</definedName>
    <definedName name="_Ped_Lab_24_18">PedBerLab!$I$21</definedName>
    <definedName name="_Ped_Lab_24_19">PedBerLab!$I$22</definedName>
    <definedName name="_Ped_Lab_24_20">PedBerLab!$I$23</definedName>
    <definedName name="_Ped_Lab_24_21">PedBerLab!$I$24</definedName>
    <definedName name="_Ped_Lab_24_22">PedBerLab!$I$25</definedName>
    <definedName name="_Ped_Lab_24_23">PedBerLab!$I$26</definedName>
    <definedName name="_Ped_Lab_24_24">PedBerLab!$I$27</definedName>
    <definedName name="_Ped_Lab_24_25">PedBerLab!$I$28</definedName>
    <definedName name="_Ped_Lab_24_26">PedBerLab!$I$29</definedName>
    <definedName name="_Ped_Lab_24_27">PedBerLab!$I$30</definedName>
    <definedName name="_Ped_Lab_24_28">PedBerLab!$I$31</definedName>
    <definedName name="_Ped_Lab_24_29">PedBerLab!$I$32</definedName>
    <definedName name="_Ped_Lab_24_30">PedBerLab!$I$33</definedName>
    <definedName name="_Ped_Lab_24_31">PedBerLab!$I$34</definedName>
    <definedName name="_Ped_Lab_Dag1_01">PedBerLab!$L$4</definedName>
    <definedName name="_Ped_Lab_Dag1_02">PedBerLab!$L$5</definedName>
    <definedName name="_Ped_Lab_Dag1_03">PedBerLab!$L$6</definedName>
    <definedName name="_Ped_Lab_Dag1_04">PedBerLab!$L$7</definedName>
    <definedName name="_Ped_Lab_Dag1_05">PedBerLab!$L$8</definedName>
    <definedName name="_Ped_Lab_Dag1_06">PedBerLab!$L$9</definedName>
    <definedName name="_Ped_Lab_Dag1_07">PedBerLab!$L$10</definedName>
    <definedName name="_Ped_Lab_Dag1_08">PedBerLab!$L$11</definedName>
    <definedName name="_Ped_Lab_Dag1_09">PedBerLab!$L$12</definedName>
    <definedName name="_Ped_Lab_Dag1_10">PedBerLab!$L$13</definedName>
    <definedName name="_Ped_Lab_Dag1_11">PedBerLab!$L$14</definedName>
    <definedName name="_Ped_Lab_Dag1_12">PedBerLab!$L$15</definedName>
    <definedName name="_Ped_Lab_Dag1_13">PedBerLab!$L$16</definedName>
    <definedName name="_Ped_Lab_Dag1_14">PedBerLab!$L$17</definedName>
    <definedName name="_Ped_Lab_Dag1_15">PedBerLab!$L$18</definedName>
    <definedName name="_Ped_Lab_Dag1_16">PedBerLab!$L$19</definedName>
    <definedName name="_Ped_Lab_Dag1_17">PedBerLab!$L$20</definedName>
    <definedName name="_Ped_Lab_Dag1_18">PedBerLab!$L$21</definedName>
    <definedName name="_Ped_Lab_Dag1_19">PedBerLab!$L$22</definedName>
    <definedName name="_Ped_Lab_Dag1_20">PedBerLab!$L$23</definedName>
    <definedName name="_Ped_Lab_Dag1_21">PedBerLab!$L$24</definedName>
    <definedName name="_Ped_Lab_Dag1_22">PedBerLab!$L$25</definedName>
    <definedName name="_Ped_Lab_Dag1_23">PedBerLab!$L$26</definedName>
    <definedName name="_Ped_Lab_Dag1_24">PedBerLab!$L$27</definedName>
    <definedName name="_Ped_Lab_Dag1_25">PedBerLab!$L$28</definedName>
    <definedName name="_Ped_Lab_Dag1_26">PedBerLab!$L$29</definedName>
    <definedName name="_Ped_Lab_Dag1_27">PedBerLab!$L$30</definedName>
    <definedName name="_Ped_Lab_Dag1_28">PedBerLab!$L$31</definedName>
    <definedName name="_Ped_Lab_Dag1_29">PedBerLab!$L$32</definedName>
    <definedName name="_Ped_Lab_Dag1_30">PedBerLab!$L$33</definedName>
    <definedName name="_Ped_Lab_Dag1_31">PedBerLab!$L$34</definedName>
    <definedName name="_Ped_Lab_Opm">GlobBerOpm!$B$5</definedName>
    <definedName name="_Ped_Lab_Opn_01">PedBerLab!$C$4</definedName>
    <definedName name="_Ped_Lab_Opn_02">PedBerLab!$C$5</definedName>
    <definedName name="_Ped_Lab_Opn_03">PedBerLab!$C$6</definedName>
    <definedName name="_Ped_Lab_Opn_04">PedBerLab!$C$7</definedName>
    <definedName name="_Ped_Lab_Opn_05">PedBerLab!$C$8</definedName>
    <definedName name="_Ped_Lab_Opn_06">PedBerLab!$C$9</definedName>
    <definedName name="_Ped_Lab_Opn_07">PedBerLab!$C$10</definedName>
    <definedName name="_Ped_Lab_Opn_08">PedBerLab!$C$11</definedName>
    <definedName name="_Ped_Lab_Opn_09">PedBerLab!$C$12</definedName>
    <definedName name="_Ped_Lab_Opn_10">PedBerLab!$C$13</definedName>
    <definedName name="_Ped_Lab_Opn_11">PedBerLab!$C$14</definedName>
    <definedName name="_Ped_Lab_Opn_12">PedBerLab!$C$15</definedName>
    <definedName name="_Ped_Lab_Opn_13">PedBerLab!$C$16</definedName>
    <definedName name="_Ped_Lab_Opn_14">PedBerLab!$C$17</definedName>
    <definedName name="_Ped_Lab_Opn_15">PedBerLab!$C$18</definedName>
    <definedName name="_Ped_Lab_Opn_16">PedBerLab!$C$19</definedName>
    <definedName name="_Ped_Lab_Opn_17">PedBerLab!$C$20</definedName>
    <definedName name="_Ped_Lab_Opn_18">PedBerLab!$C$21</definedName>
    <definedName name="_Ped_Lab_Opn_19">PedBerLab!$C$22</definedName>
    <definedName name="_Ped_Lab_Opn_20">PedBerLab!$C$23</definedName>
    <definedName name="_Ped_Lab_Opn_21">PedBerLab!$C$24</definedName>
    <definedName name="_Ped_Lab_Opn_22">PedBerLab!$C$25</definedName>
    <definedName name="_Ped_Lab_Opn_23">PedBerLab!$C$26</definedName>
    <definedName name="_Ped_Lab_Opn_24">PedBerLab!$C$27</definedName>
    <definedName name="_Ped_Lab_Opn_25">PedBerLab!$C$28</definedName>
    <definedName name="_Ped_Lab_Opn_26">PedBerLab!$C$29</definedName>
    <definedName name="_Ped_Lab_Opn_27">PedBerLab!$C$30</definedName>
    <definedName name="_Ped_Lab_Opn_28">PedBerLab!$C$31</definedName>
    <definedName name="_Ped_Lab_Opn_29">PedBerLab!$C$32</definedName>
    <definedName name="_Ped_Lab_Opn_30">PedBerLab!$C$33</definedName>
    <definedName name="_Ped_Lab_Opn_31">PedBerLab!$C$34</definedName>
    <definedName name="_Ped_Lab_Opn_32">PedBerLab!$C$35</definedName>
    <definedName name="_Ped_MedIV_Keuze_01">PedBerMedIV!$B$3</definedName>
    <definedName name="_Ped_MedIV_Keuze_02">PedBerMedIV!$B$4</definedName>
    <definedName name="_Ped_MedIV_Keuze_03">PedBerMedIV!$B$5</definedName>
    <definedName name="_Ped_MedIV_Keuze_04">PedBerMedIV!$B$6</definedName>
    <definedName name="_Ped_MedIV_Keuze_05">PedBerMedIV!$B$7</definedName>
    <definedName name="_Ped_MedIV_Keuze_06">PedBerMedIV!$B$8</definedName>
    <definedName name="_Ped_MedIV_Keuze_07">PedBerMedIV!$B$9</definedName>
    <definedName name="_Ped_MedIV_Keuze_08">PedBerMedIV!$B$10</definedName>
    <definedName name="_Ped_MedIV_Keuze_09">PedBerMedIV!$B$11</definedName>
    <definedName name="_Ped_MedIV_Keuze_10">PedBerMedIV!$B$12</definedName>
    <definedName name="_Ped_MedIV_Keuze_11">PedBerMedIV!$B$13</definedName>
    <definedName name="_Ped_MedIV_Keuze_12">PedBerMedIV!$B$14</definedName>
    <definedName name="_Ped_MedIV_Keuze_13">PedBerMedIV!$B$15</definedName>
    <definedName name="_Ped_MedIV_Keuze_14">PedBerMedIV!$B$16</definedName>
    <definedName name="_Ped_MedIV_Keuze_15">PedBerMedIV!$B$17</definedName>
    <definedName name="_Ped_MedIV_Keuze_16">PedBerMedIV!$B$18</definedName>
    <definedName name="_Ped_MedIV_Keuze_17">PedBerMedIV!$B$19</definedName>
    <definedName name="_Ped_MedIV_Keuze_18">PedBerMedIV!$B$20</definedName>
    <definedName name="_Ped_MedIV_Keuze_19">PedBerMedIV!$B$21</definedName>
    <definedName name="_Ped_MedIV_Keuze_20">PedBerMedIV!$B$22</definedName>
    <definedName name="_Ped_MedIV_OplVlst_01">PedBerMedIV!$I$3</definedName>
    <definedName name="_Ped_MedIV_OplVlst_02">PedBerMedIV!$I$4</definedName>
    <definedName name="_Ped_MedIV_OplVlst_03">PedBerMedIV!$I$5</definedName>
    <definedName name="_Ped_MedIV_OplVlst_04">PedBerMedIV!$I$6</definedName>
    <definedName name="_Ped_MedIV_OplVlst_05">PedBerMedIV!$I$7</definedName>
    <definedName name="_Ped_MedIV_OplVlst_06">PedBerMedIV!$I$8</definedName>
    <definedName name="_Ped_MedIV_OplVlst_07">PedBerMedIV!$I$9</definedName>
    <definedName name="_Ped_MedIV_OplVlst_08">PedBerMedIV!$I$10</definedName>
    <definedName name="_Ped_MedIV_OplVlst_09">PedBerMedIV!$I$11</definedName>
    <definedName name="_Ped_MedIV_OplVlst_10">PedBerMedIV!$I$12</definedName>
    <definedName name="_Ped_MedIV_OplVlst_11">PedBerMedIV!$I$13</definedName>
    <definedName name="_Ped_MedIV_OplVlst_12">PedBerMedIV!$I$14</definedName>
    <definedName name="_Ped_MedIV_OplVlst_13">PedBerMedIV!$I$15</definedName>
    <definedName name="_Ped_MedIV_OplVlst_14">PedBerMedIV!$I$16</definedName>
    <definedName name="_Ped_MedIV_OplVlst_15">PedBerMedIV!$I$17</definedName>
    <definedName name="_Ped_MedIV_OplVlst_16">PedBerMedIV!$I$18</definedName>
    <definedName name="_Ped_MedIV_OplVlst_17">PedBerMedIV!$I$19</definedName>
    <definedName name="_Ped_MedIV_OplVlst_18">PedBerMedIV!$I$20</definedName>
    <definedName name="_Ped_MedIV_OplVlst_19">PedBerMedIV!$I$21</definedName>
    <definedName name="_Ped_MedIV_OplVlst_20">PedBerMedIV!$I$22</definedName>
    <definedName name="_Ped_MedIV_OplVol_01">PedBerMedIV!$E$3</definedName>
    <definedName name="_Ped_MedIV_OplVol_02">PedBerMedIV!$E$4</definedName>
    <definedName name="_Ped_MedIV_OplVol_03">PedBerMedIV!$E$5</definedName>
    <definedName name="_Ped_MedIV_OplVol_04">PedBerMedIV!$E$6</definedName>
    <definedName name="_Ped_MedIV_OplVol_05">PedBerMedIV!$E$7</definedName>
    <definedName name="_Ped_MedIV_OplVol_06">PedBerMedIV!$E$8</definedName>
    <definedName name="_Ped_MedIV_OplVol_07">PedBerMedIV!$E$9</definedName>
    <definedName name="_Ped_MedIV_OplVol_08">PedBerMedIV!$E$10</definedName>
    <definedName name="_Ped_MedIV_OplVol_09">PedBerMedIV!$E$11</definedName>
    <definedName name="_Ped_MedIV_OplVol_10">PedBerMedIV!$E$12</definedName>
    <definedName name="_Ped_MedIV_OplVol_11">PedBerMedIV!$E$13</definedName>
    <definedName name="_Ped_MedIV_OplVol_12">PedBerMedIV!$E$14</definedName>
    <definedName name="_Ped_MedIV_OplVol_13">PedBerMedIV!$E$15</definedName>
    <definedName name="_Ped_MedIV_OplVol_14">PedBerMedIV!$E$16</definedName>
    <definedName name="_Ped_MedIV_OplVol_15">PedBerMedIV!$E$17</definedName>
    <definedName name="_Ped_MedIV_OplVol_16">PedBerMedIV!$E$18</definedName>
    <definedName name="_Ped_MedIV_OplVol_17">PedBerMedIV!$E$19</definedName>
    <definedName name="_Ped_MedIV_OplVol_18">PedBerMedIV!$E$20</definedName>
    <definedName name="_Ped_MedIV_OplVol_19">PedBerMedIV!$E$21</definedName>
    <definedName name="_Ped_MedIV_OplVol_20">PedBerMedIV!$E$22</definedName>
    <definedName name="_Ped_MedIV_Opm">GlobBerOpm!$B$3</definedName>
    <definedName name="_Ped_MedIV_Stand_01">PedBerMedIV!$J$3</definedName>
    <definedName name="_Ped_MedIV_Stand_02">PedBerMedIV!$J$4</definedName>
    <definedName name="_Ped_MedIV_Stand_03">PedBerMedIV!$J$5</definedName>
    <definedName name="_Ped_MedIV_Stand_04">PedBerMedIV!$J$6</definedName>
    <definedName name="_Ped_MedIV_Stand_05">PedBerMedIV!$J$7</definedName>
    <definedName name="_Ped_MedIV_Stand_06">PedBerMedIV!$J$8</definedName>
    <definedName name="_Ped_MedIV_Stand_07">PedBerMedIV!$J$9</definedName>
    <definedName name="_Ped_MedIV_Stand_08">PedBerMedIV!$J$10</definedName>
    <definedName name="_Ped_MedIV_Stand_09">PedBerMedIV!$J$11</definedName>
    <definedName name="_Ped_MedIV_Stand_10">PedBerMedIV!$J$12</definedName>
    <definedName name="_Ped_MedIV_Stand_11">PedBerMedIV!$J$13</definedName>
    <definedName name="_Ped_MedIV_Stand_12">PedBerMedIV!$J$14</definedName>
    <definedName name="_Ped_MedIV_Stand_13">PedBerMedIV!$J$15</definedName>
    <definedName name="_Ped_MedIV_Stand_14">PedBerMedIV!$J$16</definedName>
    <definedName name="_Ped_MedIV_Stand_15">PedBerMedIV!$J$17</definedName>
    <definedName name="_Ped_MedIV_Stand_16">PedBerMedIV!$J$18</definedName>
    <definedName name="_Ped_MedIV_Stand_17">PedBerMedIV!$J$19</definedName>
    <definedName name="_Ped_MedIV_Stand_18">PedBerMedIV!$J$20</definedName>
    <definedName name="_Ped_MedIV_Stand_19">PedBerMedIV!$J$21</definedName>
    <definedName name="_Ped_MedIV_Stand_20">PedBerMedIV!$J$22</definedName>
    <definedName name="_Ped_MedIV_Sterkte_01">PedBerMedIV!$D$3</definedName>
    <definedName name="_Ped_MedIV_Sterkte_02">PedBerMedIV!$D$4</definedName>
    <definedName name="_Ped_MedIV_Sterkte_03">PedBerMedIV!$D$5</definedName>
    <definedName name="_Ped_MedIV_Sterkte_04">PedBerMedIV!$D$6</definedName>
    <definedName name="_Ped_MedIV_Sterkte_05">PedBerMedIV!$D$7</definedName>
    <definedName name="_Ped_MedIV_Sterkte_06">PedBerMedIV!$D$8</definedName>
    <definedName name="_Ped_MedIV_Sterkte_07">PedBerMedIV!$D$9</definedName>
    <definedName name="_Ped_MedIV_Sterkte_08">PedBerMedIV!$D$10</definedName>
    <definedName name="_Ped_MedIV_Sterkte_09">PedBerMedIV!$D$11</definedName>
    <definedName name="_Ped_MedIV_Sterkte_10">PedBerMedIV!$D$12</definedName>
    <definedName name="_Ped_MedIV_Sterkte_11">PedBerMedIV!$D$13</definedName>
    <definedName name="_Ped_MedIV_Sterkte_12">PedBerMedIV!$D$14</definedName>
    <definedName name="_Ped_MedIV_Sterkte_13">PedBerMedIV!$D$15</definedName>
    <definedName name="_Ped_MedIV_Sterkte_14">PedBerMedIV!$D$16</definedName>
    <definedName name="_Ped_MedIV_Sterkte_15">PedBerMedIV!$D$17</definedName>
    <definedName name="_Ped_MedIV_Sterkte_16">PedBerMedIV!$D$18</definedName>
    <definedName name="_Ped_MedIV_Sterkte_17">PedBerMedIV!$D$19</definedName>
    <definedName name="_Ped_MedIV_Sterkte_18">PedBerMedIV!$D$20</definedName>
    <definedName name="_Ped_MedIV_Sterkte_19">PedBerMedIV!$D$21</definedName>
    <definedName name="_Ped_MedIV_Sterkte_20">PedBerMedIV!$D$22</definedName>
    <definedName name="_Ped_PM_Actief">PedBerIVenPM!$H$2</definedName>
    <definedName name="_Ped_PM_AO">PedBerIVenPM!$K$2</definedName>
    <definedName name="_Ped_PM_AS">PedBerIVenPM!$K$5</definedName>
    <definedName name="_Ped_PM_AV">PedBerIVenPM!$K$4</definedName>
    <definedName name="_Ped_PM_Freq">PedBerIVenPM!$K$1</definedName>
    <definedName name="_Ped_PM_Mod">PedBerIVenPM!$I$2</definedName>
    <definedName name="_Ped_PM_VO">PedBerIVenPM!$K$3</definedName>
    <definedName name="_Ped_PM_VS">PedBerIVenPM!$K$6</definedName>
    <definedName name="_Ped_TPN_CaCl">PedBerTPN!$C$9</definedName>
    <definedName name="_Ped_TPN_CaGlucVol">PedBerTPN!$E$9</definedName>
    <definedName name="_Ped_TPN_KCl1">PedBerTPN!$C$8</definedName>
    <definedName name="_Ped_TPN_KCl2">PedBerTPN!$C$22</definedName>
    <definedName name="_Ped_TPN_KClVol1">PedBerTPN!$E$8</definedName>
    <definedName name="_Ped_TPN_KClVol2">PedBerTPN!$E$22</definedName>
    <definedName name="_Ped_TPN_Keuze">PedBerTPN!$B$4</definedName>
    <definedName name="_Ped_TPN_KNaFosf">PedBerTPN!$C$11</definedName>
    <definedName name="_Ped_TPN_KNaFosfVol">PedBerTPN!$E$11</definedName>
    <definedName name="_Ped_TPN_LipidStand">PedBerTPN!$D$12</definedName>
    <definedName name="_Ped_TPN_MgCl">PedBerTPN!$C$10</definedName>
    <definedName name="_Ped_TPN_MgClVol">PedBerTPN!$E$10</definedName>
    <definedName name="_Ped_TPN_NaCl1">PedBerTPN!$C$7</definedName>
    <definedName name="_Ped_TPN_NaCl2">PedBerTPN!$C$21</definedName>
    <definedName name="_Ped_TPN_NaClVol1">PedBerTPN!$E$7</definedName>
    <definedName name="_Ped_TPN_NaClVol2">PedBerTPN!$E$21</definedName>
    <definedName name="_Ped_TPN_Opm">GlobBerOpm!$B$4</definedName>
    <definedName name="_Ped_TPN_PediTrace">PedBerTPN!$E$5</definedName>
    <definedName name="_Ped_TPN_SMOF">PedBerTPN!$C$16</definedName>
    <definedName name="_Ped_TPN_Soluvit">PedBerTPN!$C$15</definedName>
    <definedName name="_Ped_TPN_SoluvitVol">PedBerTPN!$E$15</definedName>
    <definedName name="_Ped_TPN_SST1Keuze">PedBerTPN!$B$6</definedName>
    <definedName name="_Ped_TPN_SST1Stand">PedBerTPN!$D$3</definedName>
    <definedName name="_Ped_TPN_SST2Keuze">PedBerTPN!$B$20</definedName>
    <definedName name="_Ped_TPN_SST2Stand">PedBerTPN!$D$19</definedName>
    <definedName name="_Ped_TPN_VitIntra">PedBerTPN!$C$14</definedName>
    <definedName name="_Ped_TPN_VitIntraVol">PedBerTPN!$E$14</definedName>
    <definedName name="_Ped_TPN_Vol">PedBerTPN!$E$4</definedName>
    <definedName name="_xlnm.Print_Area" localSheetId="60">NeoGuiAcuut!$B$2:$G$31</definedName>
    <definedName name="_xlnm.Print_Area" localSheetId="61">NeoPrtAfspr!$A$1:$Q$68</definedName>
    <definedName name="_xlnm.Print_Area" localSheetId="62">NeoPrtApoth!$A$1:$Q$63</definedName>
    <definedName name="_xlnm.Print_Area" localSheetId="54">NeoPrtMedDisc!$B$1:$AG$22</definedName>
    <definedName name="_xlnm.Print_Area" localSheetId="34">PedGuiAcuut!$B$2:$G$44</definedName>
    <definedName name="_xlnm.Print_Area" localSheetId="37">PedPrtAfspr!$A$2:$J$127</definedName>
    <definedName name="_xlnm.Print_Area" localSheetId="38">PedPrtMedDisc!$B$1:$AG$22</definedName>
    <definedName name="_xlnm.Print_Area" localSheetId="42">PedPrtTPN16tot30!$A$1:$H$48</definedName>
    <definedName name="_xlnm.Print_Area" localSheetId="40">PedPrtTPN2tot6!$A$1:$H$48</definedName>
    <definedName name="_xlnm.Print_Area" localSheetId="44">PedPrtTPN50!$A$1:$H$52</definedName>
    <definedName name="_xlnm.Print_Area" localSheetId="41">PedPrtTPN7tot15!$A$1:$H$50</definedName>
    <definedName name="_xlnm.Print_Area" localSheetId="43">PedTPN31tot50!$A$1:$H$49</definedName>
    <definedName name="rngNeoAfsprBlns">NeoBerAfspr!$B$7:$B$11,NeoBerAfspr!$D$11:$D$14,NeoBerAfspr!$B$15:$B$19,NeoBerAfspr!$B$22:$B$32,NeoBerAfspr!$B$34,NeoBerAfspr!$B$37,NeoBerAfspr!$B$40,NeoBerAfspr!$B$43:$B$46,NeoBerAfspr!$D$43:$D$45,NeoBerAfspr!$F$7:$F$8,NeoBerAfspr!$F$12:$F$15,NeoBerAfspr!$F$17:$F$18,NeoBerAfspr!$F$21:$F$23,NeoBerAfspr!$F$31,NeoBerAfspr!$H$8:$H$11,NeoBerAfspr!$H$13,NeoBerAfspr!$H$15:$H$16,NeoBerAfspr!$H$18:$H$20,NeoBerAfspr!$H$22:$H$30,NeoBerAfspr!$J$7:$J$20,NeoBerAfspr!$J$24,NeoBerAfspr!$L$21:$L$27,NeoBerAfspr!$L$28,NeoBerAfspr!$J$29</definedName>
    <definedName name="rngNeoAfsprData">NeoBerAfspr!$B$12,NeoBerAfspr!$D$22,NeoBerAfspr!$D$34:$D$42,NeoBerAfspr!$D$46:$D$47,NeoBerAfspr!$K$17,NeoBerAfspr!$L$17,NeoBerAfspr!$L$20,NeoBerAfspr!$G$31,NeoBerAfspr!$D$27,NeoBerAfspr!$C$8,NeoBerAfspr!$D$8,NeoBerAfspr!$D$9,NeoBerAfspr!$C$9,NeoBerAfspr!$K$29,NeoBerAfspr!$C$18,NeoBerAfspr!$D$18,NeoBerAfspr!$K$20</definedName>
    <definedName name="rngNeoLabData">NeoBerLab!$C$4:$C$35,NeoBerLab!$E$4:$E$34,NeoBerLab!$G$4:$G$34,NeoBerLab!$I$4:$I$34,NeoBerLab!$K$4:$K$34,NeoBerLab!$M$4:$M$34,NeoBerLab!$O$4:$O$34,NeoBerLab!$Q$4:$Q$34,NeoBerLab!$S$4:$S$34,NeoBerLab!$D$38</definedName>
    <definedName name="rngPedAfsprBlns">PedBerAfspr!$B$7,PedBerAfspr!$B$8,PedBerAfspr!$B$9,PedBerAfspr!$B$10,PedBerAfspr!$B$11,PedBerAfspr!$D$11,PedBerAfspr!$D$12,PedBerAfspr!$D$13,PedBerAfspr!$D$14,PedBerAfspr!$B$15,PedBerAfspr!$B$16,PedBerAfspr!$B$17,PedBerAfspr!$B$20,PedBerAfspr!$B$21,PedBerAfspr!$B$22,PedBerAfspr!$B$23,PedBerAfspr!$B$24,PedBerAfspr!$B$25,PedBerAfspr!$B$27,PedBerAfspr!$B$30,PedBerAfspr!$B$33,PedBerAfspr!$B$36,PedBerAfspr!$B$37,PedBerAfspr!$B$38,PedBerAfspr!$B$39,PedBerAfspr!$D$36,PedBerAfspr!$D$37,PedBerAfspr!$D$38,PedBerAfspr!$F$7,PedBerAfspr!$F$8,PedBerAfspr!$F$9,PedBerAfspr!$F$10,PedBerAfspr!$F$11,PedBerAfspr!$F$12,PedBerAfspr!$F$13,PedBerAfspr!$F$14,PedBerAfspr!$F$15,PedBerAfspr!$B$42,PedBerAfspr!$B$43,PedBerAfspr!$B$44,PedBerAfspr!$F$16,PedBerAfspr!$F$18</definedName>
    <definedName name="rngPedAfsprData">PedBerAfspr!$D$7,PedBerAfspr!$D$8,PedBerAfspr!$D$9,PedBerAfspr!$D$10,PedBerAfspr!$B$12,PedBerAfspr!$D$27,PedBerAfspr!$D$28,PedBerAfspr!$D$29,PedBerAfspr!$D$30,PedBerAfspr!$D$31,PedBerAfspr!$D$32,PedBerAfspr!$D$33,PedBerAfspr!$D$34,PedBerAfspr!$D$35,PedBerAfspr!$D$39,PedBerAfspr!$D$40,PedBerAfspr!$F$17,PedBerAfspr!$C$7,PedBerAfspr!$C$8,PedBerAfspr!$C$9,PedBerAfspr!$C$10,PedBerAfspr!$G$16,PedBerAfspr!$G$18,PedBerAfspr!$H$18,PedBerAfspr!$C$42,PedBerAfspr!$C$43</definedName>
    <definedName name="rngPedLabData">PedBerLab!$C$4:$C$35,PedBerLab!$E$4:$E$34,PedBerLab!$G$4:$G$34,PedBerLab!$I$4:$I$34,PedBerLab!$L$4:$L$34,PedBerLab!$N$4:$N$34,PedBerLab!$P$4:$P$34</definedName>
    <definedName name="SettingDataDir">GlobSettings!$B$9</definedName>
    <definedName name="SettingDevDir">GlobSettings!$B$6</definedName>
    <definedName name="SettingDevMode">GlobSettings!$B$2</definedName>
    <definedName name="SettingLogDir">GlobSettings!$B$8</definedName>
    <definedName name="SettingLogging">GlobSettings!$B$3</definedName>
    <definedName name="SettingNeoDir">GlobSettings!$B$4</definedName>
    <definedName name="SettingPedDir">GlobSettings!$B$5</definedName>
    <definedName name="SettingTestLogDir">GlobSettings!$B$7</definedName>
    <definedName name="Tbl_Glob_BerPoeder">GlobTblEnt!$O$44:$AA$69</definedName>
    <definedName name="Tbl_Glob_BerVoeding">GlobTblEnt!$O$3:$AA$38</definedName>
    <definedName name="Tbl_Glob_Conversie">GlobBerConv!$A$2:$C$13</definedName>
    <definedName name="Tbl_Glob_ParEnt">GlobTblParEnt!$A$5:$M$41</definedName>
    <definedName name="tbl_Glob_Patient">PatData!$A$1:$B$763</definedName>
    <definedName name="tbl_Neo_Beds">GlobSettings!$E$2:$E$54</definedName>
    <definedName name="tbl_Neo_Dose">NeoTblLijst!$J$3:$K$11</definedName>
    <definedName name="tbl_Neo_FaktorLijst">NeoTblLijst!$K$3:$K$8</definedName>
    <definedName name="tbl_Neo_IntralipidSmof">NeoTblLijst!$AE$3:$AE$4</definedName>
    <definedName name="tbl_Neo_LijstToevoegingenKV">NeoTblLijst!$M$44:$Y$48</definedName>
    <definedName name="tbl_Neo_LijstToevoegingenMM">NeoTblLijst!$M$33:$Y$39</definedName>
    <definedName name="tbl_Neo_LijstVoeding">NeoTblLijst!$M$3:$Z$19</definedName>
    <definedName name="tbl_Neo_MedIV">NeoTblMedIV!$B$2:$K$26</definedName>
    <definedName name="tbl_Neo_NutrBMFToev">NeoTblLijst!$M$51:$Y$52</definedName>
    <definedName name="tbl_Neo_NutrBMFWaard">NeoTblLijst!$AB$3:$AB$5</definedName>
    <definedName name="tbl_Neo_NutrKunstToev">NeoTblLijst!$L$44:$Y$48</definedName>
    <definedName name="tbl_Neo_NutrMMToev">NeoTblLijst!$L$33:$Y$39</definedName>
    <definedName name="tbl_Neo_NutrToevWaard">NeoTblLijst!$AC$3:$AC$13</definedName>
    <definedName name="tbl_Neo_Opl">NeoTblLijst!$A$3:$H$18</definedName>
    <definedName name="tbl_Neo_OpzoektabelKV">NeoTblLijst!$M$43:$Y$48</definedName>
    <definedName name="tbl_Neo_OpzoektabelMM">NeoTblLijst!$M$32:$Y$39</definedName>
    <definedName name="tbl_Neo_OpzoektabelVoeding">NeoTblLijst!$M$2:$Z$19</definedName>
    <definedName name="Tbl_Neo_PoedKV">NeoTblEnt!$A$33:$M$37</definedName>
    <definedName name="Tbl_Neo_PoedMM">NeoTblEnt!$A$23:$M$30</definedName>
    <definedName name="tbl_Neo_Pos">NeoTblLijst!$M$3:$Y$19</definedName>
    <definedName name="tbl_Neo_ToevoegingenKVPrint">NeoTblLijst!$L$44:$L$48</definedName>
    <definedName name="tbl_Neo_ToevoegingenMMPrint">NeoTblLijst!$L$33:$L$39</definedName>
    <definedName name="tbl_Neo_TpnNICU">NeoTblLijst!$M$25:$V$26</definedName>
    <definedName name="tbl_Neo_Tube">NeoGuiAcuut!$L$22:$N$24</definedName>
    <definedName name="Tbl_Neo_Voed">NeoTblEnt!$A$4:$M$20</definedName>
    <definedName name="tbl_Ped_aEEG">PedTblAfspr!$A$2:$A$5</definedName>
    <definedName name="tbl_Ped_Beds">GlobSettings!$D$2:$D$19</definedName>
    <definedName name="tbl_Ped_DrainLokatie">PedTblAfspr!$C$2:$C$6</definedName>
    <definedName name="tbl_Ped_DrainModus">PedTblAfspr!$D$2:$D$5</definedName>
    <definedName name="tbl_Ped_DrainZuig">PedTblAfspr!$B$2:$B$8</definedName>
    <definedName name="tbl_Ped_Lijnen">PedTblAfspr!$F$2:$F$6</definedName>
    <definedName name="tbl_Ped_LiquorDrain">PedTblAfspr!$J$2:$J$5</definedName>
    <definedName name="tbl_Ped_NIBD">PedTblAfspr!$E$2:$E$6</definedName>
    <definedName name="tbl_Ped_Periode">PedTblAfspr!$I$2:$I$5</definedName>
    <definedName name="tbl_Ped_PMInstelling">PedBerIVenPM!$K$1:$K$6</definedName>
    <definedName name="tbl_Ped_PMStandaard">PedBerIVenPM!$L$1:$L$6</definedName>
    <definedName name="Tbl_Ped_Poeder">PedTblEnt!$D$33:$Q$56</definedName>
    <definedName name="Tbl_Ped_SST">PedTblParEnt!$A$12:$M$26</definedName>
    <definedName name="Tbl_Ped_TPN">PedTblParEnt!$A$4:$M$10</definedName>
    <definedName name="tbl_Ped_tpnB">PedBerTPN!$A$29:$I$29</definedName>
    <definedName name="tbl_Ped_tpnC">PedBerTPN!$A$30:$I$30</definedName>
    <definedName name="tbl_Ped_tpnD">PedBerTPN!$A$31:$I$31</definedName>
    <definedName name="tbl_Ped_tpnE">PedBerTPN!$A$32:$I$32</definedName>
    <definedName name="tbl_Ped_tpnNutriflex">PedBerTPN!$A$33:$I$33</definedName>
    <definedName name="tbl_Ped_tpnSelected">PedBerTPN!$A$28:$I$28</definedName>
    <definedName name="tbl_Ped_VertrekTijden">PedTblAfspr!$G$2:$H$98</definedName>
    <definedName name="Tbl_Ped_Voeding">PedTblEnt!$D$4:$Q$28</definedName>
    <definedName name="tblBerMedContIV">PedBerMedIV!$B$2:$H$17</definedName>
    <definedName name="tblInfusen">PedTblIV!$A$2:$A$34</definedName>
    <definedName name="tblInfusenBer">PedTblIV!$A$2:$C$34</definedName>
    <definedName name="tblMedDiscEenh">PedTblMedDisc!$E$2:$E$7</definedName>
    <definedName name="tblMedDiscOplVl">PedTblMedDisc!$B$2:$B$5</definedName>
    <definedName name="tblMedDiscTijden">PedTblMedDisc!$C$2:$D$14</definedName>
    <definedName name="tblMedDiscTijdenIndex">PedTblMedDisc!$C$2:$C$14</definedName>
    <definedName name="tblMedDiscTijdenValues">PedTblMedDisc!$D$2:$D$14</definedName>
    <definedName name="tblMedDiscToed">PedTblMedDisc!$A$2:$A$13</definedName>
    <definedName name="tblMedicationContIV">PedTblMedIV!$B$3:$W$34</definedName>
    <definedName name="tblOmrekenCa">GlobTblEnt!#REF!</definedName>
    <definedName name="tblOmrekenCl">GlobTblEnt!#REF!</definedName>
    <definedName name="tblOmrekenFe">GlobTblEnt!#REF!</definedName>
    <definedName name="tblOmrekenK">GlobTblEnt!#REF!</definedName>
    <definedName name="tblOmrekenMg">GlobTblEnt!#REF!</definedName>
    <definedName name="tblOmrekenNA">GlobTblEnt!#REF!</definedName>
    <definedName name="tblOmrekenP">GlobTblEnt!#REF!</definedName>
    <definedName name="tblOmrekenVitD">GlobTblEnt!#REF!</definedName>
    <definedName name="tblOplossing">PedTblMedIV!$Y$3:$Y$6</definedName>
    <definedName name="tblOpzoekenMedicatieIV">PedTblMedIV!$A$3:$B$34</definedName>
    <definedName name="tblPacemakerModus">PedTblIV!$F$2:$F$5</definedName>
    <definedName name="tblPacemakerPositie">PedTblIV!$E$2:$E$5</definedName>
    <definedName name="tblPerOs">PedTblEnt!#REF!</definedName>
    <definedName name="tblPO_poederlijst">PedTblEnt!#REF!</definedName>
    <definedName name="tblPoeder">PedTblEnt!#REF!</definedName>
    <definedName name="tblSonde">PedTblEnt!$A$2:$A$6</definedName>
    <definedName name="tblSSTGlucose">PedBerTPN!$K$27:$K$40</definedName>
    <definedName name="tblTijden">GlobBerMedDisc!$C$28:$D$39</definedName>
    <definedName name="tblTPN">PedBerTPN!$A$27:$I$28</definedName>
    <definedName name="tblVoedingBasislijst">GlobTblEnt!$A$2:$M$38</definedName>
    <definedName name="tblVoedingPO">PedTblEnt!#REF!</definedName>
    <definedName name="tblVoedingPoeder">GlobTblEnt!$A$43:$M$69</definedName>
    <definedName name="Txt_Neo_InfB_ContIV_01">NeoBerInfB!$B$90</definedName>
    <definedName name="Txt_Neo_InfB_ContIV_02">NeoBerInfB!$B$91</definedName>
    <definedName name="Txt_Neo_InfB_ContIV_03">NeoBerInfB!$B$92</definedName>
    <definedName name="Txt_Neo_InfB_ContIV_04">NeoBerInfB!$B$93</definedName>
    <definedName name="Txt_Neo_InfB_ContIV_05">NeoBerInfB!$B$94</definedName>
    <definedName name="Txt_Neo_InfB_ContIV_06">NeoBerInfB!$B$95</definedName>
    <definedName name="Txt_Neo_InfB_ContIV_07">NeoBerInfB!$B$96</definedName>
    <definedName name="Txt_Neo_InfB_ContIV_08">NeoBerInfB!$B$97</definedName>
    <definedName name="Txt_Neo_InfB_ContIV_09">NeoBerInfB!$B$98</definedName>
    <definedName name="Txt_Neo_InfB_ContIV_10">NeoBerInfB!$B$99</definedName>
    <definedName name="Txt_Neo_InfB_ContIV_11">NeoBerInfB!$B$100</definedName>
    <definedName name="Txt_Neo_InfB_ContIV_12">NeoBerInfB!$B$101</definedName>
    <definedName name="Txt_Neo_InfB_ContIV_13">NeoBerInfB!$B$102</definedName>
    <definedName name="Txt_Neo_InfB_ContIV_14">NeoBerInfB!$B$103</definedName>
    <definedName name="Txt_Neo_InfB_ContIV_15">NeoBerInfB!$B$104</definedName>
    <definedName name="Txt_Neo_InfB_ContIV_16">NeoBerInfB!$B$105</definedName>
    <definedName name="Txt_Neo_InfB_ContIV_17">NeoBerInfB!$B$106</definedName>
    <definedName name="Txt_Neo_InfB_ContIV_18">NeoBerInfB!$B$107</definedName>
    <definedName name="Txt_Neo_InfB_ContIV_19">NeoBerInfB!$B$108</definedName>
    <definedName name="Txt_Neo_InfB_ContIV_20">NeoBerInfB!$B$109</definedName>
    <definedName name="Txt_Neo_InfB_ContIV_21">NeoBerInfB!$B$110</definedName>
    <definedName name="Txt_Neo_InfB_ContIV_22">NeoBerInfB!$B$111</definedName>
    <definedName name="Txt_Neo_InfB_ContIV_23">NeoBerInfB!$B$112</definedName>
    <definedName name="Txt_Neo_InfB_ContIV_24">NeoBerInfB!$B$113</definedName>
    <definedName name="Txt_Neo_InfB_ContIV_25">NeoBerInfB!$B$114</definedName>
    <definedName name="Txt_Neo_InfB_ContIV_26">NeoBerInfB!$B$115</definedName>
    <definedName name="Txt_Neo_InfB_ContIV_27">NeoBerInfB!$B$116</definedName>
    <definedName name="Txt_Neo_InfB_Voeding_01">NeoBerInfB!$B$73</definedName>
    <definedName name="Txt_Neo_InfB_Voeding_02">NeoBerInfB!$B$74</definedName>
    <definedName name="Txt_Neo_InfB_Voeding_03">NeoBerInfB!$B$75</definedName>
    <definedName name="Txt_Neo_InfB_Voeding_04">NeoBerInfB!$B$76</definedName>
    <definedName name="Txt_Neo_InfB_Voeding_05">NeoBerInfB!$B$77</definedName>
    <definedName name="Txt_Neo_InfB_Voeding_06">NeoBerInfB!$B$78</definedName>
    <definedName name="Txt_Neo_InfB_Voeding_07">NeoBerInfB!$B$79</definedName>
    <definedName name="Txt_Neo_InfB_Voeding_08">NeoBerInfB!$B$80</definedName>
    <definedName name="Txt_Neo_InfB_Voeding_09">NeoBerInfB!$B$81</definedName>
    <definedName name="Txt_Neo_InfB_Voeding_10">NeoBerInfB!$B$82</definedName>
    <definedName name="Txt_Neo_InfB_Voeding_11">NeoBerInfB!$B$83</definedName>
    <definedName name="Txt_Neo_InfB_Voeding_12">NeoBerInfB!$B$84</definedName>
    <definedName name="Txt_Neo_InfB_Voeding_13">NeoBerInfB!$B$85</definedName>
    <definedName name="Txt_Neo_InfB_Voeding_14">NeoBerInfB!$B$86</definedName>
    <definedName name="Txt_Neo_InfB_Voeding_15">NeoBerInfB!$B$87</definedName>
    <definedName name="Txt_Neo_Wb_IVAcc_Breuk">NeoPrtWerkbr!$N$6</definedName>
    <definedName name="Txt_Neo_Wb_IVAcc_Geheel">NeoPrtWerkbr!$M$6</definedName>
    <definedName name="Txt_Neo_Wb_IVAcc_Stand">NeoPrtWerkbr!$A$6</definedName>
    <definedName name="Txt_Neo_Wb_IVAcc_Tekst">NeoPrtWerkbr!$C$6</definedName>
    <definedName name="Txt_Neo_Wb_TPN_CaClBreuk">NeoPrtWerkbr!$N$10</definedName>
    <definedName name="Txt_Neo_Wb_TPN_CaClGeheel">NeoPrtWerkbr!$M$10</definedName>
    <definedName name="Txt_Neo_Wb_TPN_CaClTekst">NeoPrtWerkbr!$H$10</definedName>
    <definedName name="Txt_Neo_Wb_TPN_GlucBreuk">NeoPrtWerkbr!$N$16</definedName>
    <definedName name="Txt_Neo_Wb_TPN_GlucGeheel">NeoPrtWerkbr!$M$16</definedName>
    <definedName name="Txt_Neo_Wb_TPN_GlucTekst">NeoPrtWerkbr!$H$16</definedName>
    <definedName name="Txt_Neo_Wb_TPN_KacetaatBreuk">NeoPrtWerkbr!$N$9</definedName>
    <definedName name="Txt_Neo_Wb_TPN_KacetaatGeheel">NeoPrtWerkbr!$M$9</definedName>
    <definedName name="Txt_Neo_Wb_TPN_KacetaatTekst">NeoPrtWerkbr!$H$9</definedName>
    <definedName name="Txt_Neo_Wb_TPN_MgClBreuk">NeoPrtWerkbr!$N$11</definedName>
    <definedName name="Txt_Neo_Wb_TPN_MgClGeheel">NeoPrtWerkbr!$M$11</definedName>
    <definedName name="Txt_Neo_Wb_TPN_MgClTekst">NeoPrtWerkbr!$H$11</definedName>
    <definedName name="Txt_Neo_Wb_TPN_NaClBreuk">NeoPrtWerkbr!$N$8</definedName>
    <definedName name="Txt_Neo_Wb_TPN_NaClGeheel">NeoPrtWerkbr!$M$8</definedName>
    <definedName name="Txt_Neo_Wb_TPN_NaCLTekst">NeoPrtWerkbr!$H$8</definedName>
    <definedName name="Txt_Neo_Wb_TPN_NICUmixBreuk">NeoPrtWerkbr!$N$14</definedName>
    <definedName name="Txt_Neo_Wb_TPN_NICUmixGeheel">NeoPrtWerkbr!$M$14</definedName>
    <definedName name="Txt_Neo_Wb_TPN_NICUmixTekst">NeoPrtWerkbr!$H$14</definedName>
    <definedName name="Txt_Neo_Wb_TPN_PrimeneBreuk">NeoPrtWerkbr!$N$13</definedName>
    <definedName name="Txt_Neo_Wb_TPN_PrimeneGeheel">NeoPrtWerkbr!$M$13</definedName>
    <definedName name="Txt_Neo_Wb_TPN_PrimeneTekst">NeoPrtWerkbr!$H$13</definedName>
    <definedName name="Txt_Neo_Wb_TPN_SamBBreuk">NeoPrtWerkbr!$N$15</definedName>
    <definedName name="Txt_Neo_Wb_TPN_SamBGeheel">NeoPrtWerkbr!$M$15</definedName>
    <definedName name="Txt_Neo_Wb_TPN_SamBTekst">NeoPrtWerkbr!$H$15</definedName>
    <definedName name="Txt_Neo_Wb_TPN_SoluvitBreuk">NeoPrtWerkbr!$N$12</definedName>
    <definedName name="Txt_Neo_Wb_TPN_SoluvitGeheel">NeoPrtWerkbr!$M$12</definedName>
    <definedName name="Txt_Neo_Wb_TPN_SoluvitTekst">NeoPrtWerkbr!$H$12</definedName>
    <definedName name="Txt_Neo_Wb_TPN_Stand">NeoPrtWerkbr!$A$8</definedName>
    <definedName name="Txt_Neo_Wb_TPN_TotaalBreuk">NeoPrtWerkbr!$N$17</definedName>
    <definedName name="Txt_Neo_Wb_TPN_TotaalGeheel">NeoPrtWerkbr!$M$17</definedName>
    <definedName name="Var_AfspraakDatum">PatDetails!$B$11</definedName>
    <definedName name="Var_Glob_Versie">PatDetails!$B$12</definedName>
    <definedName name="Var_Neo_AfsprControles">NeoBerAfspr!$B$56</definedName>
    <definedName name="Var_Neo_AfsprInstellingen">NeoBerAfspr!$B$58</definedName>
    <definedName name="Var_Neo_AfsprKweken">NeoBerAfspr!$B$59</definedName>
    <definedName name="Var_Neo_AfsprOnderzoek">NeoBerAfspr!$B$57</definedName>
    <definedName name="Var_Neo_AfsprOverig">NeoBerAfspr!$B$60</definedName>
    <definedName name="Var_Neo_Dag">NeoBerInfB!$B$6</definedName>
    <definedName name="Var_Neo_InfB_Cont_ArtLijn">NeoBerInfB!$B$18</definedName>
    <definedName name="Var_Neo_InfB_Cont_MedKeuze_1">NeoBerInfB!$B$20</definedName>
    <definedName name="Var_Neo_InfB_Cont_MedKeuze_2">NeoBerInfB!$B$21</definedName>
    <definedName name="Var_Neo_InfB_Cont_MedKeuze_3">NeoBerInfB!$B$22</definedName>
    <definedName name="Var_Neo_InfB_Cont_MedKeuze_4">NeoBerInfB!$B$23</definedName>
    <definedName name="Var_Neo_InfB_Cont_MedKeuze_5">NeoBerInfB!$B$24</definedName>
    <definedName name="Var_Neo_InfB_Cont_MedKeuze_6">NeoBerInfB!$B$25</definedName>
    <definedName name="Var_Neo_InfB_Cont_MedKeuze_7">NeoBerInfB!$B$26</definedName>
    <definedName name="Var_Neo_InfB_Cont_MedKeuze_8">NeoBerInfB!$B$27</definedName>
    <definedName name="Var_Neo_InfB_Cont_MedKeuze_9">NeoBerInfB!$B$28</definedName>
    <definedName name="Var_Neo_InfB_Cont_MedSterkte_1">NeoBerInfB!$C$20</definedName>
    <definedName name="Var_Neo_InfB_Cont_MedSterkte_2">NeoBerInfB!$C$21</definedName>
    <definedName name="Var_Neo_InfB_Cont_MedSterkte_3">NeoBerInfB!$C$22</definedName>
    <definedName name="Var_Neo_InfB_Cont_MedSterkte_4">NeoBerInfB!$C$23</definedName>
    <definedName name="Var_Neo_InfB_Cont_MedSterkte_5">NeoBerInfB!$C$24</definedName>
    <definedName name="Var_Neo_InfB_Cont_MedSterkte_6">NeoBerInfB!$C$25</definedName>
    <definedName name="Var_Neo_InfB_Cont_MedSterkte_7">NeoBerInfB!$C$26</definedName>
    <definedName name="Var_Neo_InfB_Cont_MedSterkte_8">NeoBerInfB!$C$27</definedName>
    <definedName name="Var_Neo_InfB_Cont_MedSterkte_9">NeoBerInfB!$C$28</definedName>
    <definedName name="Var_Neo_InfB_Cont_MedTekst_1">NeoBerInfB!$B$32</definedName>
    <definedName name="Var_Neo_InfB_Cont_MedTekst_2">NeoBerInfB!$B$33</definedName>
    <definedName name="Var_Neo_InfB_Cont_OplHoev_1">NeoBerInfB!$D$20</definedName>
    <definedName name="Var_Neo_InfB_Cont_OplHoev_2">NeoBerInfB!$D$21</definedName>
    <definedName name="Var_Neo_InfB_Cont_OplHoev_3">NeoBerInfB!$D$22</definedName>
    <definedName name="Var_Neo_InfB_Cont_OplHoev_4">NeoBerInfB!$D$23</definedName>
    <definedName name="Var_Neo_InfB_Cont_OplHoev_5">NeoBerInfB!$D$24</definedName>
    <definedName name="Var_Neo_InfB_Cont_OplHoev_6">NeoBerInfB!$D$25</definedName>
    <definedName name="Var_Neo_InfB_Cont_OplHoev_7">NeoBerInfB!$D$26</definedName>
    <definedName name="Var_Neo_InfB_Cont_OplHoev_8">NeoBerInfB!$D$27</definedName>
    <definedName name="Var_Neo_InfB_Cont_OplHoev_9">NeoBerInfB!$D$28</definedName>
    <definedName name="Var_Neo_InfB_Cont_Oplossing_01">NeoBerInfB!$E$20</definedName>
    <definedName name="Var_Neo_InfB_Cont_Oplossing_02">NeoBerInfB!$E$21</definedName>
    <definedName name="Var_Neo_InfB_Cont_Oplossing_03">NeoBerInfB!$E$22</definedName>
    <definedName name="Var_Neo_InfB_Cont_Oplossing_04">NeoBerInfB!$E$23</definedName>
    <definedName name="Var_Neo_InfB_Cont_Oplossing_05">NeoBerInfB!$E$24</definedName>
    <definedName name="Var_Neo_InfB_Cont_Oplossing_06">NeoBerInfB!$E$25</definedName>
    <definedName name="Var_Neo_InfB_Cont_Oplossing_07">NeoBerInfB!$E$26</definedName>
    <definedName name="Var_Neo_InfB_Cont_Oplossing_08">NeoBerInfB!$E$27</definedName>
    <definedName name="Var_Neo_InfB_Cont_Oplossing_09">NeoBerInfB!$E$28</definedName>
    <definedName name="Var_Neo_InfB_Cont_Oplossing_10">NeoBerInfB!$E$29</definedName>
    <definedName name="Var_Neo_InfB_Cont_Oplossing_11">NeoBerInfB!$E$30</definedName>
    <definedName name="Var_Neo_InfB_Cont_Oplossing_12">NeoBerInfB!$E$31</definedName>
    <definedName name="Var_Neo_InfB_Cont_Stand_01">NeoBerInfB!$F$20</definedName>
    <definedName name="Var_Neo_InfB_Cont_Stand_02">NeoBerInfB!$F$21</definedName>
    <definedName name="Var_Neo_InfB_Cont_Stand_03">NeoBerInfB!$F$22</definedName>
    <definedName name="Var_Neo_InfB_Cont_Stand_04">NeoBerInfB!$F$23</definedName>
    <definedName name="Var_Neo_InfB_Cont_Stand_05">NeoBerInfB!$F$24</definedName>
    <definedName name="Var_Neo_InfB_Cont_Stand_06">NeoBerInfB!$F$25</definedName>
    <definedName name="Var_Neo_InfB_Cont_Stand_07">NeoBerInfB!$F$26</definedName>
    <definedName name="Var_Neo_InfB_Cont_Stand_08">NeoBerInfB!$F$27</definedName>
    <definedName name="Var_Neo_InfB_Cont_Stand_09">NeoBerInfB!$F$28</definedName>
    <definedName name="Var_Neo_InfB_Cont_Stand_10">NeoBerInfB!$F$29</definedName>
    <definedName name="Var_Neo_InfB_Cont_Stand_11">NeoBerInfB!$F$30</definedName>
    <definedName name="Var_Neo_InfB_Cont_Stand_12">NeoBerInfB!$F$31</definedName>
    <definedName name="Var_Neo_InfB_Cont_VochtExtra_01">NeoBerInfB!$J$14</definedName>
    <definedName name="Var_Neo_InfB_Cont_VochtExtra_02">NeoBerInfB!$J$20</definedName>
    <definedName name="Var_Neo_InfB_Cont_VochtExtra_03">NeoBerInfB!$J$21</definedName>
    <definedName name="Var_Neo_InfB_Cont_VochtExtra_04">NeoBerInfB!$J$22</definedName>
    <definedName name="Var_Neo_InfB_Cont_VochtExtra_05">NeoBerInfB!$J$23</definedName>
    <definedName name="Var_Neo_InfB_Cont_VochtExtra_06">NeoBerInfB!$J$24</definedName>
    <definedName name="Var_Neo_InfB_Cont_VochtExtra_07">NeoBerInfB!$J$25</definedName>
    <definedName name="Var_Neo_InfB_Cont_VochtExtra_08">NeoBerInfB!$J$26</definedName>
    <definedName name="Var_Neo_InfB_Cont_VochtExtra_09">NeoBerInfB!$J$27</definedName>
    <definedName name="Var_Neo_InfB_Cont_VochtExtra_10">NeoBerInfB!$J$28</definedName>
    <definedName name="Var_Neo_InfB_Cont_VochtExtra_11">NeoBerInfB!$J$18</definedName>
    <definedName name="Var_Neo_InfB_Cont_VochtExtra_12">NeoBerInfB!$J$29</definedName>
    <definedName name="Var_Neo_InfB_Cont_VochtExtra_13">NeoBerInfB!$J$30</definedName>
    <definedName name="Var_Neo_InfB_Cont_VochtExtra_14">NeoBerInfB!$J$31</definedName>
    <definedName name="Var_Neo_InfB_Ent_Frequentie_1">NeoBerInfB!$D$10</definedName>
    <definedName name="Var_Neo_InfB_Ent_Frequentie_2">NeoBerInfB!$D$12</definedName>
    <definedName name="Var_Neo_InfB_Ent_Hoeveelheid_1">NeoBerInfB!$D$11</definedName>
    <definedName name="Var_Neo_InfB_Ent_Hoeveelheid_2">NeoBerInfB!$D$13</definedName>
    <definedName name="Var_Neo_InfB_Ent_PercentageKeuze_0">NeoBerInfB!$J$52</definedName>
    <definedName name="Var_Neo_InfB_Ent_PercentageKeuze_1">NeoBerInfB!$J$53</definedName>
    <definedName name="Var_Neo_InfB_Ent_PercentageKeuze_2">NeoBerInfB!$J$54</definedName>
    <definedName name="Var_Neo_InfB_Ent_PercentageKeuze_3">NeoBerInfB!$J$55</definedName>
    <definedName name="Var_Neo_InfB_Ent_PercentageKeuze_4">NeoBerInfB!$J$56</definedName>
    <definedName name="Var_Neo_InfB_Ent_PercentageKeuze_5">NeoBerInfB!$J$58</definedName>
    <definedName name="Var_Neo_InfB_Ent_PercentageKeuze_6">NeoBerInfB!$J$59</definedName>
    <definedName name="Var_Neo_InfB_Ent_PercentageKeuze_7">NeoBerInfB!$J$60</definedName>
    <definedName name="Var_Neo_InfB_Ent_PercentageKeuze_8">NeoBerInfB!$J$61</definedName>
    <definedName name="Var_Neo_InfB_Ent_Toevoeging_1">NeoBerInfB!$B$53</definedName>
    <definedName name="Var_Neo_InfB_Ent_Toevoeging_2">NeoBerInfB!$B$54</definedName>
    <definedName name="Var_Neo_InfB_Ent_Toevoeging_3">NeoBerInfB!$B$55</definedName>
    <definedName name="Var_Neo_InfB_Ent_Toevoeging_4">NeoBerInfB!$B$56</definedName>
    <definedName name="Var_Neo_InfB_Ent_Toevoeging_5">NeoBerInfB!$B$58</definedName>
    <definedName name="Var_Neo_InfB_Ent_Toevoeging_6">NeoBerInfB!$B$59</definedName>
    <definedName name="Var_Neo_InfB_Ent_Toevoeging_7">NeoBerInfB!$B$60</definedName>
    <definedName name="Var_Neo_InfB_Ent_Toevoeging_8">NeoBerInfB!$B$61</definedName>
    <definedName name="Var_Neo_InfB_Ent_Voeding">NeoBerInfB!$D$14</definedName>
    <definedName name="Var_Neo_InfB_TPN_CaCl2">NeoBerInfB!$D$39</definedName>
    <definedName name="Var_Neo_InfB_TPN_DagKeuze">NeoBerInfB!$D$36</definedName>
    <definedName name="Var_Neo_InfB_TPN_Fototherapie">NeoBerInfB!$B$15</definedName>
    <definedName name="Var_Neo_InfB_TPN_GlucSterkte">NeoBerInfB!$D$45</definedName>
    <definedName name="Var_Neo_InfB_TPN_IntakePerKg">NeoBerInfB!$D$16</definedName>
    <definedName name="Var_Neo_InfB_TPN_IntraLipid">NeoBerInfB!$D$35</definedName>
    <definedName name="Var_Neo_InfB_TPN_IntralipidSmof">NeoBerInfB!$F$35</definedName>
    <definedName name="Var_Neo_InfB_TPN_KCl">NeoBerInfB!$D$38</definedName>
    <definedName name="Var_Neo_InfB_TPN_MgCl2">NeoBerInfB!$D$40</definedName>
    <definedName name="Var_Neo_InfB_TPN_Nacl">NeoBerInfB!$D$37</definedName>
    <definedName name="Var_Neo_InfB_TPN_NICUMix">NeoBerInfB!$D$43</definedName>
    <definedName name="Var_Neo_InfB_TPN_Parenteraal">NeoBerInfB!$B$17</definedName>
    <definedName name="Var_Neo_InfB_TPN_Primene">NeoBerInfB!$D$42</definedName>
    <definedName name="Var_Neo_InfB_TPN_SoluVit">NeoBerInfB!$D$41</definedName>
    <definedName name="Var_Neo_InfB_TPN_SSTB">NeoBerInfB!$D$44</definedName>
    <definedName name="Var_Neo_Percentage_0">NeoBerInfB!$K$52</definedName>
    <definedName name="Var_Neo_Percentage_1">NeoBerInfB!$K$53</definedName>
    <definedName name="Var_Neo_Percentage_2">NeoBerInfB!$K$54</definedName>
    <definedName name="Var_Neo_Percentage_3">NeoBerInfB!$K$55</definedName>
    <definedName name="Var_Neo_Percentage_4">NeoBerInfB!$K$56</definedName>
    <definedName name="Var_Neo_Percentage_5">NeoBerInfB!$K$58</definedName>
    <definedName name="Var_Neo_Percentage_6">NeoBerInfB!$K$59</definedName>
    <definedName name="Var_Neo_Percentage_7">NeoBerInfB!$K$60</definedName>
    <definedName name="Var_Neo_Percentage_8">NeoBerInfB!$K$61</definedName>
    <definedName name="Var_Pat_OpnameDat">PatDetails!$B$13</definedName>
    <definedName name="Var_Ped_AfsprControles">PedBerAfspr!$B$47</definedName>
    <definedName name="Var_Ped_AfsprInstellingen">PedBerAfspr!$B$49</definedName>
    <definedName name="Var_Ped_AfsprOnderzoeken">PedBerAfspr!$B$48</definedName>
    <definedName name="Var_Ped_AfsprOverig">PedBerAfspr!$B$50</definedName>
    <definedName name="Var_Ped_TotVocht">GlobBerMedDisc!$P$33</definedName>
    <definedName name="Z_33CCADFA_0D48_46A6_8927_2B2144029216_.wvu.FilterData" localSheetId="10" hidden="1">GlobTemp!$A$2:$B$437</definedName>
    <definedName name="Z_33CCADFA_0D48_46A6_8927_2B2144029216_.wvu.FilterData" localSheetId="13" hidden="1">PatData!$A$1:$P$631</definedName>
    <definedName name="Z_33CCADFA_0D48_46A6_8927_2B2144029216_.wvu.PrintArea" localSheetId="60" hidden="1">NeoGuiAcuut!$B$2:$G$31</definedName>
    <definedName name="Z_33CCADFA_0D48_46A6_8927_2B2144029216_.wvu.PrintArea" localSheetId="54" hidden="1">NeoPrtMedDisc!$B$1:$AG$22</definedName>
    <definedName name="Z_33CCADFA_0D48_46A6_8927_2B2144029216_.wvu.PrintArea" localSheetId="34" hidden="1">PedGuiAcuut!$B$2:$G$44</definedName>
    <definedName name="Z_33CCADFA_0D48_46A6_8927_2B2144029216_.wvu.PrintArea" localSheetId="37" hidden="1">PedPrtAfspr!$A$2:$J$127</definedName>
    <definedName name="Z_33CCADFA_0D48_46A6_8927_2B2144029216_.wvu.PrintArea" localSheetId="38" hidden="1">PedPrtMedDisc!$B$1:$AG$22</definedName>
    <definedName name="Z_33CCADFA_0D48_46A6_8927_2B2144029216_.wvu.PrintArea" localSheetId="42" hidden="1">PedPrtTPN16tot30!$A$1:$H$48</definedName>
    <definedName name="Z_33CCADFA_0D48_46A6_8927_2B2144029216_.wvu.PrintArea" localSheetId="40" hidden="1">PedPrtTPN2tot6!$A$1:$H$48</definedName>
    <definedName name="Z_33CCADFA_0D48_46A6_8927_2B2144029216_.wvu.PrintArea" localSheetId="44" hidden="1">PedPrtTPN50!$A$1:$H$52</definedName>
    <definedName name="Z_33CCADFA_0D48_46A6_8927_2B2144029216_.wvu.PrintArea" localSheetId="41" hidden="1">PedPrtTPN7tot15!$A$1:$H$50</definedName>
    <definedName name="Z_33CCADFA_0D48_46A6_8927_2B2144029216_.wvu.PrintArea" localSheetId="43" hidden="1">PedTPN31tot50!$A$1:$H$49</definedName>
  </definedNames>
  <calcPr calcId="152511"/>
  <customWorkbookViews>
    <customWorkbookView name="Bustin, J.A.M. - Persoonlijke weergave" guid="{33CCADFA-0D48-46A6-8927-2B2144029216}" mergeInterval="0" personalView="1" maximized="1" windowWidth="1280" windowHeight="847" tabRatio="819" activeSheetId="3" showFormulaBar="0"/>
  </customWorkbookViews>
</workbook>
</file>

<file path=xl/calcChain.xml><?xml version="1.0" encoding="utf-8"?>
<calcChain xmlns="http://schemas.openxmlformats.org/spreadsheetml/2006/main">
  <c r="V24" i="21" l="1"/>
  <c r="W24" i="21"/>
  <c r="X24" i="21"/>
  <c r="Y24" i="21"/>
  <c r="Z24" i="21"/>
  <c r="AA24" i="21"/>
  <c r="AB24" i="21"/>
  <c r="AC24" i="21"/>
  <c r="AD24" i="21"/>
  <c r="AE24" i="21"/>
  <c r="AF24" i="21"/>
  <c r="AG24" i="21"/>
  <c r="U24" i="21"/>
  <c r="U4" i="21"/>
  <c r="U5" i="21"/>
  <c r="U6" i="21"/>
  <c r="U7" i="21"/>
  <c r="U8" i="21"/>
  <c r="U9" i="21"/>
  <c r="U10" i="21"/>
  <c r="U11" i="21"/>
  <c r="U12" i="21"/>
  <c r="U13" i="21"/>
  <c r="U14" i="21"/>
  <c r="U15" i="21"/>
  <c r="U16" i="21"/>
  <c r="U17" i="21"/>
  <c r="U18" i="21"/>
  <c r="U19" i="21"/>
  <c r="U20" i="21"/>
  <c r="U21" i="21"/>
  <c r="U22" i="21"/>
  <c r="U3" i="21"/>
  <c r="V4" i="21"/>
  <c r="W4" i="21"/>
  <c r="X4" i="21"/>
  <c r="Y4" i="21"/>
  <c r="Z4" i="21"/>
  <c r="AA4" i="21"/>
  <c r="AB4" i="21"/>
  <c r="AC4" i="21"/>
  <c r="AD4" i="21"/>
  <c r="AE4" i="21"/>
  <c r="AF4" i="21"/>
  <c r="AG4" i="21"/>
  <c r="V5" i="21"/>
  <c r="W5" i="21"/>
  <c r="X5" i="21"/>
  <c r="Y5" i="21"/>
  <c r="Z5" i="21"/>
  <c r="AA5" i="21"/>
  <c r="AB5" i="21"/>
  <c r="AC5" i="21"/>
  <c r="AD5" i="21"/>
  <c r="AE5" i="21"/>
  <c r="AF5" i="21"/>
  <c r="AG5" i="21"/>
  <c r="V6" i="21"/>
  <c r="W6" i="21"/>
  <c r="X6" i="21"/>
  <c r="Y6" i="21"/>
  <c r="Z6" i="21"/>
  <c r="AA6" i="21"/>
  <c r="AB6" i="21"/>
  <c r="AC6" i="21"/>
  <c r="AD6" i="21"/>
  <c r="AE6" i="21"/>
  <c r="AF6" i="21"/>
  <c r="AG6" i="21"/>
  <c r="V7" i="21"/>
  <c r="W7" i="21"/>
  <c r="X7" i="21"/>
  <c r="Y7" i="21"/>
  <c r="Z7" i="21"/>
  <c r="AA7" i="21"/>
  <c r="AB7" i="21"/>
  <c r="AC7" i="21"/>
  <c r="AD7" i="21"/>
  <c r="AE7" i="21"/>
  <c r="AF7" i="21"/>
  <c r="AG7" i="21"/>
  <c r="V8" i="21"/>
  <c r="W8" i="21"/>
  <c r="X8" i="21"/>
  <c r="Y8" i="21"/>
  <c r="Z8" i="21"/>
  <c r="AA8" i="21"/>
  <c r="AB8" i="21"/>
  <c r="AC8" i="21"/>
  <c r="AD8" i="21"/>
  <c r="AE8" i="21"/>
  <c r="AF8" i="21"/>
  <c r="AG8" i="21"/>
  <c r="V9" i="21"/>
  <c r="W9" i="21"/>
  <c r="X9" i="21"/>
  <c r="Y9" i="21"/>
  <c r="Z9" i="21"/>
  <c r="AA9" i="21"/>
  <c r="AB9" i="21"/>
  <c r="AC9" i="21"/>
  <c r="AD9" i="21"/>
  <c r="AE9" i="21"/>
  <c r="AF9" i="21"/>
  <c r="AG9" i="21"/>
  <c r="V10" i="21"/>
  <c r="W10" i="21"/>
  <c r="X10" i="21"/>
  <c r="Y10" i="21"/>
  <c r="Z10" i="21"/>
  <c r="AA10" i="21"/>
  <c r="AB10" i="21"/>
  <c r="AC10" i="21"/>
  <c r="AD10" i="21"/>
  <c r="AE10" i="21"/>
  <c r="AF10" i="21"/>
  <c r="AG10" i="21"/>
  <c r="V11" i="21"/>
  <c r="W11" i="21"/>
  <c r="X11" i="21"/>
  <c r="Y11" i="21"/>
  <c r="Z11" i="21"/>
  <c r="AA11" i="21"/>
  <c r="AB11" i="21"/>
  <c r="AC11" i="21"/>
  <c r="AD11" i="21"/>
  <c r="AE11" i="21"/>
  <c r="AF11" i="21"/>
  <c r="AG11" i="21"/>
  <c r="V12" i="21"/>
  <c r="W12" i="21"/>
  <c r="X12" i="21"/>
  <c r="Y12" i="21"/>
  <c r="Z12" i="21"/>
  <c r="AA12" i="21"/>
  <c r="AB12" i="21"/>
  <c r="AC12" i="21"/>
  <c r="AD12" i="21"/>
  <c r="AE12" i="21"/>
  <c r="AF12" i="21"/>
  <c r="AG12" i="21"/>
  <c r="V13" i="21"/>
  <c r="W13" i="21"/>
  <c r="X13" i="21"/>
  <c r="Y13" i="21"/>
  <c r="Z13" i="21"/>
  <c r="AA13" i="21"/>
  <c r="AB13" i="21"/>
  <c r="AC13" i="21"/>
  <c r="AD13" i="21"/>
  <c r="AE13" i="21"/>
  <c r="AF13" i="21"/>
  <c r="AG13" i="21"/>
  <c r="V14" i="21"/>
  <c r="W14" i="21"/>
  <c r="X14" i="21"/>
  <c r="Y14" i="21"/>
  <c r="Z14" i="21"/>
  <c r="AA14" i="21"/>
  <c r="AB14" i="21"/>
  <c r="AC14" i="21"/>
  <c r="AD14" i="21"/>
  <c r="AE14" i="21"/>
  <c r="AF14" i="21"/>
  <c r="AG14" i="21"/>
  <c r="V15" i="21"/>
  <c r="W15" i="21"/>
  <c r="X15" i="21"/>
  <c r="Y15" i="21"/>
  <c r="Z15" i="21"/>
  <c r="AA15" i="21"/>
  <c r="AB15" i="21"/>
  <c r="AC15" i="21"/>
  <c r="AD15" i="21"/>
  <c r="AE15" i="21"/>
  <c r="AF15" i="21"/>
  <c r="AG15" i="21"/>
  <c r="V16" i="21"/>
  <c r="W16" i="21"/>
  <c r="X16" i="21"/>
  <c r="Y16" i="21"/>
  <c r="Z16" i="21"/>
  <c r="AA16" i="21"/>
  <c r="AB16" i="21"/>
  <c r="AC16" i="21"/>
  <c r="AD16" i="21"/>
  <c r="AE16" i="21"/>
  <c r="AF16" i="21"/>
  <c r="AG16" i="21"/>
  <c r="V17" i="21"/>
  <c r="W17" i="21"/>
  <c r="X17" i="21"/>
  <c r="Y17" i="21"/>
  <c r="Z17" i="21"/>
  <c r="AA17" i="21"/>
  <c r="AB17" i="21"/>
  <c r="AC17" i="21"/>
  <c r="AD17" i="21"/>
  <c r="AE17" i="21"/>
  <c r="AF17" i="21"/>
  <c r="AG17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V19" i="21"/>
  <c r="W19" i="21"/>
  <c r="X19" i="21"/>
  <c r="Y19" i="21"/>
  <c r="Z19" i="21"/>
  <c r="AA19" i="21"/>
  <c r="AB19" i="21"/>
  <c r="AC19" i="21"/>
  <c r="AD19" i="21"/>
  <c r="AE19" i="21"/>
  <c r="AF19" i="21"/>
  <c r="AG19" i="21"/>
  <c r="V20" i="21"/>
  <c r="W20" i="21"/>
  <c r="X20" i="21"/>
  <c r="Y20" i="21"/>
  <c r="Z20" i="21"/>
  <c r="AA20" i="21"/>
  <c r="AB20" i="21"/>
  <c r="AC20" i="21"/>
  <c r="AD20" i="21"/>
  <c r="AE20" i="21"/>
  <c r="AF20" i="21"/>
  <c r="AG20" i="21"/>
  <c r="V21" i="21"/>
  <c r="W21" i="21"/>
  <c r="X21" i="21"/>
  <c r="Y21" i="21"/>
  <c r="Z21" i="21"/>
  <c r="AA21" i="21"/>
  <c r="AB21" i="21"/>
  <c r="AC21" i="21"/>
  <c r="AD21" i="21"/>
  <c r="AE21" i="21"/>
  <c r="AF21" i="21"/>
  <c r="AG21" i="21"/>
  <c r="V22" i="21"/>
  <c r="W22" i="21"/>
  <c r="X22" i="21"/>
  <c r="Y22" i="21"/>
  <c r="Z22" i="21"/>
  <c r="AA22" i="21"/>
  <c r="AB22" i="21"/>
  <c r="AC22" i="21"/>
  <c r="AD22" i="21"/>
  <c r="AE22" i="21"/>
  <c r="AF22" i="21"/>
  <c r="AG22" i="21"/>
  <c r="W3" i="21"/>
  <c r="X3" i="21"/>
  <c r="Y3" i="21"/>
  <c r="Z3" i="21"/>
  <c r="AA3" i="21"/>
  <c r="AB3" i="21"/>
  <c r="AC3" i="21"/>
  <c r="AD3" i="21"/>
  <c r="AE3" i="21"/>
  <c r="AF3" i="21"/>
  <c r="AG3" i="21"/>
  <c r="V3" i="21"/>
  <c r="S24" i="21"/>
  <c r="G22" i="21"/>
  <c r="G21" i="21"/>
  <c r="G15" i="21"/>
  <c r="G13" i="21"/>
  <c r="G8" i="21"/>
  <c r="G9" i="21"/>
  <c r="G10" i="21"/>
  <c r="G11" i="21"/>
  <c r="G7" i="21"/>
  <c r="G20" i="21"/>
  <c r="G6" i="21"/>
  <c r="G4" i="21"/>
  <c r="B14" i="81"/>
  <c r="C14" i="81"/>
  <c r="D14" i="81"/>
  <c r="E14" i="81"/>
  <c r="F14" i="81"/>
  <c r="G14" i="81"/>
  <c r="H14" i="81"/>
  <c r="I14" i="81"/>
  <c r="J14" i="81"/>
  <c r="K14" i="81"/>
  <c r="L14" i="81"/>
  <c r="M14" i="81"/>
  <c r="B15" i="81"/>
  <c r="C15" i="81"/>
  <c r="D15" i="81"/>
  <c r="E15" i="81"/>
  <c r="F15" i="81"/>
  <c r="G15" i="81"/>
  <c r="H15" i="81"/>
  <c r="I15" i="81"/>
  <c r="J15" i="81"/>
  <c r="K15" i="81"/>
  <c r="L15" i="81"/>
  <c r="M15" i="81"/>
  <c r="B16" i="81"/>
  <c r="C16" i="81"/>
  <c r="D16" i="81"/>
  <c r="E16" i="81"/>
  <c r="F16" i="81"/>
  <c r="G16" i="81"/>
  <c r="H16" i="81"/>
  <c r="I16" i="81"/>
  <c r="J16" i="81"/>
  <c r="K16" i="81"/>
  <c r="L16" i="81"/>
  <c r="M16" i="81"/>
  <c r="B17" i="81"/>
  <c r="C17" i="81"/>
  <c r="D17" i="81"/>
  <c r="E17" i="81"/>
  <c r="F17" i="81"/>
  <c r="G17" i="81"/>
  <c r="H17" i="81"/>
  <c r="I17" i="81"/>
  <c r="J17" i="81"/>
  <c r="K17" i="81"/>
  <c r="L17" i="81"/>
  <c r="M17" i="81"/>
  <c r="B18" i="81"/>
  <c r="C18" i="81"/>
  <c r="D18" i="81"/>
  <c r="E18" i="81"/>
  <c r="F18" i="81"/>
  <c r="G18" i="81"/>
  <c r="H18" i="81"/>
  <c r="I18" i="81"/>
  <c r="J18" i="81"/>
  <c r="K18" i="81"/>
  <c r="L18" i="81"/>
  <c r="M18" i="81"/>
  <c r="B19" i="81"/>
  <c r="C19" i="81"/>
  <c r="D19" i="81"/>
  <c r="E19" i="81"/>
  <c r="F19" i="81"/>
  <c r="G19" i="81"/>
  <c r="H19" i="81"/>
  <c r="I19" i="81"/>
  <c r="J19" i="81"/>
  <c r="K19" i="81"/>
  <c r="L19" i="81"/>
  <c r="M19" i="81"/>
  <c r="B20" i="81"/>
  <c r="C20" i="81"/>
  <c r="D20" i="81"/>
  <c r="E20" i="81"/>
  <c r="F20" i="81"/>
  <c r="G20" i="81"/>
  <c r="H20" i="81"/>
  <c r="I20" i="81"/>
  <c r="J20" i="81"/>
  <c r="K20" i="81"/>
  <c r="L20" i="81"/>
  <c r="M20" i="81"/>
  <c r="B21" i="81"/>
  <c r="C21" i="81"/>
  <c r="D21" i="81"/>
  <c r="E21" i="81"/>
  <c r="F21" i="81"/>
  <c r="G21" i="81"/>
  <c r="H21" i="81"/>
  <c r="I21" i="81"/>
  <c r="J21" i="81"/>
  <c r="K21" i="81"/>
  <c r="L21" i="81"/>
  <c r="M21" i="81"/>
  <c r="B22" i="81"/>
  <c r="C22" i="81"/>
  <c r="D22" i="81"/>
  <c r="E22" i="81"/>
  <c r="F22" i="81"/>
  <c r="G22" i="81"/>
  <c r="H22" i="81"/>
  <c r="I22" i="81"/>
  <c r="J22" i="81"/>
  <c r="K22" i="81"/>
  <c r="L22" i="81"/>
  <c r="M22" i="81"/>
  <c r="B23" i="81"/>
  <c r="C23" i="81"/>
  <c r="D23" i="81"/>
  <c r="E23" i="81"/>
  <c r="F23" i="81"/>
  <c r="G23" i="81"/>
  <c r="H23" i="81"/>
  <c r="I23" i="81"/>
  <c r="J23" i="81"/>
  <c r="K23" i="81"/>
  <c r="L23" i="81"/>
  <c r="M23" i="81"/>
  <c r="B24" i="81"/>
  <c r="C24" i="81"/>
  <c r="D24" i="81"/>
  <c r="E24" i="81"/>
  <c r="F24" i="81"/>
  <c r="G24" i="81"/>
  <c r="H24" i="81"/>
  <c r="I24" i="81"/>
  <c r="J24" i="81"/>
  <c r="K24" i="81"/>
  <c r="L24" i="81"/>
  <c r="M24" i="81"/>
  <c r="B25" i="81"/>
  <c r="C25" i="81"/>
  <c r="D25" i="81"/>
  <c r="E25" i="81"/>
  <c r="F25" i="81"/>
  <c r="G25" i="81"/>
  <c r="H25" i="81"/>
  <c r="I25" i="81"/>
  <c r="J25" i="81"/>
  <c r="K25" i="81"/>
  <c r="L25" i="81"/>
  <c r="M25" i="81"/>
  <c r="B26" i="81"/>
  <c r="C26" i="81"/>
  <c r="D26" i="81"/>
  <c r="E26" i="81"/>
  <c r="F26" i="81"/>
  <c r="G26" i="81"/>
  <c r="H26" i="81"/>
  <c r="I26" i="81"/>
  <c r="J26" i="81"/>
  <c r="K26" i="81"/>
  <c r="L26" i="81"/>
  <c r="M26" i="81"/>
  <c r="C13" i="81"/>
  <c r="D13" i="81"/>
  <c r="E13" i="81"/>
  <c r="F13" i="81"/>
  <c r="G13" i="81"/>
  <c r="H13" i="81"/>
  <c r="I13" i="81"/>
  <c r="J13" i="81"/>
  <c r="K13" i="81"/>
  <c r="L13" i="81"/>
  <c r="M13" i="81"/>
  <c r="B13" i="81"/>
  <c r="B6" i="81"/>
  <c r="C6" i="81"/>
  <c r="D6" i="81"/>
  <c r="E6" i="81"/>
  <c r="F6" i="81"/>
  <c r="G6" i="81"/>
  <c r="H6" i="81"/>
  <c r="I6" i="81"/>
  <c r="J6" i="81"/>
  <c r="K6" i="81"/>
  <c r="L6" i="81"/>
  <c r="M6" i="81"/>
  <c r="B7" i="81"/>
  <c r="C7" i="81"/>
  <c r="D7" i="81"/>
  <c r="E7" i="81"/>
  <c r="F7" i="81"/>
  <c r="G7" i="81"/>
  <c r="H7" i="81"/>
  <c r="I7" i="81"/>
  <c r="J7" i="81"/>
  <c r="K7" i="81"/>
  <c r="L7" i="81"/>
  <c r="M7" i="81"/>
  <c r="B8" i="81"/>
  <c r="C8" i="81"/>
  <c r="D8" i="81"/>
  <c r="E8" i="81"/>
  <c r="F8" i="81"/>
  <c r="G8" i="81"/>
  <c r="H8" i="81"/>
  <c r="I8" i="81"/>
  <c r="J8" i="81"/>
  <c r="K8" i="81"/>
  <c r="L8" i="81"/>
  <c r="M8" i="81"/>
  <c r="B9" i="81"/>
  <c r="C9" i="81"/>
  <c r="D9" i="81"/>
  <c r="E9" i="81"/>
  <c r="F9" i="81"/>
  <c r="G9" i="81"/>
  <c r="H9" i="81"/>
  <c r="I9" i="81"/>
  <c r="J9" i="81"/>
  <c r="K9" i="81"/>
  <c r="L9" i="81"/>
  <c r="M9" i="81"/>
  <c r="B10" i="81"/>
  <c r="C10" i="81"/>
  <c r="D10" i="81"/>
  <c r="E10" i="81"/>
  <c r="F10" i="81"/>
  <c r="G10" i="81"/>
  <c r="H10" i="81"/>
  <c r="I10" i="81"/>
  <c r="J10" i="81"/>
  <c r="K10" i="81"/>
  <c r="L10" i="81"/>
  <c r="M10" i="81"/>
  <c r="C5" i="81"/>
  <c r="D5" i="81"/>
  <c r="E5" i="81"/>
  <c r="F5" i="81"/>
  <c r="G5" i="81"/>
  <c r="H5" i="81"/>
  <c r="I5" i="81"/>
  <c r="J5" i="81"/>
  <c r="K5" i="81"/>
  <c r="L5" i="81"/>
  <c r="M5" i="81"/>
  <c r="B5" i="81"/>
  <c r="B41" i="80"/>
  <c r="S12" i="11"/>
  <c r="S11" i="11"/>
  <c r="B7" i="80"/>
  <c r="B8" i="80"/>
  <c r="B9" i="80"/>
  <c r="B10" i="80"/>
  <c r="B11" i="80"/>
  <c r="B12" i="80"/>
  <c r="B13" i="80"/>
  <c r="B14" i="80"/>
  <c r="B15" i="80"/>
  <c r="B16" i="80"/>
  <c r="B17" i="80"/>
  <c r="B18" i="80"/>
  <c r="B19" i="80"/>
  <c r="B6" i="80"/>
  <c r="M4" i="80"/>
  <c r="L4" i="80"/>
  <c r="K4" i="80"/>
  <c r="J4" i="80"/>
  <c r="I4" i="80"/>
  <c r="H4" i="80"/>
  <c r="G4" i="80"/>
  <c r="F4" i="80"/>
  <c r="E4" i="80"/>
  <c r="D4" i="80"/>
  <c r="C4" i="80"/>
  <c r="B4" i="80"/>
  <c r="L59" i="45"/>
  <c r="M59" i="45"/>
  <c r="N59" i="45"/>
  <c r="O59" i="45"/>
  <c r="P59" i="45"/>
  <c r="Q59" i="45"/>
  <c r="R59" i="45"/>
  <c r="S59" i="45"/>
  <c r="T59" i="45"/>
  <c r="U59" i="45"/>
  <c r="V59" i="45"/>
  <c r="W59" i="45"/>
  <c r="L60" i="45"/>
  <c r="M60" i="45"/>
  <c r="N60" i="45"/>
  <c r="O60" i="45"/>
  <c r="P60" i="45"/>
  <c r="Q60" i="45"/>
  <c r="R60" i="45"/>
  <c r="S60" i="45"/>
  <c r="T60" i="45"/>
  <c r="U60" i="45"/>
  <c r="V60" i="45"/>
  <c r="W60" i="45"/>
  <c r="L61" i="45"/>
  <c r="M61" i="45"/>
  <c r="N61" i="45"/>
  <c r="O61" i="45"/>
  <c r="P61" i="45"/>
  <c r="Q61" i="45"/>
  <c r="R61" i="45"/>
  <c r="S61" i="45"/>
  <c r="T61" i="45"/>
  <c r="U61" i="45"/>
  <c r="V61" i="45"/>
  <c r="W61" i="45"/>
  <c r="M58" i="45"/>
  <c r="N58" i="45"/>
  <c r="O58" i="45"/>
  <c r="P58" i="45"/>
  <c r="Q58" i="45"/>
  <c r="R58" i="45"/>
  <c r="S58" i="45"/>
  <c r="T58" i="45"/>
  <c r="U58" i="45"/>
  <c r="V58" i="45"/>
  <c r="W58" i="45"/>
  <c r="L58" i="45"/>
  <c r="L53" i="45"/>
  <c r="M53" i="45"/>
  <c r="N53" i="45"/>
  <c r="O53" i="45"/>
  <c r="P53" i="45"/>
  <c r="Q53" i="45"/>
  <c r="R53" i="45"/>
  <c r="S53" i="45"/>
  <c r="T53" i="45"/>
  <c r="U53" i="45"/>
  <c r="V53" i="45"/>
  <c r="W53" i="45"/>
  <c r="L54" i="45"/>
  <c r="M54" i="45"/>
  <c r="N54" i="45"/>
  <c r="O54" i="45"/>
  <c r="P54" i="45"/>
  <c r="Q54" i="45"/>
  <c r="R54" i="45"/>
  <c r="S54" i="45"/>
  <c r="T54" i="45"/>
  <c r="U54" i="45"/>
  <c r="V54" i="45"/>
  <c r="W54" i="45"/>
  <c r="L55" i="45"/>
  <c r="M55" i="45"/>
  <c r="N55" i="45"/>
  <c r="O55" i="45"/>
  <c r="P55" i="45"/>
  <c r="Q55" i="45"/>
  <c r="R55" i="45"/>
  <c r="S55" i="45"/>
  <c r="T55" i="45"/>
  <c r="U55" i="45"/>
  <c r="V55" i="45"/>
  <c r="W55" i="45"/>
  <c r="L56" i="45"/>
  <c r="M56" i="45"/>
  <c r="N56" i="45"/>
  <c r="O56" i="45"/>
  <c r="P56" i="45"/>
  <c r="Q56" i="45"/>
  <c r="R56" i="45"/>
  <c r="S56" i="45"/>
  <c r="T56" i="45"/>
  <c r="U56" i="45"/>
  <c r="V56" i="45"/>
  <c r="W56" i="45"/>
  <c r="M3" i="79"/>
  <c r="L3" i="79"/>
  <c r="K3" i="79"/>
  <c r="J3" i="79"/>
  <c r="I3" i="79"/>
  <c r="H3" i="79"/>
  <c r="G3" i="79"/>
  <c r="F3" i="79"/>
  <c r="E3" i="79"/>
  <c r="D3" i="79"/>
  <c r="C3" i="79"/>
  <c r="B3" i="79"/>
  <c r="N17" i="42"/>
  <c r="N3" i="27"/>
  <c r="O3" i="27"/>
  <c r="P3" i="27"/>
  <c r="Q3" i="27"/>
  <c r="R3" i="27"/>
  <c r="S3" i="27"/>
  <c r="T3" i="27"/>
  <c r="U3" i="27"/>
  <c r="V3" i="27"/>
  <c r="W3" i="27"/>
  <c r="X3" i="27"/>
  <c r="Y3" i="27"/>
  <c r="Q32" i="26"/>
  <c r="P32" i="26"/>
  <c r="O32" i="26"/>
  <c r="N32" i="26"/>
  <c r="M32" i="26"/>
  <c r="L32" i="26"/>
  <c r="K32" i="26"/>
  <c r="J32" i="26"/>
  <c r="I32" i="26"/>
  <c r="H32" i="26"/>
  <c r="G32" i="26"/>
  <c r="F32" i="26"/>
  <c r="G3" i="26"/>
  <c r="H3" i="26"/>
  <c r="I3" i="26"/>
  <c r="J3" i="26"/>
  <c r="K3" i="26"/>
  <c r="L3" i="26"/>
  <c r="M3" i="26"/>
  <c r="N3" i="26"/>
  <c r="O3" i="26"/>
  <c r="P3" i="26"/>
  <c r="Q3" i="26"/>
  <c r="F3" i="26"/>
  <c r="D54" i="26"/>
  <c r="D53" i="26"/>
  <c r="D52" i="26"/>
  <c r="D51" i="26"/>
  <c r="D50" i="26"/>
  <c r="D49" i="26"/>
  <c r="D48" i="26"/>
  <c r="D47" i="26"/>
  <c r="D46" i="26"/>
  <c r="D45" i="26"/>
  <c r="D44" i="26"/>
  <c r="D43" i="26"/>
  <c r="M6" i="27" s="1"/>
  <c r="D42" i="26"/>
  <c r="M5" i="27" s="1"/>
  <c r="D41" i="26"/>
  <c r="D40" i="26"/>
  <c r="M4" i="27" s="1"/>
  <c r="D39" i="26"/>
  <c r="D38" i="26"/>
  <c r="D37" i="26"/>
  <c r="D36" i="26"/>
  <c r="D35" i="26"/>
  <c r="D34" i="26"/>
  <c r="D28" i="26"/>
  <c r="M3" i="27" s="1"/>
  <c r="D27" i="26"/>
  <c r="D26" i="26"/>
  <c r="D25" i="26"/>
  <c r="D24" i="26"/>
  <c r="D23" i="26"/>
  <c r="D22" i="26"/>
  <c r="D21" i="26"/>
  <c r="D20" i="26"/>
  <c r="D19" i="26"/>
  <c r="D18" i="26"/>
  <c r="D17" i="26"/>
  <c r="D16" i="26"/>
  <c r="D15" i="26"/>
  <c r="D14" i="26"/>
  <c r="D13" i="26"/>
  <c r="D12" i="26"/>
  <c r="D11" i="26"/>
  <c r="D10" i="26"/>
  <c r="D9" i="26"/>
  <c r="D8" i="26"/>
  <c r="D7" i="26"/>
  <c r="D6" i="26"/>
  <c r="D5" i="26"/>
  <c r="P48" i="68"/>
  <c r="Q48" i="68"/>
  <c r="R48" i="68"/>
  <c r="S48" i="68"/>
  <c r="T48" i="68"/>
  <c r="U48" i="68"/>
  <c r="V48" i="68"/>
  <c r="W48" i="68"/>
  <c r="X48" i="68"/>
  <c r="Y48" i="68"/>
  <c r="Z48" i="68"/>
  <c r="AA48" i="68"/>
  <c r="P49" i="68"/>
  <c r="Q49" i="68"/>
  <c r="R49" i="68"/>
  <c r="S49" i="68"/>
  <c r="T49" i="68"/>
  <c r="U49" i="68"/>
  <c r="V49" i="68"/>
  <c r="W49" i="68"/>
  <c r="X49" i="68"/>
  <c r="Y49" i="68"/>
  <c r="Z49" i="68"/>
  <c r="AA49" i="68"/>
  <c r="P50" i="68"/>
  <c r="Q50" i="68"/>
  <c r="R50" i="68"/>
  <c r="S50" i="68"/>
  <c r="T50" i="68"/>
  <c r="U50" i="68"/>
  <c r="V50" i="68"/>
  <c r="W50" i="68"/>
  <c r="X50" i="68"/>
  <c r="Y50" i="68"/>
  <c r="Z50" i="68"/>
  <c r="AA50" i="68"/>
  <c r="P51" i="68"/>
  <c r="Q51" i="68"/>
  <c r="R51" i="68"/>
  <c r="S51" i="68"/>
  <c r="T51" i="68"/>
  <c r="U51" i="68"/>
  <c r="V51" i="68"/>
  <c r="W51" i="68"/>
  <c r="X51" i="68"/>
  <c r="Y51" i="68"/>
  <c r="Z51" i="68"/>
  <c r="AA51" i="68"/>
  <c r="P52" i="68"/>
  <c r="Q52" i="68"/>
  <c r="R52" i="68"/>
  <c r="S52" i="68"/>
  <c r="T52" i="68"/>
  <c r="U52" i="68"/>
  <c r="V52" i="68"/>
  <c r="W52" i="68"/>
  <c r="X52" i="68"/>
  <c r="Y52" i="68"/>
  <c r="Z52" i="68"/>
  <c r="AA52" i="68"/>
  <c r="P53" i="68"/>
  <c r="Q53" i="68"/>
  <c r="R53" i="68"/>
  <c r="S53" i="68"/>
  <c r="T53" i="68"/>
  <c r="U53" i="68"/>
  <c r="V53" i="68"/>
  <c r="W53" i="68"/>
  <c r="X53" i="68"/>
  <c r="Y53" i="68"/>
  <c r="Z53" i="68"/>
  <c r="AA53" i="68"/>
  <c r="P54" i="68"/>
  <c r="Q54" i="68"/>
  <c r="R54" i="68"/>
  <c r="S54" i="68"/>
  <c r="T54" i="68"/>
  <c r="U54" i="68"/>
  <c r="V54" i="68"/>
  <c r="W54" i="68"/>
  <c r="X54" i="68"/>
  <c r="Y54" i="68"/>
  <c r="Z54" i="68"/>
  <c r="AA54" i="68"/>
  <c r="P55" i="68"/>
  <c r="Q55" i="68"/>
  <c r="R55" i="68"/>
  <c r="S55" i="68"/>
  <c r="T55" i="68"/>
  <c r="U55" i="68"/>
  <c r="V55" i="68"/>
  <c r="W55" i="68"/>
  <c r="X55" i="68"/>
  <c r="Y55" i="68"/>
  <c r="Z55" i="68"/>
  <c r="AA55" i="68"/>
  <c r="P56" i="68"/>
  <c r="Q56" i="68"/>
  <c r="R56" i="68"/>
  <c r="S56" i="68"/>
  <c r="T56" i="68"/>
  <c r="U56" i="68"/>
  <c r="V56" i="68"/>
  <c r="W56" i="68"/>
  <c r="X56" i="68"/>
  <c r="Y56" i="68"/>
  <c r="Z56" i="68"/>
  <c r="AA56" i="68"/>
  <c r="P57" i="68"/>
  <c r="Q57" i="68"/>
  <c r="R57" i="68"/>
  <c r="S57" i="68"/>
  <c r="T57" i="68"/>
  <c r="U57" i="68"/>
  <c r="V57" i="68"/>
  <c r="W57" i="68"/>
  <c r="X57" i="68"/>
  <c r="Y57" i="68"/>
  <c r="Z57" i="68"/>
  <c r="AA57" i="68"/>
  <c r="P58" i="68"/>
  <c r="Q58" i="68"/>
  <c r="R58" i="68"/>
  <c r="S58" i="68"/>
  <c r="T58" i="68"/>
  <c r="U58" i="68"/>
  <c r="V58" i="68"/>
  <c r="W58" i="68"/>
  <c r="X58" i="68"/>
  <c r="Y58" i="68"/>
  <c r="Z58" i="68"/>
  <c r="AA58" i="68"/>
  <c r="P59" i="68"/>
  <c r="Q59" i="68"/>
  <c r="R59" i="68"/>
  <c r="S59" i="68"/>
  <c r="T59" i="68"/>
  <c r="U59" i="68"/>
  <c r="V59" i="68"/>
  <c r="W59" i="68"/>
  <c r="X59" i="68"/>
  <c r="Y59" i="68"/>
  <c r="Z59" i="68"/>
  <c r="AA59" i="68"/>
  <c r="P60" i="68"/>
  <c r="Q60" i="68"/>
  <c r="R60" i="68"/>
  <c r="S60" i="68"/>
  <c r="T60" i="68"/>
  <c r="U60" i="68"/>
  <c r="V60" i="68"/>
  <c r="W60" i="68"/>
  <c r="X60" i="68"/>
  <c r="Y60" i="68"/>
  <c r="Z60" i="68"/>
  <c r="AA60" i="68"/>
  <c r="P61" i="68"/>
  <c r="Q61" i="68"/>
  <c r="R61" i="68"/>
  <c r="S61" i="68"/>
  <c r="T61" i="68"/>
  <c r="U61" i="68"/>
  <c r="V61" i="68"/>
  <c r="W61" i="68"/>
  <c r="X61" i="68"/>
  <c r="Y61" i="68"/>
  <c r="Z61" i="68"/>
  <c r="AA61" i="68"/>
  <c r="P62" i="68"/>
  <c r="Q62" i="68"/>
  <c r="R62" i="68"/>
  <c r="S62" i="68"/>
  <c r="T62" i="68"/>
  <c r="U62" i="68"/>
  <c r="V62" i="68"/>
  <c r="W62" i="68"/>
  <c r="X62" i="68"/>
  <c r="Y62" i="68"/>
  <c r="Z62" i="68"/>
  <c r="AA62" i="68"/>
  <c r="P63" i="68"/>
  <c r="Q63" i="68"/>
  <c r="R63" i="68"/>
  <c r="S63" i="68"/>
  <c r="T63" i="68"/>
  <c r="U63" i="68"/>
  <c r="V63" i="68"/>
  <c r="W63" i="68"/>
  <c r="X63" i="68"/>
  <c r="Y63" i="68"/>
  <c r="Z63" i="68"/>
  <c r="AA63" i="68"/>
  <c r="P64" i="68"/>
  <c r="Q64" i="68"/>
  <c r="R64" i="68"/>
  <c r="S64" i="68"/>
  <c r="T64" i="68"/>
  <c r="U64" i="68"/>
  <c r="V64" i="68"/>
  <c r="W64" i="68"/>
  <c r="X64" i="68"/>
  <c r="Y64" i="68"/>
  <c r="Z64" i="68"/>
  <c r="AA64" i="68"/>
  <c r="P65" i="68"/>
  <c r="Q65" i="68"/>
  <c r="R65" i="68"/>
  <c r="S65" i="68"/>
  <c r="T65" i="68"/>
  <c r="U65" i="68"/>
  <c r="V65" i="68"/>
  <c r="W65" i="68"/>
  <c r="X65" i="68"/>
  <c r="Y65" i="68"/>
  <c r="Z65" i="68"/>
  <c r="AA65" i="68"/>
  <c r="P66" i="68"/>
  <c r="Q66" i="68"/>
  <c r="R66" i="68"/>
  <c r="S66" i="68"/>
  <c r="T66" i="68"/>
  <c r="U66" i="68"/>
  <c r="V66" i="68"/>
  <c r="W66" i="68"/>
  <c r="X66" i="68"/>
  <c r="Y66" i="68"/>
  <c r="Z66" i="68"/>
  <c r="AA66" i="68"/>
  <c r="P67" i="68"/>
  <c r="Q67" i="68"/>
  <c r="R67" i="68"/>
  <c r="S67" i="68"/>
  <c r="T67" i="68"/>
  <c r="U67" i="68"/>
  <c r="V67" i="68"/>
  <c r="W67" i="68"/>
  <c r="X67" i="68"/>
  <c r="Y67" i="68"/>
  <c r="Z67" i="68"/>
  <c r="AA67" i="68"/>
  <c r="P68" i="68"/>
  <c r="Q68" i="68"/>
  <c r="R68" i="68"/>
  <c r="S68" i="68"/>
  <c r="T68" i="68"/>
  <c r="U68" i="68"/>
  <c r="V68" i="68"/>
  <c r="W68" i="68"/>
  <c r="X68" i="68"/>
  <c r="Y68" i="68"/>
  <c r="Z68" i="68"/>
  <c r="AA68" i="68"/>
  <c r="P69" i="68"/>
  <c r="Q69" i="68"/>
  <c r="R69" i="68"/>
  <c r="S69" i="68"/>
  <c r="T69" i="68"/>
  <c r="U69" i="68"/>
  <c r="V69" i="68"/>
  <c r="W69" i="68"/>
  <c r="X69" i="68"/>
  <c r="Y69" i="68"/>
  <c r="Z69" i="68"/>
  <c r="AA69" i="68"/>
  <c r="Q47" i="68"/>
  <c r="R47" i="68"/>
  <c r="S47" i="68"/>
  <c r="T47" i="68"/>
  <c r="U47" i="68"/>
  <c r="V47" i="68"/>
  <c r="W47" i="68"/>
  <c r="X47" i="68"/>
  <c r="Y47" i="68"/>
  <c r="Z47" i="68"/>
  <c r="AA47" i="68"/>
  <c r="P47" i="68"/>
  <c r="AA45" i="68"/>
  <c r="Z45" i="68"/>
  <c r="Y45" i="68"/>
  <c r="X45" i="68"/>
  <c r="W45" i="68"/>
  <c r="V45" i="68"/>
  <c r="U45" i="68"/>
  <c r="T45" i="68"/>
  <c r="S45" i="68"/>
  <c r="R45" i="68"/>
  <c r="Q45" i="68"/>
  <c r="P45" i="68"/>
  <c r="O48" i="68"/>
  <c r="O49" i="68"/>
  <c r="O50" i="68"/>
  <c r="O51" i="68"/>
  <c r="O52" i="68"/>
  <c r="O53" i="68"/>
  <c r="O54" i="68"/>
  <c r="O55" i="68"/>
  <c r="O56" i="68"/>
  <c r="O57" i="68"/>
  <c r="O58" i="68"/>
  <c r="O59" i="68"/>
  <c r="O60" i="68"/>
  <c r="O61" i="68"/>
  <c r="O62" i="68"/>
  <c r="O63" i="68"/>
  <c r="O64" i="68"/>
  <c r="O65" i="68"/>
  <c r="O66" i="68"/>
  <c r="O67" i="68"/>
  <c r="O68" i="68"/>
  <c r="O69" i="68"/>
  <c r="O47" i="68"/>
  <c r="O7" i="68"/>
  <c r="O8" i="68"/>
  <c r="O9" i="68"/>
  <c r="O10" i="68"/>
  <c r="O11" i="68"/>
  <c r="O12" i="68"/>
  <c r="O13" i="68"/>
  <c r="O14" i="68"/>
  <c r="O15" i="68"/>
  <c r="O16" i="68"/>
  <c r="O17" i="68"/>
  <c r="O18" i="68"/>
  <c r="O19" i="68"/>
  <c r="O20" i="68"/>
  <c r="O21" i="68"/>
  <c r="O22" i="68"/>
  <c r="O23" i="68"/>
  <c r="O24" i="68"/>
  <c r="O25" i="68"/>
  <c r="O26" i="68"/>
  <c r="O27" i="68"/>
  <c r="O28" i="68"/>
  <c r="O29" i="68"/>
  <c r="O30" i="68"/>
  <c r="O31" i="68"/>
  <c r="O32" i="68"/>
  <c r="O33" i="68"/>
  <c r="O34" i="68"/>
  <c r="O35" i="68"/>
  <c r="O36" i="68"/>
  <c r="O37" i="68"/>
  <c r="O38" i="68"/>
  <c r="O6" i="68"/>
  <c r="O6" i="26" s="1"/>
  <c r="Q4" i="68"/>
  <c r="R4" i="68"/>
  <c r="S4" i="68"/>
  <c r="T4" i="68"/>
  <c r="U4" i="68"/>
  <c r="V4" i="68"/>
  <c r="W4" i="68"/>
  <c r="X4" i="68"/>
  <c r="Y4" i="68"/>
  <c r="Z4" i="68"/>
  <c r="AA4" i="68"/>
  <c r="P4" i="68"/>
  <c r="P7" i="68"/>
  <c r="Q7" i="68"/>
  <c r="R7" i="68"/>
  <c r="S7" i="68"/>
  <c r="T7" i="68"/>
  <c r="U7" i="68"/>
  <c r="V7" i="68"/>
  <c r="W7" i="68"/>
  <c r="X7" i="68"/>
  <c r="Y7" i="68"/>
  <c r="Z7" i="68"/>
  <c r="AA7" i="68"/>
  <c r="P8" i="68"/>
  <c r="Q8" i="68"/>
  <c r="R8" i="68"/>
  <c r="S8" i="68"/>
  <c r="T8" i="68"/>
  <c r="U8" i="68"/>
  <c r="V8" i="68"/>
  <c r="W8" i="68"/>
  <c r="X8" i="68"/>
  <c r="Y8" i="68"/>
  <c r="Z8" i="68"/>
  <c r="AA8" i="68"/>
  <c r="P9" i="68"/>
  <c r="Q9" i="68"/>
  <c r="R9" i="68"/>
  <c r="S9" i="68"/>
  <c r="T9" i="68"/>
  <c r="U9" i="68"/>
  <c r="V9" i="68"/>
  <c r="W9" i="68"/>
  <c r="X9" i="68"/>
  <c r="Y9" i="68"/>
  <c r="Z9" i="68"/>
  <c r="AA9" i="68"/>
  <c r="P10" i="68"/>
  <c r="Q10" i="68"/>
  <c r="R10" i="68"/>
  <c r="S10" i="68"/>
  <c r="T10" i="68"/>
  <c r="U10" i="68"/>
  <c r="V10" i="68"/>
  <c r="W10" i="68"/>
  <c r="X10" i="68"/>
  <c r="Y10" i="68"/>
  <c r="Z10" i="68"/>
  <c r="AA10" i="68"/>
  <c r="P11" i="68"/>
  <c r="Q11" i="68"/>
  <c r="R11" i="68"/>
  <c r="S11" i="68"/>
  <c r="T11" i="68"/>
  <c r="U11" i="68"/>
  <c r="V11" i="68"/>
  <c r="W11" i="68"/>
  <c r="X11" i="68"/>
  <c r="Y11" i="68"/>
  <c r="Z11" i="68"/>
  <c r="AA11" i="68"/>
  <c r="P12" i="68"/>
  <c r="Q12" i="68"/>
  <c r="R12" i="68"/>
  <c r="S12" i="68"/>
  <c r="T12" i="68"/>
  <c r="U12" i="68"/>
  <c r="V12" i="68"/>
  <c r="W12" i="68"/>
  <c r="X12" i="68"/>
  <c r="Y12" i="68"/>
  <c r="Z12" i="68"/>
  <c r="AA12" i="68"/>
  <c r="P13" i="68"/>
  <c r="Q13" i="68"/>
  <c r="R13" i="68"/>
  <c r="S13" i="68"/>
  <c r="T13" i="68"/>
  <c r="U13" i="68"/>
  <c r="V13" i="68"/>
  <c r="W13" i="68"/>
  <c r="X13" i="68"/>
  <c r="Y13" i="68"/>
  <c r="Z13" i="68"/>
  <c r="AA13" i="68"/>
  <c r="P14" i="68"/>
  <c r="Q14" i="68"/>
  <c r="R14" i="68"/>
  <c r="S14" i="68"/>
  <c r="T14" i="68"/>
  <c r="U14" i="68"/>
  <c r="V14" i="68"/>
  <c r="W14" i="68"/>
  <c r="X14" i="68"/>
  <c r="Y14" i="68"/>
  <c r="Z14" i="68"/>
  <c r="AA14" i="68"/>
  <c r="P15" i="68"/>
  <c r="Q15" i="68"/>
  <c r="R15" i="68"/>
  <c r="S15" i="68"/>
  <c r="T15" i="68"/>
  <c r="U15" i="68"/>
  <c r="V15" i="68"/>
  <c r="W15" i="68"/>
  <c r="X15" i="68"/>
  <c r="Y15" i="68"/>
  <c r="Z15" i="68"/>
  <c r="AA15" i="68"/>
  <c r="P16" i="68"/>
  <c r="Q16" i="68"/>
  <c r="R16" i="68"/>
  <c r="S16" i="68"/>
  <c r="T16" i="68"/>
  <c r="U16" i="68"/>
  <c r="V16" i="68"/>
  <c r="W16" i="68"/>
  <c r="X16" i="68"/>
  <c r="Y16" i="68"/>
  <c r="Z16" i="68"/>
  <c r="AA16" i="68"/>
  <c r="P17" i="68"/>
  <c r="Q17" i="68"/>
  <c r="R17" i="68"/>
  <c r="S17" i="68"/>
  <c r="T17" i="68"/>
  <c r="U17" i="68"/>
  <c r="V17" i="68"/>
  <c r="W17" i="68"/>
  <c r="X17" i="68"/>
  <c r="Y17" i="68"/>
  <c r="Z17" i="68"/>
  <c r="AA17" i="68"/>
  <c r="P18" i="68"/>
  <c r="Q18" i="68"/>
  <c r="R18" i="68"/>
  <c r="S18" i="68"/>
  <c r="T18" i="68"/>
  <c r="U18" i="68"/>
  <c r="V18" i="68"/>
  <c r="W18" i="68"/>
  <c r="X18" i="68"/>
  <c r="Y18" i="68"/>
  <c r="Z18" i="68"/>
  <c r="AA18" i="68"/>
  <c r="P19" i="68"/>
  <c r="Q19" i="68"/>
  <c r="R19" i="68"/>
  <c r="S19" i="68"/>
  <c r="T19" i="68"/>
  <c r="U19" i="68"/>
  <c r="V19" i="68"/>
  <c r="W19" i="68"/>
  <c r="X19" i="68"/>
  <c r="Y19" i="68"/>
  <c r="Z19" i="68"/>
  <c r="AA19" i="68"/>
  <c r="P20" i="68"/>
  <c r="Q20" i="68"/>
  <c r="R20" i="68"/>
  <c r="S20" i="68"/>
  <c r="T20" i="68"/>
  <c r="U20" i="68"/>
  <c r="V20" i="68"/>
  <c r="W20" i="68"/>
  <c r="X20" i="68"/>
  <c r="Y20" i="68"/>
  <c r="Z20" i="68"/>
  <c r="AA20" i="68"/>
  <c r="P21" i="68"/>
  <c r="Q21" i="68"/>
  <c r="R21" i="68"/>
  <c r="S21" i="68"/>
  <c r="T21" i="68"/>
  <c r="U21" i="68"/>
  <c r="V21" i="68"/>
  <c r="W21" i="68"/>
  <c r="X21" i="68"/>
  <c r="Y21" i="68"/>
  <c r="Z21" i="68"/>
  <c r="AA21" i="68"/>
  <c r="P22" i="68"/>
  <c r="Q22" i="68"/>
  <c r="R22" i="68"/>
  <c r="S22" i="68"/>
  <c r="T22" i="68"/>
  <c r="U22" i="68"/>
  <c r="V22" i="68"/>
  <c r="W22" i="68"/>
  <c r="X22" i="68"/>
  <c r="Y22" i="68"/>
  <c r="Z22" i="68"/>
  <c r="AA22" i="68"/>
  <c r="P23" i="68"/>
  <c r="Q23" i="68"/>
  <c r="R23" i="68"/>
  <c r="S23" i="68"/>
  <c r="T23" i="68"/>
  <c r="U23" i="68"/>
  <c r="V23" i="68"/>
  <c r="W23" i="68"/>
  <c r="X23" i="68"/>
  <c r="Y23" i="68"/>
  <c r="Z23" i="68"/>
  <c r="AA23" i="68"/>
  <c r="P24" i="68"/>
  <c r="Q24" i="68"/>
  <c r="R24" i="68"/>
  <c r="S24" i="68"/>
  <c r="T24" i="68"/>
  <c r="U24" i="68"/>
  <c r="V24" i="68"/>
  <c r="W24" i="68"/>
  <c r="X24" i="68"/>
  <c r="Y24" i="68"/>
  <c r="Z24" i="68"/>
  <c r="AA24" i="68"/>
  <c r="P25" i="68"/>
  <c r="Q25" i="68"/>
  <c r="R25" i="68"/>
  <c r="S25" i="68"/>
  <c r="T25" i="68"/>
  <c r="U25" i="68"/>
  <c r="V25" i="68"/>
  <c r="W25" i="68"/>
  <c r="X25" i="68"/>
  <c r="Y25" i="68"/>
  <c r="Z25" i="68"/>
  <c r="AA25" i="68"/>
  <c r="P26" i="68"/>
  <c r="Q26" i="68"/>
  <c r="R26" i="68"/>
  <c r="S26" i="68"/>
  <c r="T26" i="68"/>
  <c r="U26" i="68"/>
  <c r="V26" i="68"/>
  <c r="W26" i="68"/>
  <c r="X26" i="68"/>
  <c r="Y26" i="68"/>
  <c r="Z26" i="68"/>
  <c r="AA26" i="68"/>
  <c r="P27" i="68"/>
  <c r="Q27" i="68"/>
  <c r="R27" i="68"/>
  <c r="S27" i="68"/>
  <c r="T27" i="68"/>
  <c r="U27" i="68"/>
  <c r="V27" i="68"/>
  <c r="W27" i="68"/>
  <c r="X27" i="68"/>
  <c r="Y27" i="68"/>
  <c r="Z27" i="68"/>
  <c r="AA27" i="68"/>
  <c r="P28" i="68"/>
  <c r="Q28" i="68"/>
  <c r="R28" i="68"/>
  <c r="S28" i="68"/>
  <c r="T28" i="68"/>
  <c r="U28" i="68"/>
  <c r="V28" i="68"/>
  <c r="W28" i="68"/>
  <c r="X28" i="68"/>
  <c r="Y28" i="68"/>
  <c r="Z28" i="68"/>
  <c r="AA28" i="68"/>
  <c r="P29" i="68"/>
  <c r="Q29" i="68"/>
  <c r="R29" i="68"/>
  <c r="S29" i="68"/>
  <c r="T29" i="68"/>
  <c r="U29" i="68"/>
  <c r="V29" i="68"/>
  <c r="W29" i="68"/>
  <c r="X29" i="68"/>
  <c r="Y29" i="68"/>
  <c r="Z29" i="68"/>
  <c r="AA29" i="68"/>
  <c r="P30" i="68"/>
  <c r="Q30" i="68"/>
  <c r="R30" i="68"/>
  <c r="S30" i="68"/>
  <c r="T30" i="68"/>
  <c r="U30" i="68"/>
  <c r="V30" i="68"/>
  <c r="W30" i="68"/>
  <c r="X30" i="68"/>
  <c r="Y30" i="68"/>
  <c r="Z30" i="68"/>
  <c r="AA30" i="68"/>
  <c r="P31" i="68"/>
  <c r="Q31" i="68"/>
  <c r="R31" i="68"/>
  <c r="S31" i="68"/>
  <c r="T31" i="68"/>
  <c r="U31" i="68"/>
  <c r="V31" i="68"/>
  <c r="W31" i="68"/>
  <c r="X31" i="68"/>
  <c r="Y31" i="68"/>
  <c r="Z31" i="68"/>
  <c r="AA31" i="68"/>
  <c r="P32" i="68"/>
  <c r="Q32" i="68"/>
  <c r="R32" i="68"/>
  <c r="S32" i="68"/>
  <c r="T32" i="68"/>
  <c r="U32" i="68"/>
  <c r="V32" i="68"/>
  <c r="W32" i="68"/>
  <c r="X32" i="68"/>
  <c r="Y32" i="68"/>
  <c r="Z32" i="68"/>
  <c r="AA32" i="68"/>
  <c r="P33" i="68"/>
  <c r="Q33" i="68"/>
  <c r="R33" i="68"/>
  <c r="S33" i="68"/>
  <c r="T33" i="68"/>
  <c r="U33" i="68"/>
  <c r="V33" i="68"/>
  <c r="W33" i="68"/>
  <c r="X33" i="68"/>
  <c r="Y33" i="68"/>
  <c r="Z33" i="68"/>
  <c r="AA33" i="68"/>
  <c r="P34" i="68"/>
  <c r="Q34" i="68"/>
  <c r="R34" i="68"/>
  <c r="S34" i="68"/>
  <c r="T34" i="68"/>
  <c r="U34" i="68"/>
  <c r="V34" i="68"/>
  <c r="W34" i="68"/>
  <c r="X34" i="68"/>
  <c r="Y34" i="68"/>
  <c r="Z34" i="68"/>
  <c r="AA34" i="68"/>
  <c r="P35" i="68"/>
  <c r="Q35" i="68"/>
  <c r="R35" i="68"/>
  <c r="S35" i="68"/>
  <c r="T35" i="68"/>
  <c r="U35" i="68"/>
  <c r="V35" i="68"/>
  <c r="W35" i="68"/>
  <c r="X35" i="68"/>
  <c r="Y35" i="68"/>
  <c r="Z35" i="68"/>
  <c r="AA35" i="68"/>
  <c r="P36" i="68"/>
  <c r="Q36" i="68"/>
  <c r="R36" i="68"/>
  <c r="S36" i="68"/>
  <c r="T36" i="68"/>
  <c r="U36" i="68"/>
  <c r="V36" i="68"/>
  <c r="W36" i="68"/>
  <c r="X36" i="68"/>
  <c r="Y36" i="68"/>
  <c r="Z36" i="68"/>
  <c r="AA36" i="68"/>
  <c r="P37" i="68"/>
  <c r="Q37" i="68"/>
  <c r="R37" i="68"/>
  <c r="S37" i="68"/>
  <c r="T37" i="68"/>
  <c r="U37" i="68"/>
  <c r="V37" i="68"/>
  <c r="W37" i="68"/>
  <c r="X37" i="68"/>
  <c r="Y37" i="68"/>
  <c r="Z37" i="68"/>
  <c r="AA37" i="68"/>
  <c r="P38" i="68"/>
  <c r="Q38" i="68"/>
  <c r="R38" i="68"/>
  <c r="S38" i="68"/>
  <c r="T38" i="68"/>
  <c r="U38" i="68"/>
  <c r="V38" i="68"/>
  <c r="W38" i="68"/>
  <c r="X38" i="68"/>
  <c r="Y38" i="68"/>
  <c r="Z38" i="68"/>
  <c r="AA38" i="68"/>
  <c r="Q6" i="68"/>
  <c r="R6" i="68"/>
  <c r="S6" i="68"/>
  <c r="T6" i="68"/>
  <c r="U6" i="68"/>
  <c r="V6" i="68"/>
  <c r="W6" i="68"/>
  <c r="X6" i="68"/>
  <c r="Y6" i="68"/>
  <c r="Z6" i="68"/>
  <c r="AA6" i="68"/>
  <c r="P6" i="68"/>
  <c r="B11" i="6"/>
  <c r="J5" i="26" l="1"/>
  <c r="M13" i="79"/>
  <c r="F5" i="26"/>
  <c r="I19" i="79"/>
  <c r="G8" i="26"/>
  <c r="N5" i="26"/>
  <c r="D35" i="79"/>
  <c r="H35" i="79"/>
  <c r="L35" i="79"/>
  <c r="D36" i="79"/>
  <c r="H36" i="79"/>
  <c r="L36" i="79"/>
  <c r="D37" i="79"/>
  <c r="H37" i="79"/>
  <c r="L37" i="79"/>
  <c r="E34" i="79"/>
  <c r="I34" i="79"/>
  <c r="M34" i="79"/>
  <c r="D25" i="79"/>
  <c r="H25" i="79"/>
  <c r="L25" i="79"/>
  <c r="D26" i="79"/>
  <c r="H26" i="79"/>
  <c r="L26" i="79"/>
  <c r="D27" i="79"/>
  <c r="H27" i="79"/>
  <c r="L27" i="79"/>
  <c r="D28" i="79"/>
  <c r="H28" i="79"/>
  <c r="L28" i="79"/>
  <c r="D29" i="79"/>
  <c r="H29" i="79"/>
  <c r="L29" i="79"/>
  <c r="D30" i="79"/>
  <c r="H30" i="79"/>
  <c r="L30" i="79"/>
  <c r="E24" i="79"/>
  <c r="S52" i="45" s="1"/>
  <c r="I24" i="79"/>
  <c r="P52" i="45" s="1"/>
  <c r="M24" i="79"/>
  <c r="U52" i="45" s="1"/>
  <c r="B35" i="79"/>
  <c r="F35" i="79"/>
  <c r="J35" i="79"/>
  <c r="B36" i="79"/>
  <c r="F36" i="79"/>
  <c r="J36" i="79"/>
  <c r="B37" i="79"/>
  <c r="F37" i="79"/>
  <c r="J37" i="79"/>
  <c r="C34" i="79"/>
  <c r="G34" i="79"/>
  <c r="K34" i="79"/>
  <c r="B25" i="79"/>
  <c r="F25" i="79"/>
  <c r="J25" i="79"/>
  <c r="B26" i="79"/>
  <c r="F26" i="79"/>
  <c r="J26" i="79"/>
  <c r="B27" i="79"/>
  <c r="F27" i="79"/>
  <c r="J27" i="79"/>
  <c r="B28" i="79"/>
  <c r="F28" i="79"/>
  <c r="J28" i="79"/>
  <c r="B29" i="79"/>
  <c r="F29" i="79"/>
  <c r="J29" i="79"/>
  <c r="B30" i="79"/>
  <c r="F30" i="79"/>
  <c r="J30" i="79"/>
  <c r="C24" i="79"/>
  <c r="Q52" i="45" s="1"/>
  <c r="G24" i="79"/>
  <c r="M52" i="45" s="1"/>
  <c r="K24" i="79"/>
  <c r="W52" i="45" s="1"/>
  <c r="W57" i="45" s="1"/>
  <c r="C35" i="79"/>
  <c r="G35" i="79"/>
  <c r="K35" i="79"/>
  <c r="C36" i="79"/>
  <c r="G36" i="79"/>
  <c r="K36" i="79"/>
  <c r="C37" i="79"/>
  <c r="G37" i="79"/>
  <c r="K37" i="79"/>
  <c r="D34" i="79"/>
  <c r="H34" i="79"/>
  <c r="L34" i="79"/>
  <c r="C25" i="79"/>
  <c r="G25" i="79"/>
  <c r="K25" i="79"/>
  <c r="C26" i="79"/>
  <c r="G26" i="79"/>
  <c r="K26" i="79"/>
  <c r="C27" i="79"/>
  <c r="G27" i="79"/>
  <c r="K27" i="79"/>
  <c r="C28" i="79"/>
  <c r="G28" i="79"/>
  <c r="K28" i="79"/>
  <c r="C29" i="79"/>
  <c r="G29" i="79"/>
  <c r="K29" i="79"/>
  <c r="C30" i="79"/>
  <c r="G30" i="79"/>
  <c r="K30" i="79"/>
  <c r="D24" i="79"/>
  <c r="R52" i="45" s="1"/>
  <c r="H24" i="79"/>
  <c r="N52" i="45" s="1"/>
  <c r="L24" i="79"/>
  <c r="V52" i="45" s="1"/>
  <c r="I35" i="79"/>
  <c r="M36" i="79"/>
  <c r="F34" i="79"/>
  <c r="I25" i="79"/>
  <c r="M26" i="79"/>
  <c r="E28" i="79"/>
  <c r="I29" i="79"/>
  <c r="M30" i="79"/>
  <c r="F35" i="26"/>
  <c r="J35" i="26"/>
  <c r="N35" i="26"/>
  <c r="F36" i="26"/>
  <c r="J36" i="26"/>
  <c r="N36" i="26"/>
  <c r="F37" i="26"/>
  <c r="J37" i="26"/>
  <c r="N37" i="26"/>
  <c r="F38" i="26"/>
  <c r="J38" i="26"/>
  <c r="N38" i="26"/>
  <c r="F39" i="26"/>
  <c r="J39" i="26"/>
  <c r="N39" i="26"/>
  <c r="F40" i="26"/>
  <c r="N4" i="27" s="1"/>
  <c r="J40" i="26"/>
  <c r="R4" i="27" s="1"/>
  <c r="N40" i="26"/>
  <c r="V4" i="27" s="1"/>
  <c r="F41" i="26"/>
  <c r="J41" i="26"/>
  <c r="N41" i="26"/>
  <c r="F42" i="26"/>
  <c r="N5" i="27" s="1"/>
  <c r="J42" i="26"/>
  <c r="R5" i="27" s="1"/>
  <c r="N42" i="26"/>
  <c r="V5" i="27" s="1"/>
  <c r="F43" i="26"/>
  <c r="N6" i="27" s="1"/>
  <c r="J43" i="26"/>
  <c r="R6" i="27" s="1"/>
  <c r="N43" i="26"/>
  <c r="V6" i="27" s="1"/>
  <c r="F44" i="26"/>
  <c r="J44" i="26"/>
  <c r="N44" i="26"/>
  <c r="F45" i="26"/>
  <c r="J45" i="26"/>
  <c r="N45" i="26"/>
  <c r="M35" i="79"/>
  <c r="E37" i="79"/>
  <c r="J34" i="79"/>
  <c r="M25" i="79"/>
  <c r="E27" i="79"/>
  <c r="I28" i="79"/>
  <c r="M29" i="79"/>
  <c r="F24" i="79"/>
  <c r="L52" i="45" s="1"/>
  <c r="G35" i="26"/>
  <c r="K35" i="26"/>
  <c r="O35" i="26"/>
  <c r="G36" i="26"/>
  <c r="K36" i="26"/>
  <c r="O36" i="26"/>
  <c r="G37" i="26"/>
  <c r="K37" i="26"/>
  <c r="O37" i="26"/>
  <c r="E36" i="79"/>
  <c r="I37" i="79"/>
  <c r="B34" i="79"/>
  <c r="E26" i="79"/>
  <c r="I27" i="79"/>
  <c r="M28" i="79"/>
  <c r="E30" i="79"/>
  <c r="J24" i="79"/>
  <c r="O52" i="45" s="1"/>
  <c r="H35" i="26"/>
  <c r="L35" i="26"/>
  <c r="P35" i="26"/>
  <c r="H36" i="26"/>
  <c r="L36" i="26"/>
  <c r="P36" i="26"/>
  <c r="H37" i="26"/>
  <c r="L37" i="26"/>
  <c r="P37" i="26"/>
  <c r="H38" i="26"/>
  <c r="L38" i="26"/>
  <c r="P38" i="26"/>
  <c r="H39" i="26"/>
  <c r="L39" i="26"/>
  <c r="P39" i="26"/>
  <c r="H40" i="26"/>
  <c r="P4" i="27" s="1"/>
  <c r="L40" i="26"/>
  <c r="T4" i="27" s="1"/>
  <c r="P40" i="26"/>
  <c r="X4" i="27" s="1"/>
  <c r="H41" i="26"/>
  <c r="L41" i="26"/>
  <c r="P41" i="26"/>
  <c r="H42" i="26"/>
  <c r="P5" i="27" s="1"/>
  <c r="L42" i="26"/>
  <c r="T5" i="27" s="1"/>
  <c r="P42" i="26"/>
  <c r="X5" i="27" s="1"/>
  <c r="H43" i="26"/>
  <c r="P6" i="27" s="1"/>
  <c r="L43" i="26"/>
  <c r="T6" i="27" s="1"/>
  <c r="P43" i="26"/>
  <c r="X6" i="27" s="1"/>
  <c r="H44" i="26"/>
  <c r="L44" i="26"/>
  <c r="P44" i="26"/>
  <c r="H45" i="26"/>
  <c r="L45" i="26"/>
  <c r="P45" i="26"/>
  <c r="H46" i="26"/>
  <c r="L46" i="26"/>
  <c r="P46" i="26"/>
  <c r="H47" i="26"/>
  <c r="L47" i="26"/>
  <c r="P47" i="26"/>
  <c r="H48" i="26"/>
  <c r="L48" i="26"/>
  <c r="P48" i="26"/>
  <c r="H49" i="26"/>
  <c r="L49" i="26"/>
  <c r="P49" i="26"/>
  <c r="H50" i="26"/>
  <c r="E25" i="79"/>
  <c r="I30" i="79"/>
  <c r="Q35" i="26"/>
  <c r="I37" i="26"/>
  <c r="I38" i="26"/>
  <c r="Q38" i="26"/>
  <c r="M39" i="26"/>
  <c r="I40" i="26"/>
  <c r="Q4" i="27" s="1"/>
  <c r="Q40" i="26"/>
  <c r="Y4" i="27" s="1"/>
  <c r="M41" i="26"/>
  <c r="I42" i="26"/>
  <c r="Q5" i="27" s="1"/>
  <c r="Q42" i="26"/>
  <c r="Y5" i="27" s="1"/>
  <c r="M43" i="26"/>
  <c r="U6" i="27" s="1"/>
  <c r="I44" i="26"/>
  <c r="Q44" i="26"/>
  <c r="M45" i="26"/>
  <c r="G46" i="26"/>
  <c r="M46" i="26"/>
  <c r="F47" i="26"/>
  <c r="K47" i="26"/>
  <c r="Q47" i="26"/>
  <c r="J48" i="26"/>
  <c r="O48" i="26"/>
  <c r="I49" i="26"/>
  <c r="N49" i="26"/>
  <c r="G50" i="26"/>
  <c r="L50" i="26"/>
  <c r="P50" i="26"/>
  <c r="H51" i="26"/>
  <c r="L51" i="26"/>
  <c r="P51" i="26"/>
  <c r="H52" i="26"/>
  <c r="L52" i="26"/>
  <c r="P52" i="26"/>
  <c r="H53" i="26"/>
  <c r="L53" i="26"/>
  <c r="P53" i="26"/>
  <c r="H54" i="26"/>
  <c r="L54" i="26"/>
  <c r="P54" i="26"/>
  <c r="H55" i="26"/>
  <c r="L55" i="26"/>
  <c r="P55" i="26"/>
  <c r="H56" i="26"/>
  <c r="L56" i="26"/>
  <c r="P56" i="26"/>
  <c r="I34" i="26"/>
  <c r="M34" i="26"/>
  <c r="Q34" i="26"/>
  <c r="E35" i="79"/>
  <c r="I26" i="79"/>
  <c r="B24" i="79"/>
  <c r="T52" i="45" s="1"/>
  <c r="I36" i="26"/>
  <c r="M37" i="26"/>
  <c r="K38" i="26"/>
  <c r="G39" i="26"/>
  <c r="O39" i="26"/>
  <c r="K40" i="26"/>
  <c r="S4" i="27" s="1"/>
  <c r="G41" i="26"/>
  <c r="O41" i="26"/>
  <c r="K42" i="26"/>
  <c r="S5" i="27" s="1"/>
  <c r="G43" i="26"/>
  <c r="O6" i="27" s="1"/>
  <c r="O43" i="26"/>
  <c r="W6" i="27" s="1"/>
  <c r="K44" i="26"/>
  <c r="G45" i="26"/>
  <c r="O45" i="26"/>
  <c r="I46" i="26"/>
  <c r="N46" i="26"/>
  <c r="G47" i="26"/>
  <c r="M47" i="26"/>
  <c r="F48" i="26"/>
  <c r="K48" i="26"/>
  <c r="Q48" i="26"/>
  <c r="J49" i="26"/>
  <c r="O49" i="26"/>
  <c r="I50" i="26"/>
  <c r="M50" i="26"/>
  <c r="Q50" i="26"/>
  <c r="I51" i="26"/>
  <c r="M51" i="26"/>
  <c r="Q51" i="26"/>
  <c r="I52" i="26"/>
  <c r="M52" i="26"/>
  <c r="Q52" i="26"/>
  <c r="I53" i="26"/>
  <c r="M53" i="26"/>
  <c r="Q53" i="26"/>
  <c r="I54" i="26"/>
  <c r="M54" i="26"/>
  <c r="Q54" i="26"/>
  <c r="I55" i="26"/>
  <c r="M55" i="26"/>
  <c r="Q55" i="26"/>
  <c r="I56" i="26"/>
  <c r="M56" i="26"/>
  <c r="Q56" i="26"/>
  <c r="J34" i="26"/>
  <c r="N34" i="26"/>
  <c r="F34" i="26"/>
  <c r="I36" i="79"/>
  <c r="M27" i="79"/>
  <c r="I35" i="26"/>
  <c r="M36" i="26"/>
  <c r="Q37" i="26"/>
  <c r="M38" i="26"/>
  <c r="I39" i="26"/>
  <c r="Q39" i="26"/>
  <c r="M40" i="26"/>
  <c r="U4" i="27" s="1"/>
  <c r="I41" i="26"/>
  <c r="Q41" i="26"/>
  <c r="M42" i="26"/>
  <c r="U5" i="27" s="1"/>
  <c r="I43" i="26"/>
  <c r="Q6" i="27" s="1"/>
  <c r="Q43" i="26"/>
  <c r="Y6" i="27" s="1"/>
  <c r="M44" i="26"/>
  <c r="I45" i="26"/>
  <c r="Q45" i="26"/>
  <c r="J46" i="26"/>
  <c r="O46" i="26"/>
  <c r="I47" i="26"/>
  <c r="N47" i="26"/>
  <c r="G48" i="26"/>
  <c r="M48" i="26"/>
  <c r="F49" i="26"/>
  <c r="K49" i="26"/>
  <c r="Q49" i="26"/>
  <c r="J50" i="26"/>
  <c r="N50" i="26"/>
  <c r="F51" i="26"/>
  <c r="J51" i="26"/>
  <c r="N51" i="26"/>
  <c r="F52" i="26"/>
  <c r="J52" i="26"/>
  <c r="N52" i="26"/>
  <c r="F53" i="26"/>
  <c r="J53" i="26"/>
  <c r="N53" i="26"/>
  <c r="F54" i="26"/>
  <c r="J54" i="26"/>
  <c r="N54" i="26"/>
  <c r="F55" i="26"/>
  <c r="J55" i="26"/>
  <c r="N55" i="26"/>
  <c r="F56" i="26"/>
  <c r="J56" i="26"/>
  <c r="N56" i="26"/>
  <c r="G34" i="26"/>
  <c r="K34" i="26"/>
  <c r="O34" i="26"/>
  <c r="M27" i="26"/>
  <c r="Q26" i="26"/>
  <c r="I26" i="26"/>
  <c r="M25" i="26"/>
  <c r="Q24" i="26"/>
  <c r="I24" i="26"/>
  <c r="M23" i="26"/>
  <c r="Q22" i="26"/>
  <c r="I22" i="26"/>
  <c r="M21" i="26"/>
  <c r="Q20" i="26"/>
  <c r="H20" i="26"/>
  <c r="P18" i="26"/>
  <c r="Q17" i="26"/>
  <c r="G17" i="26"/>
  <c r="H16" i="26"/>
  <c r="H15" i="26"/>
  <c r="K13" i="26"/>
  <c r="O10" i="26"/>
  <c r="G56" i="26"/>
  <c r="K53" i="26"/>
  <c r="O50" i="26"/>
  <c r="J47" i="26"/>
  <c r="K45" i="26"/>
  <c r="G40" i="26"/>
  <c r="O4" i="27" s="1"/>
  <c r="Q36" i="26"/>
  <c r="Q5" i="26"/>
  <c r="M5" i="26"/>
  <c r="I5" i="26"/>
  <c r="P27" i="26"/>
  <c r="L27" i="26"/>
  <c r="H27" i="26"/>
  <c r="P26" i="26"/>
  <c r="L26" i="26"/>
  <c r="H26" i="26"/>
  <c r="P25" i="26"/>
  <c r="L25" i="26"/>
  <c r="H25" i="26"/>
  <c r="P24" i="26"/>
  <c r="L24" i="26"/>
  <c r="H24" i="26"/>
  <c r="P23" i="26"/>
  <c r="L23" i="26"/>
  <c r="H23" i="26"/>
  <c r="P22" i="26"/>
  <c r="L22" i="26"/>
  <c r="H22" i="26"/>
  <c r="P21" i="26"/>
  <c r="L21" i="26"/>
  <c r="H21" i="26"/>
  <c r="P20" i="26"/>
  <c r="L20" i="26"/>
  <c r="G20" i="26"/>
  <c r="M19" i="26"/>
  <c r="H19" i="26"/>
  <c r="O18" i="26"/>
  <c r="I18" i="26"/>
  <c r="P17" i="26"/>
  <c r="K17" i="26"/>
  <c r="Q16" i="26"/>
  <c r="L16" i="26"/>
  <c r="G16" i="26"/>
  <c r="M15" i="26"/>
  <c r="G15" i="26"/>
  <c r="K14" i="26"/>
  <c r="G13" i="26"/>
  <c r="O11" i="26"/>
  <c r="K10" i="26"/>
  <c r="G9" i="26"/>
  <c r="O7" i="26"/>
  <c r="K6" i="26"/>
  <c r="H34" i="26"/>
  <c r="O55" i="26"/>
  <c r="K54" i="26"/>
  <c r="G53" i="26"/>
  <c r="O51" i="26"/>
  <c r="K50" i="26"/>
  <c r="N48" i="26"/>
  <c r="Q46" i="26"/>
  <c r="O44" i="26"/>
  <c r="G42" i="26"/>
  <c r="O5" i="27" s="1"/>
  <c r="K39" i="26"/>
  <c r="M35" i="26"/>
  <c r="K5" i="79"/>
  <c r="I8" i="79"/>
  <c r="Q27" i="26"/>
  <c r="I27" i="26"/>
  <c r="M26" i="26"/>
  <c r="Q25" i="26"/>
  <c r="I25" i="26"/>
  <c r="M24" i="26"/>
  <c r="Q23" i="26"/>
  <c r="I23" i="26"/>
  <c r="M22" i="26"/>
  <c r="Q21" i="26"/>
  <c r="I21" i="26"/>
  <c r="M20" i="26"/>
  <c r="O19" i="26"/>
  <c r="I19" i="26"/>
  <c r="K18" i="26"/>
  <c r="L17" i="26"/>
  <c r="M16" i="26"/>
  <c r="O15" i="26"/>
  <c r="L14" i="26"/>
  <c r="G12" i="26"/>
  <c r="K9" i="26"/>
  <c r="L34" i="26"/>
  <c r="O54" i="26"/>
  <c r="G52" i="26"/>
  <c r="G49" i="26"/>
  <c r="O42" i="26"/>
  <c r="W5" i="27" s="1"/>
  <c r="P5" i="26"/>
  <c r="L5" i="26"/>
  <c r="H5" i="26"/>
  <c r="O27" i="26"/>
  <c r="K27" i="26"/>
  <c r="G27" i="26"/>
  <c r="O26" i="26"/>
  <c r="K26" i="26"/>
  <c r="G26" i="26"/>
  <c r="O25" i="26"/>
  <c r="K25" i="26"/>
  <c r="G25" i="26"/>
  <c r="O24" i="26"/>
  <c r="K24" i="26"/>
  <c r="G24" i="26"/>
  <c r="O23" i="26"/>
  <c r="K23" i="26"/>
  <c r="G23" i="26"/>
  <c r="O22" i="26"/>
  <c r="K22" i="26"/>
  <c r="G22" i="26"/>
  <c r="O21" i="26"/>
  <c r="K21" i="26"/>
  <c r="G21" i="26"/>
  <c r="O20" i="26"/>
  <c r="K20" i="26"/>
  <c r="Q19" i="26"/>
  <c r="L19" i="26"/>
  <c r="G19" i="26"/>
  <c r="M18" i="26"/>
  <c r="H18" i="26"/>
  <c r="O17" i="26"/>
  <c r="I17" i="26"/>
  <c r="P16" i="26"/>
  <c r="K16" i="26"/>
  <c r="Q15" i="26"/>
  <c r="L15" i="26"/>
  <c r="P14" i="26"/>
  <c r="G14" i="26"/>
  <c r="O12" i="26"/>
  <c r="K11" i="26"/>
  <c r="G10" i="26"/>
  <c r="O8" i="26"/>
  <c r="K7" i="26"/>
  <c r="G6" i="26"/>
  <c r="O56" i="26"/>
  <c r="K55" i="26"/>
  <c r="G54" i="26"/>
  <c r="O52" i="26"/>
  <c r="K51" i="26"/>
  <c r="F50" i="26"/>
  <c r="I48" i="26"/>
  <c r="K46" i="26"/>
  <c r="G44" i="26"/>
  <c r="K41" i="26"/>
  <c r="O38" i="26"/>
  <c r="E29" i="79"/>
  <c r="D6" i="79"/>
  <c r="R14" i="45" s="1"/>
  <c r="H6" i="79"/>
  <c r="N14" i="45" s="1"/>
  <c r="L6" i="79"/>
  <c r="V14" i="45" s="1"/>
  <c r="D7" i="79"/>
  <c r="H7" i="79"/>
  <c r="L7" i="79"/>
  <c r="D8" i="79"/>
  <c r="H8" i="79"/>
  <c r="L8" i="79"/>
  <c r="D9" i="79"/>
  <c r="H9" i="79"/>
  <c r="L9" i="79"/>
  <c r="D10" i="79"/>
  <c r="H10" i="79"/>
  <c r="L10" i="79"/>
  <c r="D11" i="79"/>
  <c r="H11" i="79"/>
  <c r="L11" i="79"/>
  <c r="D12" i="79"/>
  <c r="H12" i="79"/>
  <c r="L12" i="79"/>
  <c r="D13" i="79"/>
  <c r="H13" i="79"/>
  <c r="L13" i="79"/>
  <c r="D14" i="79"/>
  <c r="H14" i="79"/>
  <c r="L14" i="79"/>
  <c r="D15" i="79"/>
  <c r="H15" i="79"/>
  <c r="L15" i="79"/>
  <c r="D16" i="79"/>
  <c r="H16" i="79"/>
  <c r="L16" i="79"/>
  <c r="D17" i="79"/>
  <c r="H17" i="79"/>
  <c r="L17" i="79"/>
  <c r="D18" i="79"/>
  <c r="H18" i="79"/>
  <c r="L18" i="79"/>
  <c r="D19" i="79"/>
  <c r="H19" i="79"/>
  <c r="L19" i="79"/>
  <c r="D20" i="79"/>
  <c r="H20" i="79"/>
  <c r="L20" i="79"/>
  <c r="B6" i="79"/>
  <c r="T14" i="45" s="1"/>
  <c r="F6" i="79"/>
  <c r="L14" i="45" s="1"/>
  <c r="J6" i="79"/>
  <c r="O14" i="45" s="1"/>
  <c r="B7" i="79"/>
  <c r="F7" i="79"/>
  <c r="J7" i="79"/>
  <c r="B8" i="79"/>
  <c r="F8" i="79"/>
  <c r="J8" i="79"/>
  <c r="B9" i="79"/>
  <c r="F9" i="79"/>
  <c r="J9" i="79"/>
  <c r="B10" i="79"/>
  <c r="F10" i="79"/>
  <c r="J10" i="79"/>
  <c r="B11" i="79"/>
  <c r="F11" i="79"/>
  <c r="J11" i="79"/>
  <c r="B12" i="79"/>
  <c r="F12" i="79"/>
  <c r="J12" i="79"/>
  <c r="B13" i="79"/>
  <c r="F13" i="79"/>
  <c r="J13" i="79"/>
  <c r="B14" i="79"/>
  <c r="F14" i="79"/>
  <c r="C6" i="79"/>
  <c r="Q14" i="45" s="1"/>
  <c r="G6" i="79"/>
  <c r="M14" i="45" s="1"/>
  <c r="K6" i="79"/>
  <c r="W14" i="45" s="1"/>
  <c r="C7" i="79"/>
  <c r="G7" i="79"/>
  <c r="K7" i="79"/>
  <c r="C8" i="79"/>
  <c r="G8" i="79"/>
  <c r="K8" i="79"/>
  <c r="C9" i="79"/>
  <c r="G9" i="79"/>
  <c r="K9" i="79"/>
  <c r="C10" i="79"/>
  <c r="G10" i="79"/>
  <c r="K10" i="79"/>
  <c r="C11" i="79"/>
  <c r="G11" i="79"/>
  <c r="K11" i="79"/>
  <c r="C12" i="79"/>
  <c r="G12" i="79"/>
  <c r="K12" i="79"/>
  <c r="C13" i="79"/>
  <c r="G13" i="79"/>
  <c r="K13" i="79"/>
  <c r="C14" i="79"/>
  <c r="G14" i="79"/>
  <c r="K14" i="79"/>
  <c r="C15" i="79"/>
  <c r="G15" i="79"/>
  <c r="K15" i="79"/>
  <c r="C16" i="79"/>
  <c r="G16" i="79"/>
  <c r="K16" i="79"/>
  <c r="C17" i="79"/>
  <c r="G17" i="79"/>
  <c r="K17" i="79"/>
  <c r="C18" i="79"/>
  <c r="G18" i="79"/>
  <c r="K18" i="79"/>
  <c r="C19" i="79"/>
  <c r="G19" i="79"/>
  <c r="K19" i="79"/>
  <c r="C20" i="79"/>
  <c r="G20" i="79"/>
  <c r="K20" i="79"/>
  <c r="D5" i="79"/>
  <c r="E6" i="79"/>
  <c r="S14" i="45" s="1"/>
  <c r="I7" i="79"/>
  <c r="M8" i="79"/>
  <c r="E10" i="79"/>
  <c r="I11" i="79"/>
  <c r="M12" i="79"/>
  <c r="E14" i="79"/>
  <c r="B15" i="79"/>
  <c r="J15" i="79"/>
  <c r="F16" i="79"/>
  <c r="B17" i="79"/>
  <c r="J17" i="79"/>
  <c r="F18" i="79"/>
  <c r="B19" i="79"/>
  <c r="J19" i="79"/>
  <c r="F20" i="79"/>
  <c r="C5" i="79"/>
  <c r="H5" i="79"/>
  <c r="L5" i="79"/>
  <c r="I6" i="79"/>
  <c r="P14" i="45" s="1"/>
  <c r="M7" i="79"/>
  <c r="E9" i="79"/>
  <c r="I10" i="79"/>
  <c r="M11" i="79"/>
  <c r="E13" i="79"/>
  <c r="I14" i="79"/>
  <c r="E15" i="79"/>
  <c r="M15" i="79"/>
  <c r="I16" i="79"/>
  <c r="E17" i="79"/>
  <c r="M17" i="79"/>
  <c r="I18" i="79"/>
  <c r="E19" i="79"/>
  <c r="M19" i="79"/>
  <c r="I20" i="79"/>
  <c r="E5" i="79"/>
  <c r="I5" i="79"/>
  <c r="M5" i="79"/>
  <c r="M6" i="79"/>
  <c r="U14" i="45" s="1"/>
  <c r="E8" i="79"/>
  <c r="I9" i="79"/>
  <c r="M10" i="79"/>
  <c r="E12" i="79"/>
  <c r="I13" i="79"/>
  <c r="J14" i="79"/>
  <c r="F15" i="79"/>
  <c r="B16" i="79"/>
  <c r="J16" i="79"/>
  <c r="F17" i="79"/>
  <c r="B18" i="79"/>
  <c r="J18" i="79"/>
  <c r="F19" i="79"/>
  <c r="B20" i="79"/>
  <c r="J20" i="79"/>
  <c r="F5" i="79"/>
  <c r="J5" i="79"/>
  <c r="B5" i="79"/>
  <c r="M9" i="79"/>
  <c r="M14" i="79"/>
  <c r="I17" i="79"/>
  <c r="E20" i="79"/>
  <c r="H6" i="26"/>
  <c r="L6" i="26"/>
  <c r="P6" i="26"/>
  <c r="H7" i="26"/>
  <c r="L7" i="26"/>
  <c r="P7" i="26"/>
  <c r="H8" i="26"/>
  <c r="L8" i="26"/>
  <c r="P8" i="26"/>
  <c r="H9" i="26"/>
  <c r="L9" i="26"/>
  <c r="P9" i="26"/>
  <c r="H10" i="26"/>
  <c r="L10" i="26"/>
  <c r="P10" i="26"/>
  <c r="H11" i="26"/>
  <c r="L11" i="26"/>
  <c r="P11" i="26"/>
  <c r="H12" i="26"/>
  <c r="L12" i="26"/>
  <c r="P12" i="26"/>
  <c r="H13" i="26"/>
  <c r="L13" i="26"/>
  <c r="P13" i="26"/>
  <c r="H14" i="26"/>
  <c r="E11" i="79"/>
  <c r="I15" i="79"/>
  <c r="E18" i="79"/>
  <c r="M20" i="79"/>
  <c r="I6" i="26"/>
  <c r="M6" i="26"/>
  <c r="Q6" i="26"/>
  <c r="I7" i="26"/>
  <c r="M7" i="26"/>
  <c r="Q7" i="26"/>
  <c r="I8" i="26"/>
  <c r="M8" i="26"/>
  <c r="Q8" i="26"/>
  <c r="I9" i="26"/>
  <c r="M9" i="26"/>
  <c r="Q9" i="26"/>
  <c r="I10" i="26"/>
  <c r="M10" i="26"/>
  <c r="Q10" i="26"/>
  <c r="I11" i="26"/>
  <c r="M11" i="26"/>
  <c r="Q11" i="26"/>
  <c r="I12" i="26"/>
  <c r="M12" i="26"/>
  <c r="Q12" i="26"/>
  <c r="I13" i="26"/>
  <c r="M13" i="26"/>
  <c r="Q13" i="26"/>
  <c r="I14" i="26"/>
  <c r="M14" i="26"/>
  <c r="Q14" i="26"/>
  <c r="I15" i="26"/>
  <c r="E7" i="79"/>
  <c r="I12" i="79"/>
  <c r="E16" i="79"/>
  <c r="M18" i="79"/>
  <c r="G5" i="79"/>
  <c r="F6" i="26"/>
  <c r="J6" i="26"/>
  <c r="N6" i="26"/>
  <c r="F7" i="26"/>
  <c r="J7" i="26"/>
  <c r="N7" i="26"/>
  <c r="F8" i="26"/>
  <c r="J8" i="26"/>
  <c r="N8" i="26"/>
  <c r="F9" i="26"/>
  <c r="J9" i="26"/>
  <c r="N9" i="26"/>
  <c r="F10" i="26"/>
  <c r="J10" i="26"/>
  <c r="N10" i="26"/>
  <c r="F11" i="26"/>
  <c r="J11" i="26"/>
  <c r="N11" i="26"/>
  <c r="F12" i="26"/>
  <c r="J12" i="26"/>
  <c r="N12" i="26"/>
  <c r="F13" i="26"/>
  <c r="J13" i="26"/>
  <c r="N13" i="26"/>
  <c r="F14" i="26"/>
  <c r="J14" i="26"/>
  <c r="N14" i="26"/>
  <c r="F15" i="26"/>
  <c r="J15" i="26"/>
  <c r="N15" i="26"/>
  <c r="F16" i="26"/>
  <c r="J16" i="26"/>
  <c r="N16" i="26"/>
  <c r="F17" i="26"/>
  <c r="J17" i="26"/>
  <c r="N17" i="26"/>
  <c r="F18" i="26"/>
  <c r="J18" i="26"/>
  <c r="N18" i="26"/>
  <c r="F19" i="26"/>
  <c r="J19" i="26"/>
  <c r="N19" i="26"/>
  <c r="F20" i="26"/>
  <c r="J20" i="26"/>
  <c r="O5" i="26"/>
  <c r="K5" i="26"/>
  <c r="G5" i="26"/>
  <c r="N27" i="26"/>
  <c r="J27" i="26"/>
  <c r="F27" i="26"/>
  <c r="N26" i="26"/>
  <c r="J26" i="26"/>
  <c r="F26" i="26"/>
  <c r="N25" i="26"/>
  <c r="J25" i="26"/>
  <c r="F25" i="26"/>
  <c r="N24" i="26"/>
  <c r="J24" i="26"/>
  <c r="F24" i="26"/>
  <c r="N23" i="26"/>
  <c r="J23" i="26"/>
  <c r="F23" i="26"/>
  <c r="N22" i="26"/>
  <c r="J22" i="26"/>
  <c r="F22" i="26"/>
  <c r="N21" i="26"/>
  <c r="J21" i="26"/>
  <c r="F21" i="26"/>
  <c r="N20" i="26"/>
  <c r="I20" i="26"/>
  <c r="P19" i="26"/>
  <c r="K19" i="26"/>
  <c r="Q18" i="26"/>
  <c r="L18" i="26"/>
  <c r="G18" i="26"/>
  <c r="M17" i="26"/>
  <c r="H17" i="26"/>
  <c r="O16" i="26"/>
  <c r="I16" i="26"/>
  <c r="P15" i="26"/>
  <c r="K15" i="26"/>
  <c r="O14" i="26"/>
  <c r="O13" i="26"/>
  <c r="K12" i="26"/>
  <c r="G11" i="26"/>
  <c r="O9" i="26"/>
  <c r="K8" i="26"/>
  <c r="G7" i="26"/>
  <c r="P34" i="26"/>
  <c r="K56" i="26"/>
  <c r="G55" i="26"/>
  <c r="O53" i="26"/>
  <c r="K52" i="26"/>
  <c r="G51" i="26"/>
  <c r="M49" i="26"/>
  <c r="O47" i="26"/>
  <c r="F46" i="26"/>
  <c r="K43" i="26"/>
  <c r="S6" i="27" s="1"/>
  <c r="O40" i="26"/>
  <c r="W4" i="27" s="1"/>
  <c r="G38" i="26"/>
  <c r="M16" i="79"/>
  <c r="M37" i="79"/>
  <c r="W62" i="45"/>
  <c r="A3" i="78"/>
  <c r="A4" i="78"/>
  <c r="A5" i="78"/>
  <c r="A6" i="78"/>
  <c r="A7" i="78"/>
  <c r="A8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33" i="78"/>
  <c r="A34" i="78"/>
  <c r="A35" i="78"/>
  <c r="A36" i="78"/>
  <c r="A37" i="78"/>
  <c r="A38" i="78"/>
  <c r="A39" i="78"/>
  <c r="A40" i="78"/>
  <c r="A41" i="78"/>
  <c r="A42" i="78"/>
  <c r="A43" i="78"/>
  <c r="A44" i="78"/>
  <c r="A45" i="78"/>
  <c r="A46" i="78"/>
  <c r="A47" i="78"/>
  <c r="A48" i="78"/>
  <c r="A49" i="78"/>
  <c r="A50" i="78"/>
  <c r="A51" i="78"/>
  <c r="A52" i="78"/>
  <c r="A53" i="78"/>
  <c r="A54" i="78"/>
  <c r="A55" i="78"/>
  <c r="A56" i="78"/>
  <c r="A57" i="78"/>
  <c r="A58" i="78"/>
  <c r="A59" i="78"/>
  <c r="A60" i="78"/>
  <c r="A61" i="78"/>
  <c r="A62" i="78"/>
  <c r="A63" i="78"/>
  <c r="A64" i="78"/>
  <c r="A65" i="78"/>
  <c r="A66" i="78"/>
  <c r="A67" i="78"/>
  <c r="A68" i="78"/>
  <c r="A69" i="78"/>
  <c r="A70" i="78"/>
  <c r="A71" i="78"/>
  <c r="A72" i="78"/>
  <c r="A73" i="78"/>
  <c r="A74" i="78"/>
  <c r="A75" i="78"/>
  <c r="A76" i="78"/>
  <c r="A77" i="78"/>
  <c r="A78" i="78"/>
  <c r="A79" i="78"/>
  <c r="A80" i="78"/>
  <c r="A81" i="78"/>
  <c r="A82" i="78"/>
  <c r="A83" i="78"/>
  <c r="A84" i="78"/>
  <c r="A85" i="78"/>
  <c r="A86" i="78"/>
  <c r="A87" i="78"/>
  <c r="A88" i="78"/>
  <c r="A89" i="78"/>
  <c r="A90" i="78"/>
  <c r="A91" i="78"/>
  <c r="C91" i="78" s="1"/>
  <c r="A92" i="78"/>
  <c r="A93" i="78"/>
  <c r="A94" i="78"/>
  <c r="A95" i="78"/>
  <c r="A96" i="78"/>
  <c r="A97" i="78"/>
  <c r="A98" i="78"/>
  <c r="A99" i="78"/>
  <c r="A100" i="78"/>
  <c r="A101" i="78"/>
  <c r="A102" i="78"/>
  <c r="A103" i="78"/>
  <c r="A104" i="78"/>
  <c r="A105" i="78"/>
  <c r="A106" i="78"/>
  <c r="A2" i="78"/>
  <c r="C68" i="78"/>
  <c r="F68" i="78"/>
  <c r="C69" i="78"/>
  <c r="F69" i="78"/>
  <c r="D1902" i="77"/>
  <c r="D1901" i="77"/>
  <c r="D1900" i="77"/>
  <c r="D1899" i="77"/>
  <c r="D1898" i="77"/>
  <c r="D1897" i="77"/>
  <c r="D1896" i="77"/>
  <c r="D1895" i="77"/>
  <c r="D1894" i="77"/>
  <c r="D1893" i="77"/>
  <c r="D1892" i="77"/>
  <c r="D1891" i="77"/>
  <c r="D1890" i="77"/>
  <c r="D1889" i="77"/>
  <c r="D1888" i="77"/>
  <c r="D1887" i="77"/>
  <c r="D1886" i="77"/>
  <c r="D1885" i="77"/>
  <c r="D1884" i="77"/>
  <c r="D1883" i="77"/>
  <c r="D1882" i="77"/>
  <c r="D1881" i="77"/>
  <c r="D1880" i="77"/>
  <c r="D1879" i="77"/>
  <c r="D1878" i="77"/>
  <c r="D1877" i="77"/>
  <c r="D1876" i="77"/>
  <c r="D1875" i="77"/>
  <c r="D1874" i="77"/>
  <c r="D1873" i="77"/>
  <c r="D1872" i="77"/>
  <c r="D1871" i="77"/>
  <c r="D1870" i="77"/>
  <c r="D1869" i="77"/>
  <c r="D1868" i="77"/>
  <c r="D1867" i="77"/>
  <c r="D1866" i="77"/>
  <c r="D1865" i="77"/>
  <c r="D1864" i="77"/>
  <c r="D1863" i="77"/>
  <c r="D1862" i="77"/>
  <c r="D1861" i="77"/>
  <c r="D1860" i="77"/>
  <c r="D1859" i="77"/>
  <c r="D1858" i="77"/>
  <c r="D1857" i="77"/>
  <c r="D1856" i="77"/>
  <c r="D1855" i="77"/>
  <c r="D1854" i="77"/>
  <c r="D1853" i="77"/>
  <c r="D1852" i="77"/>
  <c r="D1851" i="77"/>
  <c r="D1850" i="77"/>
  <c r="D1849" i="77"/>
  <c r="D1848" i="77"/>
  <c r="D1847" i="77"/>
  <c r="D1846" i="77"/>
  <c r="D1845" i="77"/>
  <c r="D1844" i="77"/>
  <c r="D1843" i="77"/>
  <c r="D1842" i="77"/>
  <c r="D1841" i="77"/>
  <c r="D1840" i="77"/>
  <c r="D1839" i="77"/>
  <c r="D1838" i="77"/>
  <c r="D1837" i="77"/>
  <c r="D1836" i="77"/>
  <c r="D1835" i="77"/>
  <c r="D1834" i="77"/>
  <c r="D1833" i="77"/>
  <c r="D1832" i="77"/>
  <c r="D1831" i="77"/>
  <c r="D1830" i="77"/>
  <c r="D1829" i="77"/>
  <c r="D1828" i="77"/>
  <c r="D1827" i="77"/>
  <c r="D1826" i="77"/>
  <c r="D1825" i="77"/>
  <c r="D1824" i="77"/>
  <c r="D1823" i="77"/>
  <c r="D1822" i="77"/>
  <c r="D1821" i="77"/>
  <c r="D1820" i="77"/>
  <c r="D1819" i="77"/>
  <c r="D1818" i="77"/>
  <c r="D1817" i="77"/>
  <c r="D1816" i="77"/>
  <c r="D1815" i="77"/>
  <c r="D1814" i="77"/>
  <c r="D1813" i="77"/>
  <c r="D1812" i="77"/>
  <c r="D1811" i="77"/>
  <c r="D1810" i="77"/>
  <c r="D1809" i="77"/>
  <c r="D1808" i="77"/>
  <c r="D1807" i="77"/>
  <c r="D1806" i="77"/>
  <c r="D1805" i="77"/>
  <c r="D1804" i="77"/>
  <c r="D1803" i="77"/>
  <c r="D1802" i="77"/>
  <c r="D1801" i="77"/>
  <c r="D1800" i="77"/>
  <c r="D1799" i="77"/>
  <c r="D1798" i="77"/>
  <c r="D1797" i="77"/>
  <c r="D1796" i="77"/>
  <c r="D1795" i="77"/>
  <c r="D1794" i="77"/>
  <c r="D1793" i="77"/>
  <c r="D1792" i="77"/>
  <c r="D1791" i="77"/>
  <c r="D1790" i="77"/>
  <c r="D1789" i="77"/>
  <c r="D1788" i="77"/>
  <c r="D1787" i="77"/>
  <c r="D1786" i="77"/>
  <c r="D1785" i="77"/>
  <c r="D1784" i="77"/>
  <c r="D1783" i="77"/>
  <c r="D1782" i="77"/>
  <c r="D1781" i="77"/>
  <c r="D1780" i="77"/>
  <c r="D1779" i="77"/>
  <c r="D1778" i="77"/>
  <c r="D1777" i="77"/>
  <c r="D1776" i="77"/>
  <c r="D1775" i="77"/>
  <c r="D1774" i="77"/>
  <c r="D1773" i="77"/>
  <c r="D1772" i="77"/>
  <c r="D1771" i="77"/>
  <c r="D1770" i="77"/>
  <c r="D1769" i="77"/>
  <c r="D1768" i="77"/>
  <c r="D1767" i="77"/>
  <c r="D1766" i="77"/>
  <c r="D1765" i="77"/>
  <c r="D1764" i="77"/>
  <c r="D1763" i="77"/>
  <c r="D1762" i="77"/>
  <c r="D1761" i="77"/>
  <c r="D1760" i="77"/>
  <c r="D1759" i="77"/>
  <c r="D1758" i="77"/>
  <c r="D1757" i="77"/>
  <c r="D1756" i="77"/>
  <c r="D1755" i="77"/>
  <c r="D1754" i="77"/>
  <c r="D1753" i="77"/>
  <c r="D1752" i="77"/>
  <c r="D1751" i="77"/>
  <c r="D1750" i="77"/>
  <c r="D1749" i="77"/>
  <c r="D1748" i="77"/>
  <c r="D1747" i="77"/>
  <c r="D1746" i="77"/>
  <c r="D1745" i="77"/>
  <c r="D1744" i="77"/>
  <c r="D1743" i="77"/>
  <c r="D1742" i="77"/>
  <c r="D1741" i="77"/>
  <c r="D1740" i="77"/>
  <c r="D1739" i="77"/>
  <c r="D1738" i="77"/>
  <c r="D1737" i="77"/>
  <c r="D1736" i="77"/>
  <c r="D1735" i="77"/>
  <c r="D1734" i="77"/>
  <c r="D1733" i="77"/>
  <c r="D1732" i="77"/>
  <c r="D1731" i="77"/>
  <c r="D1730" i="77"/>
  <c r="D1729" i="77"/>
  <c r="D1728" i="77"/>
  <c r="D1727" i="77"/>
  <c r="D1726" i="77"/>
  <c r="D1725" i="77"/>
  <c r="D1724" i="77"/>
  <c r="D1723" i="77"/>
  <c r="D1722" i="77"/>
  <c r="D1721" i="77"/>
  <c r="D1720" i="77"/>
  <c r="D1719" i="77"/>
  <c r="D1718" i="77"/>
  <c r="D1717" i="77"/>
  <c r="D1716" i="77"/>
  <c r="D1715" i="77"/>
  <c r="D1714" i="77"/>
  <c r="D1713" i="77"/>
  <c r="D1712" i="77"/>
  <c r="D1711" i="77"/>
  <c r="D1710" i="77"/>
  <c r="D1709" i="77"/>
  <c r="D1708" i="77"/>
  <c r="D1707" i="77"/>
  <c r="D1706" i="77"/>
  <c r="D1705" i="77"/>
  <c r="D1704" i="77"/>
  <c r="D1703" i="77"/>
  <c r="D1702" i="77"/>
  <c r="D1701" i="77"/>
  <c r="D1700" i="77"/>
  <c r="D1699" i="77"/>
  <c r="D1698" i="77"/>
  <c r="D1697" i="77"/>
  <c r="D1696" i="77"/>
  <c r="D1695" i="77"/>
  <c r="D1694" i="77"/>
  <c r="D1693" i="77"/>
  <c r="D1692" i="77"/>
  <c r="D1691" i="77"/>
  <c r="D1690" i="77"/>
  <c r="D1689" i="77"/>
  <c r="D1688" i="77"/>
  <c r="D1687" i="77"/>
  <c r="D1686" i="77"/>
  <c r="D1685" i="77"/>
  <c r="D1684" i="77"/>
  <c r="D1683" i="77"/>
  <c r="D1682" i="77"/>
  <c r="D1681" i="77"/>
  <c r="D1680" i="77"/>
  <c r="D1679" i="77"/>
  <c r="D1678" i="77"/>
  <c r="D1677" i="77"/>
  <c r="D1676" i="77"/>
  <c r="D1675" i="77"/>
  <c r="D1674" i="77"/>
  <c r="D1673" i="77"/>
  <c r="D1672" i="77"/>
  <c r="D1671" i="77"/>
  <c r="D1670" i="77"/>
  <c r="D1669" i="77"/>
  <c r="D1668" i="77"/>
  <c r="D1667" i="77"/>
  <c r="D1666" i="77"/>
  <c r="D1665" i="77"/>
  <c r="D1664" i="77"/>
  <c r="D1663" i="77"/>
  <c r="D1662" i="77"/>
  <c r="D1661" i="77"/>
  <c r="D1660" i="77"/>
  <c r="D1659" i="77"/>
  <c r="D1658" i="77"/>
  <c r="D1657" i="77"/>
  <c r="D1656" i="77"/>
  <c r="D1655" i="77"/>
  <c r="D1654" i="77"/>
  <c r="D1653" i="77"/>
  <c r="D1652" i="77"/>
  <c r="D1651" i="77"/>
  <c r="D1650" i="77"/>
  <c r="D1649" i="77"/>
  <c r="D1648" i="77"/>
  <c r="D1647" i="77"/>
  <c r="D1646" i="77"/>
  <c r="D1645" i="77"/>
  <c r="D1644" i="77"/>
  <c r="D1643" i="77"/>
  <c r="D1642" i="77"/>
  <c r="D1641" i="77"/>
  <c r="D1640" i="77"/>
  <c r="D1639" i="77"/>
  <c r="D1638" i="77"/>
  <c r="D1637" i="77"/>
  <c r="D1636" i="77"/>
  <c r="D1635" i="77"/>
  <c r="D1634" i="77"/>
  <c r="D1633" i="77"/>
  <c r="D1632" i="77"/>
  <c r="D1631" i="77"/>
  <c r="D1630" i="77"/>
  <c r="D1629" i="77"/>
  <c r="D1628" i="77"/>
  <c r="D1627" i="77"/>
  <c r="D1626" i="77"/>
  <c r="D1625" i="77"/>
  <c r="D1624" i="77"/>
  <c r="D1623" i="77"/>
  <c r="D1622" i="77"/>
  <c r="D1621" i="77"/>
  <c r="D1620" i="77"/>
  <c r="D1619" i="77"/>
  <c r="D1618" i="77"/>
  <c r="D1617" i="77"/>
  <c r="D1616" i="77"/>
  <c r="D1615" i="77"/>
  <c r="D1614" i="77"/>
  <c r="D1613" i="77"/>
  <c r="D1612" i="77"/>
  <c r="D1611" i="77"/>
  <c r="D1610" i="77"/>
  <c r="D1609" i="77"/>
  <c r="D1608" i="77"/>
  <c r="D1607" i="77"/>
  <c r="D1606" i="77"/>
  <c r="D1605" i="77"/>
  <c r="D1604" i="77"/>
  <c r="D1603" i="77"/>
  <c r="D1602" i="77"/>
  <c r="D1601" i="77"/>
  <c r="D1600" i="77"/>
  <c r="D1599" i="77"/>
  <c r="D1598" i="77"/>
  <c r="D1597" i="77"/>
  <c r="D1596" i="77"/>
  <c r="D1595" i="77"/>
  <c r="D1594" i="77"/>
  <c r="D1593" i="77"/>
  <c r="D1592" i="77"/>
  <c r="D1591" i="77"/>
  <c r="D1590" i="77"/>
  <c r="D1589" i="77"/>
  <c r="D1588" i="77"/>
  <c r="D1587" i="77"/>
  <c r="D1586" i="77"/>
  <c r="D1585" i="77"/>
  <c r="D1584" i="77"/>
  <c r="D1583" i="77"/>
  <c r="D1582" i="77"/>
  <c r="D1581" i="77"/>
  <c r="D1580" i="77"/>
  <c r="D1579" i="77"/>
  <c r="D1578" i="77"/>
  <c r="D1577" i="77"/>
  <c r="D1576" i="77"/>
  <c r="D1575" i="77"/>
  <c r="D1574" i="77"/>
  <c r="D1573" i="77"/>
  <c r="D1572" i="77"/>
  <c r="D1571" i="77"/>
  <c r="D1570" i="77"/>
  <c r="D1569" i="77"/>
  <c r="D1568" i="77"/>
  <c r="D1567" i="77"/>
  <c r="D1566" i="77"/>
  <c r="D1565" i="77"/>
  <c r="D1564" i="77"/>
  <c r="D1563" i="77"/>
  <c r="D1562" i="77"/>
  <c r="D1561" i="77"/>
  <c r="D1560" i="77"/>
  <c r="D1559" i="77"/>
  <c r="D1558" i="77"/>
  <c r="D1557" i="77"/>
  <c r="D1556" i="77"/>
  <c r="D1555" i="77"/>
  <c r="D1554" i="77"/>
  <c r="D1553" i="77"/>
  <c r="D1552" i="77"/>
  <c r="D1551" i="77"/>
  <c r="D1550" i="77"/>
  <c r="D1549" i="77"/>
  <c r="D1548" i="77"/>
  <c r="D1547" i="77"/>
  <c r="D1546" i="77"/>
  <c r="D1545" i="77"/>
  <c r="D1544" i="77"/>
  <c r="D1543" i="77"/>
  <c r="D1542" i="77"/>
  <c r="D1541" i="77"/>
  <c r="D1540" i="77"/>
  <c r="D1539" i="77"/>
  <c r="D1538" i="77"/>
  <c r="D1537" i="77"/>
  <c r="D1536" i="77"/>
  <c r="D1535" i="77"/>
  <c r="D1534" i="77"/>
  <c r="D1533" i="77"/>
  <c r="D1532" i="77"/>
  <c r="D1531" i="77"/>
  <c r="D1530" i="77"/>
  <c r="D1529" i="77"/>
  <c r="D1528" i="77"/>
  <c r="D1527" i="77"/>
  <c r="D1526" i="77"/>
  <c r="D1525" i="77"/>
  <c r="D1524" i="77"/>
  <c r="D1523" i="77"/>
  <c r="D1522" i="77"/>
  <c r="D1521" i="77"/>
  <c r="D1520" i="77"/>
  <c r="D1519" i="77"/>
  <c r="D1518" i="77"/>
  <c r="D1517" i="77"/>
  <c r="D1516" i="77"/>
  <c r="D1515" i="77"/>
  <c r="D1514" i="77"/>
  <c r="D1513" i="77"/>
  <c r="D1512" i="77"/>
  <c r="D1511" i="77"/>
  <c r="D1510" i="77"/>
  <c r="D1509" i="77"/>
  <c r="D1508" i="77"/>
  <c r="D1507" i="77"/>
  <c r="D1506" i="77"/>
  <c r="D1505" i="77"/>
  <c r="D1504" i="77"/>
  <c r="D1503" i="77"/>
  <c r="D1502" i="77"/>
  <c r="D1501" i="77"/>
  <c r="D1500" i="77"/>
  <c r="D1499" i="77"/>
  <c r="D1498" i="77"/>
  <c r="D1497" i="77"/>
  <c r="D1496" i="77"/>
  <c r="D1495" i="77"/>
  <c r="D1494" i="77"/>
  <c r="D1493" i="77"/>
  <c r="D1492" i="77"/>
  <c r="D1491" i="77"/>
  <c r="D1490" i="77"/>
  <c r="D1489" i="77"/>
  <c r="D1488" i="77"/>
  <c r="D1487" i="77"/>
  <c r="D1486" i="77"/>
  <c r="D1485" i="77"/>
  <c r="D1484" i="77"/>
  <c r="D1483" i="77"/>
  <c r="D1482" i="77"/>
  <c r="D1481" i="77"/>
  <c r="D1480" i="77"/>
  <c r="D1479" i="77"/>
  <c r="D1478" i="77"/>
  <c r="D1477" i="77"/>
  <c r="D1476" i="77"/>
  <c r="D1475" i="77"/>
  <c r="D1474" i="77"/>
  <c r="D1473" i="77"/>
  <c r="D1472" i="77"/>
  <c r="D1471" i="77"/>
  <c r="D1470" i="77"/>
  <c r="D1469" i="77"/>
  <c r="D1468" i="77"/>
  <c r="D1467" i="77"/>
  <c r="D1466" i="77"/>
  <c r="D1465" i="77"/>
  <c r="D1464" i="77"/>
  <c r="D1463" i="77"/>
  <c r="D1462" i="77"/>
  <c r="D1461" i="77"/>
  <c r="D1460" i="77"/>
  <c r="D1459" i="77"/>
  <c r="D1458" i="77"/>
  <c r="D1457" i="77"/>
  <c r="D1456" i="77"/>
  <c r="D1455" i="77"/>
  <c r="D1454" i="77"/>
  <c r="D1453" i="77"/>
  <c r="D1452" i="77"/>
  <c r="D1451" i="77"/>
  <c r="D1450" i="77"/>
  <c r="D1449" i="77"/>
  <c r="D1448" i="77"/>
  <c r="D1447" i="77"/>
  <c r="D1446" i="77"/>
  <c r="D1445" i="77"/>
  <c r="D1444" i="77"/>
  <c r="D1443" i="77"/>
  <c r="D1442" i="77"/>
  <c r="D1441" i="77"/>
  <c r="D1440" i="77"/>
  <c r="D1439" i="77"/>
  <c r="D1438" i="77"/>
  <c r="D1437" i="77"/>
  <c r="D1436" i="77"/>
  <c r="D1435" i="77"/>
  <c r="D1434" i="77"/>
  <c r="D1433" i="77"/>
  <c r="D1432" i="77"/>
  <c r="D1431" i="77"/>
  <c r="D1430" i="77"/>
  <c r="D1429" i="77"/>
  <c r="D1428" i="77"/>
  <c r="D1427" i="77"/>
  <c r="D1426" i="77"/>
  <c r="D1425" i="77"/>
  <c r="D1424" i="77"/>
  <c r="D1423" i="77"/>
  <c r="D1422" i="77"/>
  <c r="D1421" i="77"/>
  <c r="D1420" i="77"/>
  <c r="D1419" i="77"/>
  <c r="D1418" i="77"/>
  <c r="D1417" i="77"/>
  <c r="D1416" i="77"/>
  <c r="D1415" i="77"/>
  <c r="D1414" i="77"/>
  <c r="D1413" i="77"/>
  <c r="D1412" i="77"/>
  <c r="D1411" i="77"/>
  <c r="D1410" i="77"/>
  <c r="D1409" i="77"/>
  <c r="D1408" i="77"/>
  <c r="D1407" i="77"/>
  <c r="D1406" i="77"/>
  <c r="D1405" i="77"/>
  <c r="D1404" i="77"/>
  <c r="D1403" i="77"/>
  <c r="D1402" i="77"/>
  <c r="D1401" i="77"/>
  <c r="D1400" i="77"/>
  <c r="D1399" i="77"/>
  <c r="D1398" i="77"/>
  <c r="D1397" i="77"/>
  <c r="D1396" i="77"/>
  <c r="D1395" i="77"/>
  <c r="D1394" i="77"/>
  <c r="D1393" i="77"/>
  <c r="D1392" i="77"/>
  <c r="D1391" i="77"/>
  <c r="D1390" i="77"/>
  <c r="D1389" i="77"/>
  <c r="D1388" i="77"/>
  <c r="D1387" i="77"/>
  <c r="D1386" i="77"/>
  <c r="D1385" i="77"/>
  <c r="D1384" i="77"/>
  <c r="D1383" i="77"/>
  <c r="D1382" i="77"/>
  <c r="D1381" i="77"/>
  <c r="D1380" i="77"/>
  <c r="D1379" i="77"/>
  <c r="D1378" i="77"/>
  <c r="D1377" i="77"/>
  <c r="D1376" i="77"/>
  <c r="D1375" i="77"/>
  <c r="D1374" i="77"/>
  <c r="D1373" i="77"/>
  <c r="D1372" i="77"/>
  <c r="D1371" i="77"/>
  <c r="D1370" i="77"/>
  <c r="D1369" i="77"/>
  <c r="D1368" i="77"/>
  <c r="D1367" i="77"/>
  <c r="D1366" i="77"/>
  <c r="D1365" i="77"/>
  <c r="D1364" i="77"/>
  <c r="D1363" i="77"/>
  <c r="D1362" i="77"/>
  <c r="D1361" i="77"/>
  <c r="D1360" i="77"/>
  <c r="D1359" i="77"/>
  <c r="D1358" i="77"/>
  <c r="D1357" i="77"/>
  <c r="D1356" i="77"/>
  <c r="D1355" i="77"/>
  <c r="D1354" i="77"/>
  <c r="D1353" i="77"/>
  <c r="D1352" i="77"/>
  <c r="D1351" i="77"/>
  <c r="D1350" i="77"/>
  <c r="D1349" i="77"/>
  <c r="D1348" i="77"/>
  <c r="D1347" i="77"/>
  <c r="D1346" i="77"/>
  <c r="D1345" i="77"/>
  <c r="D1344" i="77"/>
  <c r="D1343" i="77"/>
  <c r="D1342" i="77"/>
  <c r="D1341" i="77"/>
  <c r="D1340" i="77"/>
  <c r="D1339" i="77"/>
  <c r="D1338" i="77"/>
  <c r="D1337" i="77"/>
  <c r="D1336" i="77"/>
  <c r="D1335" i="77"/>
  <c r="D1334" i="77"/>
  <c r="D1333" i="77"/>
  <c r="D1332" i="77"/>
  <c r="D1331" i="77"/>
  <c r="D1330" i="77"/>
  <c r="D1329" i="77"/>
  <c r="D1328" i="77"/>
  <c r="D1327" i="77"/>
  <c r="D1326" i="77"/>
  <c r="D1325" i="77"/>
  <c r="D1324" i="77"/>
  <c r="D1323" i="77"/>
  <c r="D1322" i="77"/>
  <c r="D1321" i="77"/>
  <c r="D1320" i="77"/>
  <c r="D1319" i="77"/>
  <c r="D1318" i="77"/>
  <c r="D1317" i="77"/>
  <c r="D1316" i="77"/>
  <c r="D1315" i="77"/>
  <c r="D1314" i="77"/>
  <c r="D1313" i="77"/>
  <c r="D1312" i="77"/>
  <c r="D1311" i="77"/>
  <c r="D1310" i="77"/>
  <c r="D1309" i="77"/>
  <c r="D1308" i="77"/>
  <c r="D1307" i="77"/>
  <c r="D1306" i="77"/>
  <c r="D1305" i="77"/>
  <c r="D1304" i="77"/>
  <c r="D1303" i="77"/>
  <c r="D1302" i="77"/>
  <c r="D1301" i="77"/>
  <c r="D1300" i="77"/>
  <c r="D1299" i="77"/>
  <c r="D1298" i="77"/>
  <c r="D1297" i="77"/>
  <c r="D1296" i="77"/>
  <c r="D1295" i="77"/>
  <c r="D1294" i="77"/>
  <c r="D1293" i="77"/>
  <c r="D1292" i="77"/>
  <c r="D1291" i="77"/>
  <c r="D1290" i="77"/>
  <c r="D1289" i="77"/>
  <c r="D1288" i="77"/>
  <c r="D1287" i="77"/>
  <c r="D1286" i="77"/>
  <c r="D1285" i="77"/>
  <c r="D1284" i="77"/>
  <c r="D1283" i="77"/>
  <c r="D1282" i="77"/>
  <c r="D1281" i="77"/>
  <c r="D1280" i="77"/>
  <c r="D1279" i="77"/>
  <c r="D1278" i="77"/>
  <c r="D1277" i="77"/>
  <c r="D1276" i="77"/>
  <c r="D1275" i="77"/>
  <c r="D1274" i="77"/>
  <c r="D1273" i="77"/>
  <c r="D1272" i="77"/>
  <c r="D1271" i="77"/>
  <c r="D1270" i="77"/>
  <c r="D1269" i="77"/>
  <c r="D1268" i="77"/>
  <c r="D1267" i="77"/>
  <c r="D1266" i="77"/>
  <c r="D1265" i="77"/>
  <c r="D1264" i="77"/>
  <c r="D1263" i="77"/>
  <c r="D1262" i="77"/>
  <c r="D1261" i="77"/>
  <c r="D1260" i="77"/>
  <c r="D1259" i="77"/>
  <c r="D1258" i="77"/>
  <c r="D1257" i="77"/>
  <c r="D1256" i="77"/>
  <c r="D1255" i="77"/>
  <c r="D1254" i="77"/>
  <c r="D1253" i="77"/>
  <c r="D1252" i="77"/>
  <c r="D1251" i="77"/>
  <c r="D1250" i="77"/>
  <c r="D1249" i="77"/>
  <c r="D1248" i="77"/>
  <c r="D1247" i="77"/>
  <c r="D1246" i="77"/>
  <c r="D1245" i="77"/>
  <c r="D1244" i="77"/>
  <c r="D1243" i="77"/>
  <c r="D1242" i="77"/>
  <c r="D1241" i="77"/>
  <c r="D1240" i="77"/>
  <c r="D1239" i="77"/>
  <c r="D1238" i="77"/>
  <c r="D1237" i="77"/>
  <c r="D1236" i="77"/>
  <c r="D1235" i="77"/>
  <c r="D1234" i="77"/>
  <c r="D1233" i="77"/>
  <c r="D1232" i="77"/>
  <c r="D1231" i="77"/>
  <c r="D1230" i="77"/>
  <c r="D1229" i="77"/>
  <c r="D1228" i="77"/>
  <c r="D1227" i="77"/>
  <c r="D1226" i="77"/>
  <c r="D1225" i="77"/>
  <c r="D1224" i="77"/>
  <c r="D1223" i="77"/>
  <c r="D1222" i="77"/>
  <c r="D1221" i="77"/>
  <c r="D1220" i="77"/>
  <c r="D1219" i="77"/>
  <c r="D1218" i="77"/>
  <c r="D1217" i="77"/>
  <c r="D1216" i="77"/>
  <c r="D1215" i="77"/>
  <c r="D1214" i="77"/>
  <c r="D1213" i="77"/>
  <c r="D1212" i="77"/>
  <c r="D1211" i="77"/>
  <c r="D1210" i="77"/>
  <c r="D1209" i="77"/>
  <c r="D1208" i="77"/>
  <c r="D1207" i="77"/>
  <c r="D1206" i="77"/>
  <c r="D1205" i="77"/>
  <c r="D1204" i="77"/>
  <c r="D1203" i="77"/>
  <c r="D1202" i="77"/>
  <c r="D1201" i="77"/>
  <c r="D1200" i="77"/>
  <c r="D1199" i="77"/>
  <c r="D1198" i="77"/>
  <c r="D1197" i="77"/>
  <c r="D1196" i="77"/>
  <c r="D1195" i="77"/>
  <c r="D1194" i="77"/>
  <c r="D1193" i="77"/>
  <c r="D1192" i="77"/>
  <c r="D1191" i="77"/>
  <c r="D1190" i="77"/>
  <c r="D1189" i="77"/>
  <c r="D1188" i="77"/>
  <c r="D1187" i="77"/>
  <c r="D1186" i="77"/>
  <c r="D1185" i="77"/>
  <c r="D1184" i="77"/>
  <c r="D1183" i="77"/>
  <c r="D1182" i="77"/>
  <c r="D1181" i="77"/>
  <c r="D1180" i="77"/>
  <c r="D1179" i="77"/>
  <c r="D1178" i="77"/>
  <c r="D1177" i="77"/>
  <c r="D1176" i="77"/>
  <c r="D1175" i="77"/>
  <c r="D1174" i="77"/>
  <c r="D1173" i="77"/>
  <c r="D1172" i="77"/>
  <c r="D1171" i="77"/>
  <c r="D1170" i="77"/>
  <c r="D1169" i="77"/>
  <c r="D1168" i="77"/>
  <c r="D1167" i="77"/>
  <c r="D1166" i="77"/>
  <c r="D1165" i="77"/>
  <c r="D1164" i="77"/>
  <c r="D1163" i="77"/>
  <c r="D1162" i="77"/>
  <c r="D1161" i="77"/>
  <c r="D1160" i="77"/>
  <c r="D1159" i="77"/>
  <c r="D1158" i="77"/>
  <c r="D1157" i="77"/>
  <c r="D1156" i="77"/>
  <c r="D1155" i="77"/>
  <c r="D1154" i="77"/>
  <c r="D1153" i="77"/>
  <c r="D1152" i="77"/>
  <c r="D1151" i="77"/>
  <c r="D1150" i="77"/>
  <c r="D1149" i="77"/>
  <c r="D1148" i="77"/>
  <c r="D1147" i="77"/>
  <c r="D1146" i="77"/>
  <c r="D1145" i="77"/>
  <c r="D1144" i="77"/>
  <c r="D1143" i="77"/>
  <c r="D1142" i="77"/>
  <c r="D1141" i="77"/>
  <c r="D1140" i="77"/>
  <c r="D1139" i="77"/>
  <c r="D1138" i="77"/>
  <c r="D1137" i="77"/>
  <c r="D1136" i="77"/>
  <c r="D1135" i="77"/>
  <c r="D1134" i="77"/>
  <c r="D1133" i="77"/>
  <c r="D1132" i="77"/>
  <c r="D1131" i="77"/>
  <c r="D1130" i="77"/>
  <c r="D1129" i="77"/>
  <c r="D1128" i="77"/>
  <c r="D1127" i="77"/>
  <c r="D1126" i="77"/>
  <c r="D1125" i="77"/>
  <c r="D1124" i="77"/>
  <c r="D1123" i="77"/>
  <c r="D1122" i="77"/>
  <c r="D1121" i="77"/>
  <c r="D1120" i="77"/>
  <c r="D1119" i="77"/>
  <c r="D1118" i="77"/>
  <c r="D1117" i="77"/>
  <c r="D1116" i="77"/>
  <c r="D1115" i="77"/>
  <c r="D1114" i="77"/>
  <c r="D1113" i="77"/>
  <c r="D1112" i="77"/>
  <c r="D1111" i="77"/>
  <c r="D1110" i="77"/>
  <c r="D1109" i="77"/>
  <c r="D1108" i="77"/>
  <c r="D1107" i="77"/>
  <c r="D1106" i="77"/>
  <c r="D1105" i="77"/>
  <c r="D1104" i="77"/>
  <c r="D1103" i="77"/>
  <c r="D1102" i="77"/>
  <c r="D1101" i="77"/>
  <c r="D1100" i="77"/>
  <c r="D1099" i="77"/>
  <c r="D1098" i="77"/>
  <c r="D1097" i="77"/>
  <c r="D1096" i="77"/>
  <c r="D1095" i="77"/>
  <c r="D1094" i="77"/>
  <c r="D1093" i="77"/>
  <c r="D1092" i="77"/>
  <c r="D1091" i="77"/>
  <c r="D1090" i="77"/>
  <c r="D1089" i="77"/>
  <c r="D1088" i="77"/>
  <c r="D1087" i="77"/>
  <c r="D1086" i="77"/>
  <c r="D1085" i="77"/>
  <c r="D1084" i="77"/>
  <c r="D1083" i="77"/>
  <c r="D1082" i="77"/>
  <c r="D1081" i="77"/>
  <c r="D1080" i="77"/>
  <c r="D1079" i="77"/>
  <c r="D1078" i="77"/>
  <c r="D1077" i="77"/>
  <c r="D1076" i="77"/>
  <c r="D1075" i="77"/>
  <c r="D1074" i="77"/>
  <c r="D1073" i="77"/>
  <c r="D1072" i="77"/>
  <c r="D1071" i="77"/>
  <c r="D1070" i="77"/>
  <c r="D1069" i="77"/>
  <c r="D1068" i="77"/>
  <c r="D1067" i="77"/>
  <c r="D1066" i="77"/>
  <c r="D1065" i="77"/>
  <c r="D1064" i="77"/>
  <c r="D1063" i="77"/>
  <c r="D1062" i="77"/>
  <c r="D1061" i="77"/>
  <c r="D1060" i="77"/>
  <c r="D1059" i="77"/>
  <c r="D1058" i="77"/>
  <c r="D1057" i="77"/>
  <c r="D1056" i="77"/>
  <c r="D1055" i="77"/>
  <c r="D1054" i="77"/>
  <c r="D1053" i="77"/>
  <c r="D1052" i="77"/>
  <c r="D1051" i="77"/>
  <c r="D1050" i="77"/>
  <c r="D1049" i="77"/>
  <c r="D1048" i="77"/>
  <c r="D1047" i="77"/>
  <c r="D1046" i="77"/>
  <c r="D1045" i="77"/>
  <c r="D1044" i="77"/>
  <c r="D1043" i="77"/>
  <c r="D1042" i="77"/>
  <c r="D1041" i="77"/>
  <c r="D1040" i="77"/>
  <c r="D1039" i="77"/>
  <c r="D1038" i="77"/>
  <c r="D1037" i="77"/>
  <c r="D1036" i="77"/>
  <c r="D1035" i="77"/>
  <c r="D1034" i="77"/>
  <c r="D1033" i="77"/>
  <c r="D1032" i="77"/>
  <c r="D1031" i="77"/>
  <c r="D1030" i="77"/>
  <c r="D1029" i="77"/>
  <c r="D1028" i="77"/>
  <c r="D1027" i="77"/>
  <c r="D1026" i="77"/>
  <c r="D1025" i="77"/>
  <c r="D1024" i="77"/>
  <c r="D1023" i="77"/>
  <c r="D1022" i="77"/>
  <c r="D1021" i="77"/>
  <c r="D1020" i="77"/>
  <c r="D1019" i="77"/>
  <c r="D1018" i="77"/>
  <c r="D1017" i="77"/>
  <c r="D1016" i="77"/>
  <c r="D1015" i="77"/>
  <c r="D1014" i="77"/>
  <c r="D1013" i="77"/>
  <c r="D1012" i="77"/>
  <c r="D1011" i="77"/>
  <c r="D1010" i="77"/>
  <c r="D1009" i="77"/>
  <c r="D1008" i="77"/>
  <c r="D1007" i="77"/>
  <c r="D1006" i="77"/>
  <c r="D1005" i="77"/>
  <c r="D1004" i="77"/>
  <c r="D1003" i="77"/>
  <c r="D1002" i="77"/>
  <c r="D1001" i="77"/>
  <c r="D1000" i="77"/>
  <c r="D999" i="77"/>
  <c r="D998" i="77"/>
  <c r="D997" i="77"/>
  <c r="D996" i="77"/>
  <c r="D995" i="77"/>
  <c r="D994" i="77"/>
  <c r="D993" i="77"/>
  <c r="D992" i="77"/>
  <c r="D991" i="77"/>
  <c r="D990" i="77"/>
  <c r="D989" i="77"/>
  <c r="D988" i="77"/>
  <c r="D987" i="77"/>
  <c r="D986" i="77"/>
  <c r="D985" i="77"/>
  <c r="D984" i="77"/>
  <c r="D983" i="77"/>
  <c r="D982" i="77"/>
  <c r="D981" i="77"/>
  <c r="D980" i="77"/>
  <c r="D979" i="77"/>
  <c r="D978" i="77"/>
  <c r="D977" i="77"/>
  <c r="D976" i="77"/>
  <c r="D975" i="77"/>
  <c r="D974" i="77"/>
  <c r="D973" i="77"/>
  <c r="D972" i="77"/>
  <c r="D971" i="77"/>
  <c r="D970" i="77"/>
  <c r="D969" i="77"/>
  <c r="D968" i="77"/>
  <c r="D967" i="77"/>
  <c r="D966" i="77"/>
  <c r="D965" i="77"/>
  <c r="D964" i="77"/>
  <c r="D963" i="77"/>
  <c r="D962" i="77"/>
  <c r="D961" i="77"/>
  <c r="D960" i="77"/>
  <c r="D959" i="77"/>
  <c r="D958" i="77"/>
  <c r="D957" i="77"/>
  <c r="D956" i="77"/>
  <c r="D955" i="77"/>
  <c r="D954" i="77"/>
  <c r="D953" i="77"/>
  <c r="D952" i="77"/>
  <c r="D951" i="77"/>
  <c r="D950" i="77"/>
  <c r="D949" i="77"/>
  <c r="D948" i="77"/>
  <c r="D947" i="77"/>
  <c r="D946" i="77"/>
  <c r="D945" i="77"/>
  <c r="D944" i="77"/>
  <c r="D943" i="77"/>
  <c r="D942" i="77"/>
  <c r="D941" i="77"/>
  <c r="D940" i="77"/>
  <c r="D939" i="77"/>
  <c r="D938" i="77"/>
  <c r="D937" i="77"/>
  <c r="D936" i="77"/>
  <c r="D935" i="77"/>
  <c r="D934" i="77"/>
  <c r="D933" i="77"/>
  <c r="D932" i="77"/>
  <c r="D931" i="77"/>
  <c r="D930" i="77"/>
  <c r="D929" i="77"/>
  <c r="D928" i="77"/>
  <c r="D927" i="77"/>
  <c r="D926" i="77"/>
  <c r="D925" i="77"/>
  <c r="D924" i="77"/>
  <c r="D923" i="77"/>
  <c r="D922" i="77"/>
  <c r="D921" i="77"/>
  <c r="D920" i="77"/>
  <c r="D919" i="77"/>
  <c r="D918" i="77"/>
  <c r="D917" i="77"/>
  <c r="D916" i="77"/>
  <c r="D915" i="77"/>
  <c r="D914" i="77"/>
  <c r="D913" i="77"/>
  <c r="D912" i="77"/>
  <c r="D911" i="77"/>
  <c r="D910" i="77"/>
  <c r="D909" i="77"/>
  <c r="D908" i="77"/>
  <c r="D907" i="77"/>
  <c r="D906" i="77"/>
  <c r="D905" i="77"/>
  <c r="D904" i="77"/>
  <c r="D903" i="77"/>
  <c r="D902" i="77"/>
  <c r="D901" i="77"/>
  <c r="D900" i="77"/>
  <c r="D899" i="77"/>
  <c r="D898" i="77"/>
  <c r="D897" i="77"/>
  <c r="D896" i="77"/>
  <c r="D895" i="77"/>
  <c r="D894" i="77"/>
  <c r="D893" i="77"/>
  <c r="D892" i="77"/>
  <c r="D891" i="77"/>
  <c r="D890" i="77"/>
  <c r="D889" i="77"/>
  <c r="D888" i="77"/>
  <c r="D887" i="77"/>
  <c r="D886" i="77"/>
  <c r="D885" i="77"/>
  <c r="D884" i="77"/>
  <c r="D883" i="77"/>
  <c r="D882" i="77"/>
  <c r="D881" i="77"/>
  <c r="D880" i="77"/>
  <c r="D879" i="77"/>
  <c r="D878" i="77"/>
  <c r="D877" i="77"/>
  <c r="D876" i="77"/>
  <c r="D875" i="77"/>
  <c r="D874" i="77"/>
  <c r="D873" i="77"/>
  <c r="D872" i="77"/>
  <c r="D871" i="77"/>
  <c r="D870" i="77"/>
  <c r="D869" i="77"/>
  <c r="D868" i="77"/>
  <c r="D867" i="77"/>
  <c r="D866" i="77"/>
  <c r="D865" i="77"/>
  <c r="D864" i="77"/>
  <c r="D863" i="77"/>
  <c r="D862" i="77"/>
  <c r="D861" i="77"/>
  <c r="D860" i="77"/>
  <c r="D859" i="77"/>
  <c r="D858" i="77"/>
  <c r="D857" i="77"/>
  <c r="D856" i="77"/>
  <c r="D855" i="77"/>
  <c r="D854" i="77"/>
  <c r="D853" i="77"/>
  <c r="D852" i="77"/>
  <c r="D851" i="77"/>
  <c r="D850" i="77"/>
  <c r="D849" i="77"/>
  <c r="D848" i="77"/>
  <c r="D847" i="77"/>
  <c r="D846" i="77"/>
  <c r="D845" i="77"/>
  <c r="D844" i="77"/>
  <c r="D843" i="77"/>
  <c r="D842" i="77"/>
  <c r="D841" i="77"/>
  <c r="D840" i="77"/>
  <c r="D839" i="77"/>
  <c r="D838" i="77"/>
  <c r="D837" i="77"/>
  <c r="D836" i="77"/>
  <c r="D835" i="77"/>
  <c r="D834" i="77"/>
  <c r="D833" i="77"/>
  <c r="D832" i="77"/>
  <c r="D831" i="77"/>
  <c r="D830" i="77"/>
  <c r="D829" i="77"/>
  <c r="D828" i="77"/>
  <c r="D827" i="77"/>
  <c r="D826" i="77"/>
  <c r="D825" i="77"/>
  <c r="D824" i="77"/>
  <c r="D823" i="77"/>
  <c r="D822" i="77"/>
  <c r="D821" i="77"/>
  <c r="D820" i="77"/>
  <c r="D819" i="77"/>
  <c r="D818" i="77"/>
  <c r="D817" i="77"/>
  <c r="D816" i="77"/>
  <c r="D815" i="77"/>
  <c r="D814" i="77"/>
  <c r="D813" i="77"/>
  <c r="D812" i="77"/>
  <c r="D811" i="77"/>
  <c r="D810" i="77"/>
  <c r="D809" i="77"/>
  <c r="D808" i="77"/>
  <c r="D807" i="77"/>
  <c r="D806" i="77"/>
  <c r="D805" i="77"/>
  <c r="D804" i="77"/>
  <c r="D803" i="77"/>
  <c r="D802" i="77"/>
  <c r="D801" i="77"/>
  <c r="D800" i="77"/>
  <c r="D799" i="77"/>
  <c r="D798" i="77"/>
  <c r="D797" i="77"/>
  <c r="D796" i="77"/>
  <c r="D795" i="77"/>
  <c r="D794" i="77"/>
  <c r="D793" i="77"/>
  <c r="D792" i="77"/>
  <c r="D791" i="77"/>
  <c r="D790" i="77"/>
  <c r="D789" i="77"/>
  <c r="D788" i="77"/>
  <c r="D787" i="77"/>
  <c r="D786" i="77"/>
  <c r="D785" i="77"/>
  <c r="D784" i="77"/>
  <c r="D783" i="77"/>
  <c r="D782" i="77"/>
  <c r="D781" i="77"/>
  <c r="D780" i="77"/>
  <c r="D779" i="77"/>
  <c r="D778" i="77"/>
  <c r="D777" i="77"/>
  <c r="D776" i="77"/>
  <c r="D775" i="77"/>
  <c r="D774" i="77"/>
  <c r="D773" i="77"/>
  <c r="D772" i="77"/>
  <c r="D771" i="77"/>
  <c r="D770" i="77"/>
  <c r="D769" i="77"/>
  <c r="D768" i="77"/>
  <c r="D767" i="77"/>
  <c r="D766" i="77"/>
  <c r="D765" i="77"/>
  <c r="D764" i="77"/>
  <c r="D763" i="77"/>
  <c r="D762" i="77"/>
  <c r="D761" i="77"/>
  <c r="D760" i="77"/>
  <c r="D759" i="77"/>
  <c r="D758" i="77"/>
  <c r="D757" i="77"/>
  <c r="D756" i="77"/>
  <c r="D755" i="77"/>
  <c r="D754" i="77"/>
  <c r="D753" i="77"/>
  <c r="D752" i="77"/>
  <c r="D751" i="77"/>
  <c r="D750" i="77"/>
  <c r="D749" i="77"/>
  <c r="D748" i="77"/>
  <c r="D747" i="77"/>
  <c r="D746" i="77"/>
  <c r="D745" i="77"/>
  <c r="D744" i="77"/>
  <c r="D743" i="77"/>
  <c r="D742" i="77"/>
  <c r="D741" i="77"/>
  <c r="D740" i="77"/>
  <c r="D739" i="77"/>
  <c r="D738" i="77"/>
  <c r="D737" i="77"/>
  <c r="D736" i="77"/>
  <c r="D735" i="77"/>
  <c r="D734" i="77"/>
  <c r="D733" i="77"/>
  <c r="D732" i="77"/>
  <c r="D731" i="77"/>
  <c r="D730" i="77"/>
  <c r="D729" i="77"/>
  <c r="D728" i="77"/>
  <c r="D727" i="77"/>
  <c r="D726" i="77"/>
  <c r="D725" i="77"/>
  <c r="D724" i="77"/>
  <c r="D723" i="77"/>
  <c r="D722" i="77"/>
  <c r="D721" i="77"/>
  <c r="D720" i="77"/>
  <c r="D719" i="77"/>
  <c r="D718" i="77"/>
  <c r="D717" i="77"/>
  <c r="D716" i="77"/>
  <c r="D715" i="77"/>
  <c r="D714" i="77"/>
  <c r="D713" i="77"/>
  <c r="D712" i="77"/>
  <c r="D711" i="77"/>
  <c r="D710" i="77"/>
  <c r="D709" i="77"/>
  <c r="D708" i="77"/>
  <c r="D707" i="77"/>
  <c r="D706" i="77"/>
  <c r="D705" i="77"/>
  <c r="D704" i="77"/>
  <c r="D703" i="77"/>
  <c r="D702" i="77"/>
  <c r="D701" i="77"/>
  <c r="D700" i="77"/>
  <c r="D699" i="77"/>
  <c r="D698" i="77"/>
  <c r="D697" i="77"/>
  <c r="D696" i="77"/>
  <c r="D695" i="77"/>
  <c r="D694" i="77"/>
  <c r="D693" i="77"/>
  <c r="D692" i="77"/>
  <c r="D691" i="77"/>
  <c r="D690" i="77"/>
  <c r="D689" i="77"/>
  <c r="D688" i="77"/>
  <c r="D687" i="77"/>
  <c r="D686" i="77"/>
  <c r="D685" i="77"/>
  <c r="D684" i="77"/>
  <c r="D683" i="77"/>
  <c r="D682" i="77"/>
  <c r="D681" i="77"/>
  <c r="D680" i="77"/>
  <c r="D679" i="77"/>
  <c r="D678" i="77"/>
  <c r="D677" i="77"/>
  <c r="D676" i="77"/>
  <c r="D675" i="77"/>
  <c r="D674" i="77"/>
  <c r="D673" i="77"/>
  <c r="D672" i="77"/>
  <c r="D671" i="77"/>
  <c r="D670" i="77"/>
  <c r="D669" i="77"/>
  <c r="D668" i="77"/>
  <c r="D667" i="77"/>
  <c r="D666" i="77"/>
  <c r="D665" i="77"/>
  <c r="D664" i="77"/>
  <c r="D663" i="77"/>
  <c r="D662" i="77"/>
  <c r="D661" i="77"/>
  <c r="D660" i="77"/>
  <c r="D659" i="77"/>
  <c r="D658" i="77"/>
  <c r="D657" i="77"/>
  <c r="D656" i="77"/>
  <c r="D655" i="77"/>
  <c r="D654" i="77"/>
  <c r="D653" i="77"/>
  <c r="D652" i="77"/>
  <c r="D651" i="77"/>
  <c r="D650" i="77"/>
  <c r="D649" i="77"/>
  <c r="D648" i="77"/>
  <c r="D647" i="77"/>
  <c r="D646" i="77"/>
  <c r="D645" i="77"/>
  <c r="D644" i="77"/>
  <c r="D643" i="77"/>
  <c r="D642" i="77"/>
  <c r="D641" i="77"/>
  <c r="D640" i="77"/>
  <c r="D639" i="77"/>
  <c r="D638" i="77"/>
  <c r="D637" i="77"/>
  <c r="D636" i="77"/>
  <c r="D635" i="77"/>
  <c r="D634" i="77"/>
  <c r="D633" i="77"/>
  <c r="D632" i="77"/>
  <c r="D631" i="77"/>
  <c r="D630" i="77"/>
  <c r="D629" i="77"/>
  <c r="D628" i="77"/>
  <c r="D627" i="77"/>
  <c r="D626" i="77"/>
  <c r="D625" i="77"/>
  <c r="D624" i="77"/>
  <c r="D623" i="77"/>
  <c r="D622" i="77"/>
  <c r="D621" i="77"/>
  <c r="D620" i="77"/>
  <c r="D619" i="77"/>
  <c r="D618" i="77"/>
  <c r="D617" i="77"/>
  <c r="D616" i="77"/>
  <c r="D615" i="77"/>
  <c r="D614" i="77"/>
  <c r="D613" i="77"/>
  <c r="D612" i="77"/>
  <c r="D611" i="77"/>
  <c r="D610" i="77"/>
  <c r="D609" i="77"/>
  <c r="D608" i="77"/>
  <c r="D607" i="77"/>
  <c r="D606" i="77"/>
  <c r="D605" i="77"/>
  <c r="D604" i="77"/>
  <c r="D603" i="77"/>
  <c r="D602" i="77"/>
  <c r="D601" i="77"/>
  <c r="D600" i="77"/>
  <c r="D599" i="77"/>
  <c r="D598" i="77"/>
  <c r="D597" i="77"/>
  <c r="D596" i="77"/>
  <c r="D595" i="77"/>
  <c r="D594" i="77"/>
  <c r="D593" i="77"/>
  <c r="D592" i="77"/>
  <c r="D591" i="77"/>
  <c r="D590" i="77"/>
  <c r="D589" i="77"/>
  <c r="D588" i="77"/>
  <c r="D587" i="77"/>
  <c r="D586" i="77"/>
  <c r="D585" i="77"/>
  <c r="D584" i="77"/>
  <c r="D583" i="77"/>
  <c r="D582" i="77"/>
  <c r="D581" i="77"/>
  <c r="D580" i="77"/>
  <c r="D579" i="77"/>
  <c r="D578" i="77"/>
  <c r="D577" i="77"/>
  <c r="D576" i="77"/>
  <c r="D575" i="77"/>
  <c r="D574" i="77"/>
  <c r="D573" i="77"/>
  <c r="D572" i="77"/>
  <c r="D571" i="77"/>
  <c r="D570" i="77"/>
  <c r="D569" i="77"/>
  <c r="D568" i="77"/>
  <c r="D567" i="77"/>
  <c r="D566" i="77"/>
  <c r="D565" i="77"/>
  <c r="D564" i="77"/>
  <c r="D563" i="77"/>
  <c r="D562" i="77"/>
  <c r="D561" i="77"/>
  <c r="D560" i="77"/>
  <c r="D559" i="77"/>
  <c r="D558" i="77"/>
  <c r="D557" i="77"/>
  <c r="D556" i="77"/>
  <c r="D555" i="77"/>
  <c r="D554" i="77"/>
  <c r="D553" i="77"/>
  <c r="D552" i="77"/>
  <c r="D551" i="77"/>
  <c r="D550" i="77"/>
  <c r="D549" i="77"/>
  <c r="D548" i="77"/>
  <c r="D547" i="77"/>
  <c r="D546" i="77"/>
  <c r="D545" i="77"/>
  <c r="D544" i="77"/>
  <c r="D543" i="77"/>
  <c r="D542" i="77"/>
  <c r="D541" i="77"/>
  <c r="D540" i="77"/>
  <c r="D539" i="77"/>
  <c r="D538" i="77"/>
  <c r="D537" i="77"/>
  <c r="D536" i="77"/>
  <c r="D535" i="77"/>
  <c r="D534" i="77"/>
  <c r="D533" i="77"/>
  <c r="D532" i="77"/>
  <c r="D531" i="77"/>
  <c r="D530" i="77"/>
  <c r="D529" i="77"/>
  <c r="D528" i="77"/>
  <c r="D527" i="77"/>
  <c r="D526" i="77"/>
  <c r="D525" i="77"/>
  <c r="D524" i="77"/>
  <c r="D523" i="77"/>
  <c r="D522" i="77"/>
  <c r="D521" i="77"/>
  <c r="D520" i="77"/>
  <c r="D519" i="77"/>
  <c r="D518" i="77"/>
  <c r="D517" i="77"/>
  <c r="D516" i="77"/>
  <c r="D515" i="77"/>
  <c r="D514" i="77"/>
  <c r="D513" i="77"/>
  <c r="D512" i="77"/>
  <c r="D511" i="77"/>
  <c r="D510" i="77"/>
  <c r="D509" i="77"/>
  <c r="D508" i="77"/>
  <c r="D507" i="77"/>
  <c r="D506" i="77"/>
  <c r="D505" i="77"/>
  <c r="D504" i="77"/>
  <c r="D503" i="77"/>
  <c r="D502" i="77"/>
  <c r="D501" i="77"/>
  <c r="D500" i="77"/>
  <c r="D499" i="77"/>
  <c r="D498" i="77"/>
  <c r="D497" i="77"/>
  <c r="D496" i="77"/>
  <c r="D495" i="77"/>
  <c r="D494" i="77"/>
  <c r="D493" i="77"/>
  <c r="D492" i="77"/>
  <c r="D491" i="77"/>
  <c r="D490" i="77"/>
  <c r="D489" i="77"/>
  <c r="D488" i="77"/>
  <c r="D487" i="77"/>
  <c r="D486" i="77"/>
  <c r="D485" i="77"/>
  <c r="D484" i="77"/>
  <c r="D483" i="77"/>
  <c r="D482" i="77"/>
  <c r="D481" i="77"/>
  <c r="D480" i="77"/>
  <c r="D479" i="77"/>
  <c r="D478" i="77"/>
  <c r="D477" i="77"/>
  <c r="D476" i="77"/>
  <c r="D475" i="77"/>
  <c r="D474" i="77"/>
  <c r="D473" i="77"/>
  <c r="D472" i="77"/>
  <c r="D471" i="77"/>
  <c r="D470" i="77"/>
  <c r="D469" i="77"/>
  <c r="D468" i="77"/>
  <c r="D467" i="77"/>
  <c r="D466" i="77"/>
  <c r="D465" i="77"/>
  <c r="D464" i="77"/>
  <c r="D463" i="77"/>
  <c r="D462" i="77"/>
  <c r="D461" i="77"/>
  <c r="D460" i="77"/>
  <c r="D459" i="77"/>
  <c r="D458" i="77"/>
  <c r="D457" i="77"/>
  <c r="D456" i="77"/>
  <c r="D455" i="77"/>
  <c r="D454" i="77"/>
  <c r="D453" i="77"/>
  <c r="D452" i="77"/>
  <c r="D451" i="77"/>
  <c r="D450" i="77"/>
  <c r="D449" i="77"/>
  <c r="D448" i="77"/>
  <c r="D447" i="77"/>
  <c r="D446" i="77"/>
  <c r="D445" i="77"/>
  <c r="D444" i="77"/>
  <c r="D443" i="77"/>
  <c r="D442" i="77"/>
  <c r="D441" i="77"/>
  <c r="D440" i="77"/>
  <c r="D439" i="77"/>
  <c r="D438" i="77"/>
  <c r="D437" i="77"/>
  <c r="D436" i="77"/>
  <c r="D435" i="77"/>
  <c r="D434" i="77"/>
  <c r="D433" i="77"/>
  <c r="D432" i="77"/>
  <c r="D431" i="77"/>
  <c r="D430" i="77"/>
  <c r="D429" i="77"/>
  <c r="D428" i="77"/>
  <c r="D427" i="77"/>
  <c r="D426" i="77"/>
  <c r="D425" i="77"/>
  <c r="D424" i="77"/>
  <c r="D423" i="77"/>
  <c r="D422" i="77"/>
  <c r="D421" i="77"/>
  <c r="D420" i="77"/>
  <c r="D419" i="77"/>
  <c r="D418" i="77"/>
  <c r="D417" i="77"/>
  <c r="D416" i="77"/>
  <c r="D415" i="77"/>
  <c r="D414" i="77"/>
  <c r="D413" i="77"/>
  <c r="D412" i="77"/>
  <c r="D411" i="77"/>
  <c r="D410" i="77"/>
  <c r="D409" i="77"/>
  <c r="D408" i="77"/>
  <c r="D407" i="77"/>
  <c r="D406" i="77"/>
  <c r="D405" i="77"/>
  <c r="D404" i="77"/>
  <c r="D403" i="77"/>
  <c r="D402" i="77"/>
  <c r="D401" i="77"/>
  <c r="D400" i="77"/>
  <c r="D399" i="77"/>
  <c r="D398" i="77"/>
  <c r="D397" i="77"/>
  <c r="D396" i="77"/>
  <c r="D395" i="77"/>
  <c r="D394" i="77"/>
  <c r="D393" i="77"/>
  <c r="D392" i="77"/>
  <c r="D391" i="77"/>
  <c r="D390" i="77"/>
  <c r="D389" i="77"/>
  <c r="D388" i="77"/>
  <c r="D387" i="77"/>
  <c r="D386" i="77"/>
  <c r="D385" i="77"/>
  <c r="D384" i="77"/>
  <c r="D383" i="77"/>
  <c r="D382" i="77"/>
  <c r="D381" i="77"/>
  <c r="D380" i="77"/>
  <c r="D379" i="77"/>
  <c r="D378" i="77"/>
  <c r="D377" i="77"/>
  <c r="D376" i="77"/>
  <c r="D375" i="77"/>
  <c r="D374" i="77"/>
  <c r="D373" i="77"/>
  <c r="D372" i="77"/>
  <c r="D371" i="77"/>
  <c r="D370" i="77"/>
  <c r="D369" i="77"/>
  <c r="D368" i="77"/>
  <c r="D367" i="77"/>
  <c r="D366" i="77"/>
  <c r="D365" i="77"/>
  <c r="D364" i="77"/>
  <c r="D363" i="77"/>
  <c r="D362" i="77"/>
  <c r="D361" i="77"/>
  <c r="D360" i="77"/>
  <c r="D359" i="77"/>
  <c r="D358" i="77"/>
  <c r="D357" i="77"/>
  <c r="D356" i="77"/>
  <c r="D355" i="77"/>
  <c r="D354" i="77"/>
  <c r="D353" i="77"/>
  <c r="D352" i="77"/>
  <c r="D351" i="77"/>
  <c r="D350" i="77"/>
  <c r="D349" i="77"/>
  <c r="D348" i="77"/>
  <c r="D347" i="77"/>
  <c r="D346" i="77"/>
  <c r="D345" i="77"/>
  <c r="D344" i="77"/>
  <c r="D343" i="77"/>
  <c r="D342" i="77"/>
  <c r="D341" i="77"/>
  <c r="D340" i="77"/>
  <c r="D339" i="77"/>
  <c r="D338" i="77"/>
  <c r="D337" i="77"/>
  <c r="D336" i="77"/>
  <c r="D335" i="77"/>
  <c r="D334" i="77"/>
  <c r="D333" i="77"/>
  <c r="D332" i="77"/>
  <c r="D331" i="77"/>
  <c r="D330" i="77"/>
  <c r="D329" i="77"/>
  <c r="D328" i="77"/>
  <c r="D327" i="77"/>
  <c r="D326" i="77"/>
  <c r="D325" i="77"/>
  <c r="D324" i="77"/>
  <c r="D323" i="77"/>
  <c r="D322" i="77"/>
  <c r="D321" i="77"/>
  <c r="D320" i="77"/>
  <c r="D319" i="77"/>
  <c r="D318" i="77"/>
  <c r="D317" i="77"/>
  <c r="D316" i="77"/>
  <c r="D315" i="77"/>
  <c r="D314" i="77"/>
  <c r="D313" i="77"/>
  <c r="D312" i="77"/>
  <c r="D311" i="77"/>
  <c r="D310" i="77"/>
  <c r="D309" i="77"/>
  <c r="D308" i="77"/>
  <c r="D307" i="77"/>
  <c r="D306" i="77"/>
  <c r="D305" i="77"/>
  <c r="D304" i="77"/>
  <c r="D303" i="77"/>
  <c r="D302" i="77"/>
  <c r="D301" i="77"/>
  <c r="D300" i="77"/>
  <c r="D299" i="77"/>
  <c r="D298" i="77"/>
  <c r="D297" i="77"/>
  <c r="D296" i="77"/>
  <c r="D295" i="77"/>
  <c r="D294" i="77"/>
  <c r="D293" i="77"/>
  <c r="D292" i="77"/>
  <c r="D291" i="77"/>
  <c r="D290" i="77"/>
  <c r="D289" i="77"/>
  <c r="D288" i="77"/>
  <c r="D287" i="77"/>
  <c r="D286" i="77"/>
  <c r="D285" i="77"/>
  <c r="D284" i="77"/>
  <c r="D283" i="77"/>
  <c r="D282" i="77"/>
  <c r="D281" i="77"/>
  <c r="D280" i="77"/>
  <c r="D279" i="77"/>
  <c r="D278" i="77"/>
  <c r="D277" i="77"/>
  <c r="D276" i="77"/>
  <c r="D275" i="77"/>
  <c r="D274" i="77"/>
  <c r="D273" i="77"/>
  <c r="D272" i="77"/>
  <c r="D271" i="77"/>
  <c r="D270" i="77"/>
  <c r="D269" i="77"/>
  <c r="D268" i="77"/>
  <c r="D267" i="77"/>
  <c r="D266" i="77"/>
  <c r="D265" i="77"/>
  <c r="D264" i="77"/>
  <c r="D263" i="77"/>
  <c r="D262" i="77"/>
  <c r="D261" i="77"/>
  <c r="D260" i="77"/>
  <c r="D259" i="77"/>
  <c r="D258" i="77"/>
  <c r="D257" i="77"/>
  <c r="D256" i="77"/>
  <c r="D255" i="77"/>
  <c r="D254" i="77"/>
  <c r="D253" i="77"/>
  <c r="D252" i="77"/>
  <c r="D251" i="77"/>
  <c r="D250" i="77"/>
  <c r="D249" i="77"/>
  <c r="D248" i="77"/>
  <c r="D247" i="77"/>
  <c r="D246" i="77"/>
  <c r="D245" i="77"/>
  <c r="D244" i="77"/>
  <c r="D243" i="77"/>
  <c r="D242" i="77"/>
  <c r="D241" i="77"/>
  <c r="D240" i="77"/>
  <c r="D239" i="77"/>
  <c r="D238" i="77"/>
  <c r="D237" i="77"/>
  <c r="D236" i="77"/>
  <c r="D235" i="77"/>
  <c r="D234" i="77"/>
  <c r="D233" i="77"/>
  <c r="D232" i="77"/>
  <c r="D231" i="77"/>
  <c r="D230" i="77"/>
  <c r="D229" i="77"/>
  <c r="D228" i="77"/>
  <c r="D227" i="77"/>
  <c r="D226" i="77"/>
  <c r="D225" i="77"/>
  <c r="D224" i="77"/>
  <c r="D223" i="77"/>
  <c r="D222" i="77"/>
  <c r="D221" i="77"/>
  <c r="D220" i="77"/>
  <c r="D219" i="77"/>
  <c r="D218" i="77"/>
  <c r="D217" i="77"/>
  <c r="D216" i="77"/>
  <c r="D215" i="77"/>
  <c r="D214" i="77"/>
  <c r="D213" i="77"/>
  <c r="D212" i="77"/>
  <c r="D211" i="77"/>
  <c r="D210" i="77"/>
  <c r="D209" i="77"/>
  <c r="D208" i="77"/>
  <c r="D207" i="77"/>
  <c r="D206" i="77"/>
  <c r="D205" i="77"/>
  <c r="D204" i="77"/>
  <c r="D203" i="77"/>
  <c r="D202" i="77"/>
  <c r="D201" i="77"/>
  <c r="D200" i="77"/>
  <c r="D199" i="77"/>
  <c r="D198" i="77"/>
  <c r="D197" i="77"/>
  <c r="D196" i="77"/>
  <c r="D195" i="77"/>
  <c r="D194" i="77"/>
  <c r="D193" i="77"/>
  <c r="D192" i="77"/>
  <c r="D191" i="77"/>
  <c r="D190" i="77"/>
  <c r="D189" i="77"/>
  <c r="D188" i="77"/>
  <c r="D187" i="77"/>
  <c r="D186" i="77"/>
  <c r="D185" i="77"/>
  <c r="D184" i="77"/>
  <c r="D183" i="77"/>
  <c r="D182" i="77"/>
  <c r="D181" i="77"/>
  <c r="D180" i="77"/>
  <c r="D179" i="77"/>
  <c r="D178" i="77"/>
  <c r="D177" i="77"/>
  <c r="D176" i="77"/>
  <c r="D175" i="77"/>
  <c r="D174" i="77"/>
  <c r="D173" i="77"/>
  <c r="D172" i="77"/>
  <c r="D171" i="77"/>
  <c r="D170" i="77"/>
  <c r="D169" i="77"/>
  <c r="D168" i="77"/>
  <c r="D167" i="77"/>
  <c r="D166" i="77"/>
  <c r="D165" i="77"/>
  <c r="D164" i="77"/>
  <c r="D163" i="77"/>
  <c r="D162" i="77"/>
  <c r="D161" i="77"/>
  <c r="D160" i="77"/>
  <c r="D159" i="77"/>
  <c r="D158" i="77"/>
  <c r="D157" i="77"/>
  <c r="D156" i="77"/>
  <c r="D155" i="77"/>
  <c r="D154" i="77"/>
  <c r="D153" i="77"/>
  <c r="D152" i="77"/>
  <c r="D151" i="77"/>
  <c r="D150" i="77"/>
  <c r="D149" i="77"/>
  <c r="D148" i="77"/>
  <c r="D147" i="77"/>
  <c r="D146" i="77"/>
  <c r="D145" i="77"/>
  <c r="D144" i="77"/>
  <c r="D143" i="77"/>
  <c r="D142" i="77"/>
  <c r="D141" i="77"/>
  <c r="D140" i="77"/>
  <c r="D139" i="77"/>
  <c r="D138" i="77"/>
  <c r="D137" i="77"/>
  <c r="D136" i="77"/>
  <c r="D135" i="77"/>
  <c r="D134" i="77"/>
  <c r="D133" i="77"/>
  <c r="D132" i="77"/>
  <c r="D131" i="77"/>
  <c r="D130" i="77"/>
  <c r="D129" i="77"/>
  <c r="D128" i="77"/>
  <c r="D127" i="77"/>
  <c r="D126" i="77"/>
  <c r="D125" i="77"/>
  <c r="D124" i="77"/>
  <c r="D123" i="77"/>
  <c r="D122" i="77"/>
  <c r="D121" i="77"/>
  <c r="D120" i="77"/>
  <c r="D119" i="77"/>
  <c r="D118" i="77"/>
  <c r="D117" i="77"/>
  <c r="D116" i="77"/>
  <c r="D115" i="77"/>
  <c r="D114" i="77"/>
  <c r="D113" i="77"/>
  <c r="D112" i="77"/>
  <c r="D111" i="77"/>
  <c r="D110" i="77"/>
  <c r="D109" i="77"/>
  <c r="D108" i="77"/>
  <c r="D107" i="77"/>
  <c r="D106" i="77"/>
  <c r="D105" i="77"/>
  <c r="D104" i="77"/>
  <c r="D103" i="77"/>
  <c r="D102" i="77"/>
  <c r="D101" i="77"/>
  <c r="D100" i="77"/>
  <c r="D99" i="77"/>
  <c r="D98" i="77"/>
  <c r="D97" i="77"/>
  <c r="D96" i="77"/>
  <c r="D95" i="77"/>
  <c r="D94" i="77"/>
  <c r="D93" i="77"/>
  <c r="D92" i="77"/>
  <c r="D91" i="77"/>
  <c r="D90" i="77"/>
  <c r="D89" i="77"/>
  <c r="D88" i="77"/>
  <c r="D87" i="77"/>
  <c r="D86" i="77"/>
  <c r="D85" i="77"/>
  <c r="D84" i="77"/>
  <c r="D83" i="77"/>
  <c r="D82" i="77"/>
  <c r="D81" i="77"/>
  <c r="D80" i="77"/>
  <c r="D79" i="77"/>
  <c r="D78" i="77"/>
  <c r="D77" i="77"/>
  <c r="D76" i="77"/>
  <c r="D75" i="77"/>
  <c r="D74" i="77"/>
  <c r="D73" i="77"/>
  <c r="D72" i="77"/>
  <c r="D71" i="77"/>
  <c r="D70" i="77"/>
  <c r="D69" i="77"/>
  <c r="D68" i="77"/>
  <c r="D67" i="77"/>
  <c r="D66" i="77"/>
  <c r="D65" i="77"/>
  <c r="D64" i="77"/>
  <c r="D63" i="77"/>
  <c r="D62" i="77"/>
  <c r="D61" i="77"/>
  <c r="D60" i="77"/>
  <c r="D59" i="77"/>
  <c r="D58" i="77"/>
  <c r="D57" i="77"/>
  <c r="D56" i="77"/>
  <c r="D55" i="77"/>
  <c r="D54" i="77"/>
  <c r="D53" i="77"/>
  <c r="D52" i="77"/>
  <c r="D51" i="77"/>
  <c r="D50" i="77"/>
  <c r="D49" i="77"/>
  <c r="D48" i="77"/>
  <c r="D47" i="77"/>
  <c r="D46" i="77"/>
  <c r="D45" i="77"/>
  <c r="D44" i="77"/>
  <c r="D43" i="77"/>
  <c r="D42" i="77"/>
  <c r="D41" i="77"/>
  <c r="D40" i="77"/>
  <c r="D39" i="77"/>
  <c r="D38" i="77"/>
  <c r="D37" i="77"/>
  <c r="D36" i="77"/>
  <c r="D35" i="77"/>
  <c r="D34" i="77"/>
  <c r="D33" i="77"/>
  <c r="D32" i="77"/>
  <c r="D31" i="77"/>
  <c r="D30" i="77"/>
  <c r="D29" i="77"/>
  <c r="D28" i="77"/>
  <c r="D27" i="77"/>
  <c r="D26" i="77"/>
  <c r="D25" i="77"/>
  <c r="D24" i="77"/>
  <c r="D23" i="77"/>
  <c r="D22" i="77"/>
  <c r="D21" i="77"/>
  <c r="D20" i="77"/>
  <c r="D19" i="77"/>
  <c r="D18" i="77"/>
  <c r="D17" i="77"/>
  <c r="D16" i="77"/>
  <c r="D15" i="77"/>
  <c r="D14" i="77"/>
  <c r="D13" i="77"/>
  <c r="D12" i="77"/>
  <c r="D11" i="77"/>
  <c r="D10" i="77"/>
  <c r="D9" i="77"/>
  <c r="D8" i="77"/>
  <c r="D7" i="77"/>
  <c r="D6" i="77"/>
  <c r="D5" i="77"/>
  <c r="D4" i="77"/>
  <c r="D3" i="77"/>
  <c r="D2" i="77"/>
  <c r="B1583" i="8"/>
  <c r="B1582" i="8"/>
  <c r="B1581" i="8"/>
  <c r="B1580" i="8"/>
  <c r="B1579" i="8"/>
  <c r="B1578" i="8"/>
  <c r="B1577" i="8"/>
  <c r="B1576" i="8"/>
  <c r="B1575" i="8"/>
  <c r="B1574" i="8"/>
  <c r="B1573" i="8"/>
  <c r="B1572" i="8"/>
  <c r="B1571" i="8"/>
  <c r="B1570" i="8"/>
  <c r="B1569" i="8"/>
  <c r="B1568" i="8"/>
  <c r="B1567" i="8"/>
  <c r="B1566" i="8"/>
  <c r="B1565" i="8"/>
  <c r="B1564" i="8"/>
  <c r="B1563" i="8"/>
  <c r="B1562" i="8"/>
  <c r="B1561" i="8"/>
  <c r="B1560" i="8"/>
  <c r="B1559" i="8"/>
  <c r="B1558" i="8"/>
  <c r="B1557" i="8"/>
  <c r="B1556" i="8"/>
  <c r="B1555" i="8"/>
  <c r="B1554" i="8"/>
  <c r="B1553" i="8"/>
  <c r="B1552" i="8"/>
  <c r="B1551" i="8"/>
  <c r="B1550" i="8"/>
  <c r="B1549" i="8"/>
  <c r="B1548" i="8"/>
  <c r="B1547" i="8"/>
  <c r="B1546" i="8"/>
  <c r="B1545" i="8"/>
  <c r="B1544" i="8"/>
  <c r="B1543" i="8"/>
  <c r="B1542" i="8"/>
  <c r="B1541" i="8"/>
  <c r="B1540" i="8"/>
  <c r="B1539" i="8"/>
  <c r="B1538" i="8"/>
  <c r="B1537" i="8"/>
  <c r="B1536" i="8"/>
  <c r="B1535" i="8"/>
  <c r="B1534" i="8"/>
  <c r="B1533" i="8"/>
  <c r="B1532" i="8"/>
  <c r="B1531" i="8"/>
  <c r="B1530" i="8"/>
  <c r="B1529" i="8"/>
  <c r="B1528" i="8"/>
  <c r="B1527" i="8"/>
  <c r="B1526" i="8"/>
  <c r="B1525" i="8"/>
  <c r="B1524" i="8"/>
  <c r="B1523" i="8"/>
  <c r="B1522" i="8"/>
  <c r="B1521" i="8"/>
  <c r="B1520" i="8"/>
  <c r="B1519" i="8"/>
  <c r="B1518" i="8"/>
  <c r="B1517" i="8"/>
  <c r="B1516" i="8"/>
  <c r="B1515" i="8"/>
  <c r="B1514" i="8"/>
  <c r="B1513" i="8"/>
  <c r="B1512" i="8"/>
  <c r="B1511" i="8"/>
  <c r="B1510" i="8"/>
  <c r="B1509" i="8"/>
  <c r="B1508" i="8"/>
  <c r="B1507" i="8"/>
  <c r="B1506" i="8"/>
  <c r="B1505" i="8"/>
  <c r="B1504" i="8"/>
  <c r="B1503" i="8"/>
  <c r="B1502" i="8"/>
  <c r="B1501" i="8"/>
  <c r="B1500" i="8"/>
  <c r="B1499" i="8"/>
  <c r="B1498" i="8"/>
  <c r="B1497" i="8"/>
  <c r="B1496" i="8"/>
  <c r="B1495" i="8"/>
  <c r="B1494" i="8"/>
  <c r="B1493" i="8"/>
  <c r="B1492" i="8"/>
  <c r="B1491" i="8"/>
  <c r="B1490" i="8"/>
  <c r="B1489" i="8"/>
  <c r="B1488" i="8"/>
  <c r="B1487" i="8"/>
  <c r="B1486" i="8"/>
  <c r="B1485" i="8"/>
  <c r="B1484" i="8"/>
  <c r="B1483" i="8"/>
  <c r="B1482" i="8"/>
  <c r="B1481" i="8"/>
  <c r="B1480" i="8"/>
  <c r="B1479" i="8"/>
  <c r="B1478" i="8"/>
  <c r="B1477" i="8"/>
  <c r="B1476" i="8"/>
  <c r="B1475" i="8"/>
  <c r="B1474" i="8"/>
  <c r="B1473" i="8"/>
  <c r="B1472" i="8"/>
  <c r="B1471" i="8"/>
  <c r="B1470" i="8"/>
  <c r="B1469" i="8"/>
  <c r="B1468" i="8"/>
  <c r="B1467" i="8"/>
  <c r="B1466" i="8"/>
  <c r="B1465" i="8"/>
  <c r="B1464" i="8"/>
  <c r="B1463" i="8"/>
  <c r="B1462" i="8"/>
  <c r="B1461" i="8"/>
  <c r="B1460" i="8"/>
  <c r="B1459" i="8"/>
  <c r="B1458" i="8"/>
  <c r="B1457" i="8"/>
  <c r="B1456" i="8"/>
  <c r="B1455" i="8"/>
  <c r="B1454" i="8"/>
  <c r="B1453" i="8"/>
  <c r="B1452" i="8"/>
  <c r="B1451" i="8"/>
  <c r="B1450" i="8"/>
  <c r="B1449" i="8"/>
  <c r="B1448" i="8"/>
  <c r="B1447" i="8"/>
  <c r="B1446" i="8"/>
  <c r="B1445" i="8"/>
  <c r="B1444" i="8"/>
  <c r="B1443" i="8"/>
  <c r="B1442" i="8"/>
  <c r="B1441" i="8"/>
  <c r="B1440" i="8"/>
  <c r="B1439" i="8"/>
  <c r="B1438" i="8"/>
  <c r="B1437" i="8"/>
  <c r="B1436" i="8"/>
  <c r="B1435" i="8"/>
  <c r="B1434" i="8"/>
  <c r="B1433" i="8"/>
  <c r="B1432" i="8"/>
  <c r="B1431" i="8"/>
  <c r="B1430" i="8"/>
  <c r="B1429" i="8"/>
  <c r="B1428" i="8"/>
  <c r="B1427" i="8"/>
  <c r="B1426" i="8"/>
  <c r="B1425" i="8"/>
  <c r="B1424" i="8"/>
  <c r="B1423" i="8"/>
  <c r="B1422" i="8"/>
  <c r="B1421" i="8"/>
  <c r="B1420" i="8"/>
  <c r="B1419" i="8"/>
  <c r="B1418" i="8"/>
  <c r="B1417" i="8"/>
  <c r="B1416" i="8"/>
  <c r="B1415" i="8"/>
  <c r="B1414" i="8"/>
  <c r="B1413" i="8"/>
  <c r="B1412" i="8"/>
  <c r="B1411" i="8"/>
  <c r="B1410" i="8"/>
  <c r="B1409" i="8"/>
  <c r="B1408" i="8"/>
  <c r="B1407" i="8"/>
  <c r="B1406" i="8"/>
  <c r="B1405" i="8"/>
  <c r="B1404" i="8"/>
  <c r="B1403" i="8"/>
  <c r="B1402" i="8"/>
  <c r="B1401" i="8"/>
  <c r="B1400" i="8"/>
  <c r="B1399" i="8"/>
  <c r="B1398" i="8"/>
  <c r="B1397" i="8"/>
  <c r="B1396" i="8"/>
  <c r="B1395" i="8"/>
  <c r="B1394" i="8"/>
  <c r="B1393" i="8"/>
  <c r="B1392" i="8"/>
  <c r="B1391" i="8"/>
  <c r="B1390" i="8"/>
  <c r="B1389" i="8"/>
  <c r="B1388" i="8"/>
  <c r="B1387" i="8"/>
  <c r="B1386" i="8"/>
  <c r="B1385" i="8"/>
  <c r="B1384" i="8"/>
  <c r="B1383" i="8"/>
  <c r="B1382" i="8"/>
  <c r="B1381" i="8"/>
  <c r="B1380" i="8"/>
  <c r="B1379" i="8"/>
  <c r="B1378" i="8"/>
  <c r="B1377" i="8"/>
  <c r="B1376" i="8"/>
  <c r="B1375" i="8"/>
  <c r="B1374" i="8"/>
  <c r="B1373" i="8"/>
  <c r="B1372" i="8"/>
  <c r="B1371" i="8"/>
  <c r="B1370" i="8"/>
  <c r="B1369" i="8"/>
  <c r="B1368" i="8"/>
  <c r="B1367" i="8"/>
  <c r="B1366" i="8"/>
  <c r="B1365" i="8"/>
  <c r="B1364" i="8"/>
  <c r="B1363" i="8"/>
  <c r="B1362" i="8"/>
  <c r="B1361" i="8"/>
  <c r="B1360" i="8"/>
  <c r="B1359" i="8"/>
  <c r="B1358" i="8"/>
  <c r="B1357" i="8"/>
  <c r="B1356" i="8"/>
  <c r="B1355" i="8"/>
  <c r="B1354" i="8"/>
  <c r="B1353" i="8"/>
  <c r="B1352" i="8"/>
  <c r="B1351" i="8"/>
  <c r="B1350" i="8"/>
  <c r="B1349" i="8"/>
  <c r="B1348" i="8"/>
  <c r="B1347" i="8"/>
  <c r="B1346" i="8"/>
  <c r="B1345" i="8"/>
  <c r="B1344" i="8"/>
  <c r="B1343" i="8"/>
  <c r="B1342" i="8"/>
  <c r="B1341" i="8"/>
  <c r="B1340" i="8"/>
  <c r="B1339" i="8"/>
  <c r="B1338" i="8"/>
  <c r="B1337" i="8"/>
  <c r="B1336" i="8"/>
  <c r="B1335" i="8"/>
  <c r="B1334" i="8"/>
  <c r="B1333" i="8"/>
  <c r="B1332" i="8"/>
  <c r="B1331" i="8"/>
  <c r="B1330" i="8"/>
  <c r="B1329" i="8"/>
  <c r="B1328" i="8"/>
  <c r="B1327" i="8"/>
  <c r="B1326" i="8"/>
  <c r="B1325" i="8"/>
  <c r="B1324" i="8"/>
  <c r="B1323" i="8"/>
  <c r="B1322" i="8"/>
  <c r="B1321" i="8"/>
  <c r="B1320" i="8"/>
  <c r="B1319" i="8"/>
  <c r="B1318" i="8"/>
  <c r="B1317" i="8"/>
  <c r="B1316" i="8"/>
  <c r="B1315" i="8"/>
  <c r="B1314" i="8"/>
  <c r="B1313" i="8"/>
  <c r="B1312" i="8"/>
  <c r="B1311" i="8"/>
  <c r="B1310" i="8"/>
  <c r="B1309" i="8"/>
  <c r="B1308" i="8"/>
  <c r="B1307" i="8"/>
  <c r="B1306" i="8"/>
  <c r="B1305" i="8"/>
  <c r="B1304" i="8"/>
  <c r="B1303" i="8"/>
  <c r="B1302" i="8"/>
  <c r="B1301" i="8"/>
  <c r="B1300" i="8"/>
  <c r="B1299" i="8"/>
  <c r="B1298" i="8"/>
  <c r="B1297" i="8"/>
  <c r="B1296" i="8"/>
  <c r="B1295" i="8"/>
  <c r="B1294" i="8"/>
  <c r="B1293" i="8"/>
  <c r="B1292" i="8"/>
  <c r="B1291" i="8"/>
  <c r="B1290" i="8"/>
  <c r="B1289" i="8"/>
  <c r="B1288" i="8"/>
  <c r="B1287" i="8"/>
  <c r="B1286" i="8"/>
  <c r="B1285" i="8"/>
  <c r="B1284" i="8"/>
  <c r="B1283" i="8"/>
  <c r="B1282" i="8"/>
  <c r="B1281" i="8"/>
  <c r="B1280" i="8"/>
  <c r="B1279" i="8"/>
  <c r="B1278" i="8"/>
  <c r="B1277" i="8"/>
  <c r="B1276" i="8"/>
  <c r="B1275" i="8"/>
  <c r="B1274" i="8"/>
  <c r="B1273" i="8"/>
  <c r="B1272" i="8"/>
  <c r="B1271" i="8"/>
  <c r="B1270" i="8"/>
  <c r="B1269" i="8"/>
  <c r="B1268" i="8"/>
  <c r="B1267" i="8"/>
  <c r="B1266" i="8"/>
  <c r="B1265" i="8"/>
  <c r="B1264" i="8"/>
  <c r="B1263" i="8"/>
  <c r="B1262" i="8"/>
  <c r="B1261" i="8"/>
  <c r="B1260" i="8"/>
  <c r="B1259" i="8"/>
  <c r="B1258" i="8"/>
  <c r="B1257" i="8"/>
  <c r="B1256" i="8"/>
  <c r="B1255" i="8"/>
  <c r="B1254" i="8"/>
  <c r="B1253" i="8"/>
  <c r="B1252" i="8"/>
  <c r="B1251" i="8"/>
  <c r="B1250" i="8"/>
  <c r="B1249" i="8"/>
  <c r="B1248" i="8"/>
  <c r="B1247" i="8"/>
  <c r="B1246" i="8"/>
  <c r="B1245" i="8"/>
  <c r="B1244" i="8"/>
  <c r="B1243" i="8"/>
  <c r="B1242" i="8"/>
  <c r="B1241" i="8"/>
  <c r="B1240" i="8"/>
  <c r="B1239" i="8"/>
  <c r="B1238" i="8"/>
  <c r="B1237" i="8"/>
  <c r="B1236" i="8"/>
  <c r="B1235" i="8"/>
  <c r="B1234" i="8"/>
  <c r="B1233" i="8"/>
  <c r="B1232" i="8"/>
  <c r="B1231" i="8"/>
  <c r="B1230" i="8"/>
  <c r="B1229" i="8"/>
  <c r="B1228" i="8"/>
  <c r="B1227" i="8"/>
  <c r="B1226" i="8"/>
  <c r="B1225" i="8"/>
  <c r="B1224" i="8"/>
  <c r="B1223" i="8"/>
  <c r="B1222" i="8"/>
  <c r="B1221" i="8"/>
  <c r="B1220" i="8"/>
  <c r="B1219" i="8"/>
  <c r="B1218" i="8"/>
  <c r="B1217" i="8"/>
  <c r="B1216" i="8"/>
  <c r="B1215" i="8"/>
  <c r="B1214" i="8"/>
  <c r="B1213" i="8"/>
  <c r="B1212" i="8"/>
  <c r="B1211" i="8"/>
  <c r="B1210" i="8"/>
  <c r="B1209" i="8"/>
  <c r="B1208" i="8"/>
  <c r="B1207" i="8"/>
  <c r="B1206" i="8"/>
  <c r="B1205" i="8"/>
  <c r="B1204" i="8"/>
  <c r="B1203" i="8"/>
  <c r="B1202" i="8"/>
  <c r="B1201" i="8"/>
  <c r="B1200" i="8"/>
  <c r="B1199" i="8"/>
  <c r="B1198" i="8"/>
  <c r="B1197" i="8"/>
  <c r="B1196" i="8"/>
  <c r="B1195" i="8"/>
  <c r="B1194" i="8"/>
  <c r="B1193" i="8"/>
  <c r="B1192" i="8"/>
  <c r="B1191" i="8"/>
  <c r="B1190" i="8"/>
  <c r="B1189" i="8"/>
  <c r="B1188" i="8"/>
  <c r="B1187" i="8"/>
  <c r="B1186" i="8"/>
  <c r="B1185" i="8"/>
  <c r="B1184" i="8"/>
  <c r="B1183" i="8"/>
  <c r="B1182" i="8"/>
  <c r="B1181" i="8"/>
  <c r="B1180" i="8"/>
  <c r="B1179" i="8"/>
  <c r="B1178" i="8"/>
  <c r="B1177" i="8"/>
  <c r="B1176" i="8"/>
  <c r="B1175" i="8"/>
  <c r="B1174" i="8"/>
  <c r="B1173" i="8"/>
  <c r="B1172" i="8"/>
  <c r="B1171" i="8"/>
  <c r="B1170" i="8"/>
  <c r="B1169" i="8"/>
  <c r="B1168" i="8"/>
  <c r="B1167" i="8"/>
  <c r="B1166" i="8"/>
  <c r="B1165" i="8"/>
  <c r="B1164" i="8"/>
  <c r="B1163" i="8"/>
  <c r="B1162" i="8"/>
  <c r="B1161" i="8"/>
  <c r="B1160" i="8"/>
  <c r="B1159" i="8"/>
  <c r="B1158" i="8"/>
  <c r="B1157" i="8"/>
  <c r="B1156" i="8"/>
  <c r="B1155" i="8"/>
  <c r="B1154" i="8"/>
  <c r="B1153" i="8"/>
  <c r="B1152" i="8"/>
  <c r="B1151" i="8"/>
  <c r="B1150" i="8"/>
  <c r="B1149" i="8"/>
  <c r="B1148" i="8"/>
  <c r="B1147" i="8"/>
  <c r="B1146" i="8"/>
  <c r="B1145" i="8"/>
  <c r="B1144" i="8"/>
  <c r="B1143" i="8"/>
  <c r="B1142" i="8"/>
  <c r="B1141" i="8"/>
  <c r="B1140" i="8"/>
  <c r="B1139" i="8"/>
  <c r="B1138" i="8"/>
  <c r="B1137" i="8"/>
  <c r="B1136" i="8"/>
  <c r="B1135" i="8"/>
  <c r="B1134" i="8"/>
  <c r="B1133" i="8"/>
  <c r="B1132" i="8"/>
  <c r="B1131" i="8"/>
  <c r="B1130" i="8"/>
  <c r="B1129" i="8"/>
  <c r="B1128" i="8"/>
  <c r="B1127" i="8"/>
  <c r="B1126" i="8"/>
  <c r="B1125" i="8"/>
  <c r="B1124" i="8"/>
  <c r="B1123" i="8"/>
  <c r="B1122" i="8"/>
  <c r="B1121" i="8"/>
  <c r="B1120" i="8"/>
  <c r="B1119" i="8"/>
  <c r="B1118" i="8"/>
  <c r="B1117" i="8"/>
  <c r="B1116" i="8"/>
  <c r="B1115" i="8"/>
  <c r="B1114" i="8"/>
  <c r="B1113" i="8"/>
  <c r="B1112" i="8"/>
  <c r="B1111" i="8"/>
  <c r="B1110" i="8"/>
  <c r="B1109" i="8"/>
  <c r="B1108" i="8"/>
  <c r="B1107" i="8"/>
  <c r="B1106" i="8"/>
  <c r="B1105" i="8"/>
  <c r="B1104" i="8"/>
  <c r="B1103" i="8"/>
  <c r="B1102" i="8"/>
  <c r="B1101" i="8"/>
  <c r="B1100" i="8"/>
  <c r="B1099" i="8"/>
  <c r="B1098" i="8"/>
  <c r="B1097" i="8"/>
  <c r="B1096" i="8"/>
  <c r="B1095" i="8"/>
  <c r="B1094" i="8"/>
  <c r="B1093" i="8"/>
  <c r="B1092" i="8"/>
  <c r="B1091" i="8"/>
  <c r="B1090" i="8"/>
  <c r="B1089" i="8"/>
  <c r="B1088" i="8"/>
  <c r="B1087" i="8"/>
  <c r="B1086" i="8"/>
  <c r="B1085" i="8"/>
  <c r="B1084" i="8"/>
  <c r="B1083" i="8"/>
  <c r="B1082" i="8"/>
  <c r="B1081" i="8"/>
  <c r="B1080" i="8"/>
  <c r="B1079" i="8"/>
  <c r="B1078" i="8"/>
  <c r="B1077" i="8"/>
  <c r="B1076" i="8"/>
  <c r="B1075" i="8"/>
  <c r="B1074" i="8"/>
  <c r="B1073" i="8"/>
  <c r="B1072" i="8"/>
  <c r="B1071" i="8"/>
  <c r="B1070" i="8"/>
  <c r="B1069" i="8"/>
  <c r="B1068" i="8"/>
  <c r="B1067" i="8"/>
  <c r="B1066" i="8"/>
  <c r="B1065" i="8"/>
  <c r="B1064" i="8"/>
  <c r="B1063" i="8"/>
  <c r="B1062" i="8"/>
  <c r="B1061" i="8"/>
  <c r="B1060" i="8"/>
  <c r="B1059" i="8"/>
  <c r="B1058" i="8"/>
  <c r="B1057" i="8"/>
  <c r="B1056" i="8"/>
  <c r="B1055" i="8"/>
  <c r="B1054" i="8"/>
  <c r="B1053" i="8"/>
  <c r="B1052" i="8"/>
  <c r="B1051" i="8"/>
  <c r="B1050" i="8"/>
  <c r="B1049" i="8"/>
  <c r="B1048" i="8"/>
  <c r="B1047" i="8"/>
  <c r="B1046" i="8"/>
  <c r="B1045" i="8"/>
  <c r="B1044" i="8"/>
  <c r="B1043" i="8"/>
  <c r="B1042" i="8"/>
  <c r="B1041" i="8"/>
  <c r="B1040" i="8"/>
  <c r="B1039" i="8"/>
  <c r="B1038" i="8"/>
  <c r="B1037" i="8"/>
  <c r="B1036" i="8"/>
  <c r="B1035" i="8"/>
  <c r="B1034" i="8"/>
  <c r="B1033" i="8"/>
  <c r="B1032" i="8"/>
  <c r="B1031" i="8"/>
  <c r="B1030" i="8"/>
  <c r="B1029" i="8"/>
  <c r="B1028" i="8"/>
  <c r="B1027" i="8"/>
  <c r="B1026" i="8"/>
  <c r="B1025" i="8"/>
  <c r="B1024" i="8"/>
  <c r="B1023" i="8"/>
  <c r="B1022" i="8"/>
  <c r="B1021" i="8"/>
  <c r="B1020" i="8"/>
  <c r="B1019" i="8"/>
  <c r="B1018" i="8"/>
  <c r="B1017" i="8"/>
  <c r="B1016" i="8"/>
  <c r="B1015" i="8"/>
  <c r="B1014" i="8"/>
  <c r="B1013" i="8"/>
  <c r="B1012" i="8"/>
  <c r="B1011" i="8"/>
  <c r="B1010" i="8"/>
  <c r="B1009" i="8"/>
  <c r="B1008" i="8"/>
  <c r="B1007" i="8"/>
  <c r="B1006" i="8"/>
  <c r="B1005" i="8"/>
  <c r="B1004" i="8"/>
  <c r="B1003" i="8"/>
  <c r="B1002" i="8"/>
  <c r="B1001" i="8"/>
  <c r="B1000" i="8"/>
  <c r="B999" i="8"/>
  <c r="B998" i="8"/>
  <c r="B997" i="8"/>
  <c r="B996" i="8"/>
  <c r="B995" i="8"/>
  <c r="B994" i="8"/>
  <c r="B993" i="8"/>
  <c r="B992" i="8"/>
  <c r="B991" i="8"/>
  <c r="B990" i="8"/>
  <c r="B989" i="8"/>
  <c r="B988" i="8"/>
  <c r="B987" i="8"/>
  <c r="B986" i="8"/>
  <c r="B985" i="8"/>
  <c r="B984" i="8"/>
  <c r="B983" i="8"/>
  <c r="B982" i="8"/>
  <c r="B981" i="8"/>
  <c r="B980" i="8"/>
  <c r="B979" i="8"/>
  <c r="B978" i="8"/>
  <c r="B977" i="8"/>
  <c r="B976" i="8"/>
  <c r="B975" i="8"/>
  <c r="B974" i="8"/>
  <c r="B973" i="8"/>
  <c r="B972" i="8"/>
  <c r="B971" i="8"/>
  <c r="B970" i="8"/>
  <c r="B969" i="8"/>
  <c r="B968" i="8"/>
  <c r="B967" i="8"/>
  <c r="B966" i="8"/>
  <c r="B965" i="8"/>
  <c r="B964" i="8"/>
  <c r="B963" i="8"/>
  <c r="B962" i="8"/>
  <c r="B961" i="8"/>
  <c r="B960" i="8"/>
  <c r="B959" i="8"/>
  <c r="B958" i="8"/>
  <c r="B957" i="8"/>
  <c r="B956" i="8"/>
  <c r="B955" i="8"/>
  <c r="B954" i="8"/>
  <c r="B953" i="8"/>
  <c r="B952" i="8"/>
  <c r="B951" i="8"/>
  <c r="B950" i="8"/>
  <c r="B949" i="8"/>
  <c r="B948" i="8"/>
  <c r="B947" i="8"/>
  <c r="B946" i="8"/>
  <c r="B945" i="8"/>
  <c r="B944" i="8"/>
  <c r="B943" i="8"/>
  <c r="B942" i="8"/>
  <c r="B941" i="8"/>
  <c r="B940" i="8"/>
  <c r="B939" i="8"/>
  <c r="B938" i="8"/>
  <c r="B937" i="8"/>
  <c r="B936" i="8"/>
  <c r="B935" i="8"/>
  <c r="B934" i="8"/>
  <c r="B933" i="8"/>
  <c r="B932" i="8"/>
  <c r="B931" i="8"/>
  <c r="B930" i="8"/>
  <c r="B929" i="8"/>
  <c r="B928" i="8"/>
  <c r="B927" i="8"/>
  <c r="B926" i="8"/>
  <c r="B925" i="8"/>
  <c r="B924" i="8"/>
  <c r="B923" i="8"/>
  <c r="B922" i="8"/>
  <c r="B921" i="8"/>
  <c r="B920" i="8"/>
  <c r="B919" i="8"/>
  <c r="B918" i="8"/>
  <c r="B917" i="8"/>
  <c r="B916" i="8"/>
  <c r="B915" i="8"/>
  <c r="B914" i="8"/>
  <c r="B913" i="8"/>
  <c r="B912" i="8"/>
  <c r="B911" i="8"/>
  <c r="B910" i="8"/>
  <c r="B909" i="8"/>
  <c r="B908" i="8"/>
  <c r="B907" i="8"/>
  <c r="B906" i="8"/>
  <c r="B905" i="8"/>
  <c r="B904" i="8"/>
  <c r="B903" i="8"/>
  <c r="B902" i="8"/>
  <c r="B901" i="8"/>
  <c r="B900" i="8"/>
  <c r="B899" i="8"/>
  <c r="B898" i="8"/>
  <c r="B897" i="8"/>
  <c r="B896" i="8"/>
  <c r="B895" i="8"/>
  <c r="B894" i="8"/>
  <c r="B893" i="8"/>
  <c r="B892" i="8"/>
  <c r="B891" i="8"/>
  <c r="B890" i="8"/>
  <c r="B889" i="8"/>
  <c r="B888" i="8"/>
  <c r="B887" i="8"/>
  <c r="B886" i="8"/>
  <c r="B885" i="8"/>
  <c r="B884" i="8"/>
  <c r="B883" i="8"/>
  <c r="B882" i="8"/>
  <c r="B881" i="8"/>
  <c r="B880" i="8"/>
  <c r="B879" i="8"/>
  <c r="B878" i="8"/>
  <c r="B877" i="8"/>
  <c r="B876" i="8"/>
  <c r="B875" i="8"/>
  <c r="B874" i="8"/>
  <c r="B873" i="8"/>
  <c r="B872" i="8"/>
  <c r="B871" i="8"/>
  <c r="B870" i="8"/>
  <c r="B869" i="8"/>
  <c r="B868" i="8"/>
  <c r="B867" i="8"/>
  <c r="B866" i="8"/>
  <c r="B865" i="8"/>
  <c r="B864" i="8"/>
  <c r="B863" i="8"/>
  <c r="B862" i="8"/>
  <c r="B861" i="8"/>
  <c r="B860" i="8"/>
  <c r="B859" i="8"/>
  <c r="B858" i="8"/>
  <c r="B857" i="8"/>
  <c r="B856" i="8"/>
  <c r="B855" i="8"/>
  <c r="B854" i="8"/>
  <c r="B853" i="8"/>
  <c r="B852" i="8"/>
  <c r="B851" i="8"/>
  <c r="B850" i="8"/>
  <c r="B849" i="8"/>
  <c r="B848" i="8"/>
  <c r="B847" i="8"/>
  <c r="B846" i="8"/>
  <c r="B845" i="8"/>
  <c r="B844" i="8"/>
  <c r="B843" i="8"/>
  <c r="B842" i="8"/>
  <c r="B841" i="8"/>
  <c r="B840" i="8"/>
  <c r="B839" i="8"/>
  <c r="B838" i="8"/>
  <c r="B837" i="8"/>
  <c r="B836" i="8"/>
  <c r="B835" i="8"/>
  <c r="B834" i="8"/>
  <c r="B833" i="8"/>
  <c r="B832" i="8"/>
  <c r="B831" i="8"/>
  <c r="B830" i="8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B815" i="8"/>
  <c r="B814" i="8"/>
  <c r="B813" i="8"/>
  <c r="B812" i="8"/>
  <c r="B811" i="8"/>
  <c r="B810" i="8"/>
  <c r="B809" i="8"/>
  <c r="B808" i="8"/>
  <c r="B807" i="8"/>
  <c r="B806" i="8"/>
  <c r="B805" i="8"/>
  <c r="B804" i="8"/>
  <c r="B803" i="8"/>
  <c r="B802" i="8"/>
  <c r="B801" i="8"/>
  <c r="B800" i="8"/>
  <c r="B799" i="8"/>
  <c r="B798" i="8"/>
  <c r="B797" i="8"/>
  <c r="B796" i="8"/>
  <c r="B795" i="8"/>
  <c r="B794" i="8"/>
  <c r="B793" i="8"/>
  <c r="B792" i="8"/>
  <c r="B791" i="8"/>
  <c r="B790" i="8"/>
  <c r="B789" i="8"/>
  <c r="B788" i="8"/>
  <c r="B787" i="8"/>
  <c r="B786" i="8"/>
  <c r="B785" i="8"/>
  <c r="B784" i="8"/>
  <c r="B783" i="8"/>
  <c r="B782" i="8"/>
  <c r="B781" i="8"/>
  <c r="B780" i="8"/>
  <c r="B779" i="8"/>
  <c r="B778" i="8"/>
  <c r="B777" i="8"/>
  <c r="B776" i="8"/>
  <c r="B775" i="8"/>
  <c r="B774" i="8"/>
  <c r="B773" i="8"/>
  <c r="B772" i="8"/>
  <c r="B771" i="8"/>
  <c r="B770" i="8"/>
  <c r="B769" i="8"/>
  <c r="B768" i="8"/>
  <c r="B767" i="8"/>
  <c r="B766" i="8"/>
  <c r="B765" i="8"/>
  <c r="B764" i="8"/>
  <c r="B763" i="8"/>
  <c r="B762" i="8"/>
  <c r="B761" i="8"/>
  <c r="B760" i="8"/>
  <c r="B759" i="8"/>
  <c r="B758" i="8"/>
  <c r="B757" i="8"/>
  <c r="B756" i="8"/>
  <c r="B755" i="8"/>
  <c r="B754" i="8"/>
  <c r="B753" i="8"/>
  <c r="B752" i="8"/>
  <c r="B751" i="8"/>
  <c r="B750" i="8"/>
  <c r="B749" i="8"/>
  <c r="B748" i="8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B665" i="8"/>
  <c r="B664" i="8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B2" i="8"/>
  <c r="F91" i="78" l="1"/>
  <c r="F93" i="78"/>
  <c r="F94" i="78"/>
  <c r="F70" i="78"/>
  <c r="F71" i="78"/>
  <c r="F95" i="78"/>
  <c r="F72" i="78"/>
  <c r="F73" i="78"/>
  <c r="F96" i="78"/>
  <c r="F97" i="78"/>
  <c r="F98" i="78"/>
  <c r="F99" i="78"/>
  <c r="F3" i="78"/>
  <c r="F4" i="78"/>
  <c r="F5" i="78"/>
  <c r="F6" i="78"/>
  <c r="F7" i="78"/>
  <c r="F8" i="78"/>
  <c r="F9" i="78"/>
  <c r="F10" i="78"/>
  <c r="F11" i="78"/>
  <c r="F12" i="78"/>
  <c r="F13" i="78"/>
  <c r="F14" i="78"/>
  <c r="F15" i="78"/>
  <c r="F16" i="78"/>
  <c r="F17" i="78"/>
  <c r="F18" i="78"/>
  <c r="F19" i="78"/>
  <c r="F20" i="78"/>
  <c r="F21" i="78"/>
  <c r="F22" i="78"/>
  <c r="F100" i="78"/>
  <c r="F102" i="78"/>
  <c r="F23" i="78"/>
  <c r="F24" i="78"/>
  <c r="F25" i="78"/>
  <c r="F26" i="78"/>
  <c r="F27" i="78"/>
  <c r="F28" i="78"/>
  <c r="F29" i="78"/>
  <c r="F30" i="78"/>
  <c r="F31" i="78"/>
  <c r="F32" i="78"/>
  <c r="F33" i="78"/>
  <c r="F34" i="78"/>
  <c r="F35" i="78"/>
  <c r="F36" i="78"/>
  <c r="F37" i="78"/>
  <c r="F38" i="78"/>
  <c r="F39" i="78"/>
  <c r="F40" i="78"/>
  <c r="F41" i="78"/>
  <c r="F42" i="78"/>
  <c r="F43" i="78"/>
  <c r="F103" i="78"/>
  <c r="F74" i="78"/>
  <c r="F75" i="78"/>
  <c r="F76" i="78"/>
  <c r="F77" i="78"/>
  <c r="F78" i="78"/>
  <c r="F79" i="78"/>
  <c r="F80" i="78"/>
  <c r="F81" i="78"/>
  <c r="F82" i="78"/>
  <c r="F104" i="78"/>
  <c r="F105" i="78"/>
  <c r="F106" i="78"/>
  <c r="F44" i="78"/>
  <c r="F45" i="78"/>
  <c r="F46" i="78"/>
  <c r="F47" i="78"/>
  <c r="F48" i="78"/>
  <c r="F49" i="78"/>
  <c r="F50" i="78"/>
  <c r="F51" i="78"/>
  <c r="F52" i="78"/>
  <c r="F53" i="78"/>
  <c r="F54" i="78"/>
  <c r="F55" i="78"/>
  <c r="F83" i="78"/>
  <c r="F84" i="78"/>
  <c r="F85" i="78"/>
  <c r="F86" i="78"/>
  <c r="F87" i="78"/>
  <c r="F88" i="78"/>
  <c r="F89" i="78"/>
  <c r="F90" i="78"/>
  <c r="F92" i="78"/>
  <c r="F101" i="78"/>
  <c r="F56" i="78"/>
  <c r="F57" i="78"/>
  <c r="F58" i="78"/>
  <c r="F59" i="78"/>
  <c r="F60" i="78"/>
  <c r="F61" i="78"/>
  <c r="F62" i="78"/>
  <c r="F63" i="78"/>
  <c r="F64" i="78"/>
  <c r="F65" i="78"/>
  <c r="F66" i="78"/>
  <c r="F67" i="78"/>
  <c r="F2" i="78"/>
  <c r="K3" i="39" l="1"/>
  <c r="K39" i="38"/>
  <c r="J38" i="38"/>
  <c r="L37" i="38"/>
  <c r="J37" i="38"/>
  <c r="H37" i="38"/>
  <c r="K35" i="38"/>
  <c r="J34" i="38"/>
  <c r="L33" i="38"/>
  <c r="J33" i="38"/>
  <c r="H33" i="38"/>
  <c r="K31" i="38"/>
  <c r="J30" i="38"/>
  <c r="L29" i="38"/>
  <c r="J29" i="38"/>
  <c r="H29" i="38"/>
  <c r="K27" i="38"/>
  <c r="J26" i="38"/>
  <c r="L25" i="38"/>
  <c r="J25" i="38"/>
  <c r="H25" i="38"/>
  <c r="K23" i="38"/>
  <c r="J22" i="38"/>
  <c r="L21" i="38"/>
  <c r="J21" i="38"/>
  <c r="H21" i="38"/>
  <c r="K19" i="38"/>
  <c r="J18" i="38"/>
  <c r="L17" i="38"/>
  <c r="J17" i="38"/>
  <c r="H17" i="38"/>
  <c r="K15" i="38"/>
  <c r="J14" i="38"/>
  <c r="L13" i="38"/>
  <c r="J13" i="38"/>
  <c r="H13" i="38"/>
  <c r="K11" i="38"/>
  <c r="J10" i="38"/>
  <c r="L9" i="38"/>
  <c r="J9" i="38"/>
  <c r="H9" i="38"/>
  <c r="K7" i="38"/>
  <c r="J6" i="38"/>
  <c r="L5" i="38"/>
  <c r="J5" i="38"/>
  <c r="H5" i="38"/>
  <c r="K68" i="33"/>
  <c r="B68" i="33"/>
  <c r="K67" i="33"/>
  <c r="B67" i="33"/>
  <c r="K66" i="33"/>
  <c r="B66" i="33"/>
  <c r="K65" i="33"/>
  <c r="B65" i="33"/>
  <c r="K64" i="33"/>
  <c r="B64" i="33"/>
  <c r="K63" i="33"/>
  <c r="B63" i="33"/>
  <c r="Q62" i="33"/>
  <c r="O62" i="33"/>
  <c r="M62" i="33"/>
  <c r="H62" i="33"/>
  <c r="F62" i="33"/>
  <c r="D62" i="33"/>
  <c r="B62" i="33"/>
  <c r="E60" i="33"/>
  <c r="B60" i="33"/>
  <c r="B59" i="33"/>
  <c r="B58" i="33"/>
  <c r="B57" i="33"/>
  <c r="B56" i="33"/>
  <c r="B55" i="33"/>
  <c r="B54" i="33"/>
  <c r="B53" i="33"/>
  <c r="B52" i="33"/>
  <c r="B51" i="33"/>
  <c r="B49" i="33"/>
  <c r="B47" i="33"/>
  <c r="I44" i="33"/>
  <c r="B44" i="33" s="1"/>
  <c r="P44" i="33" s="1"/>
  <c r="I43" i="33"/>
  <c r="B43" i="33" s="1"/>
  <c r="P43" i="33" s="1"/>
  <c r="I42" i="33"/>
  <c r="B42" i="33" s="1"/>
  <c r="P42" i="33" s="1"/>
  <c r="N41" i="33"/>
  <c r="B41" i="33"/>
  <c r="P41" i="33" s="1"/>
  <c r="N40" i="33"/>
  <c r="I40" i="33"/>
  <c r="B40" i="33"/>
  <c r="P40" i="33" s="1"/>
  <c r="N39" i="33"/>
  <c r="I39" i="33"/>
  <c r="B39" i="33"/>
  <c r="P39" i="33" s="1"/>
  <c r="N38" i="33"/>
  <c r="I38" i="33"/>
  <c r="B38" i="33"/>
  <c r="P38" i="33" s="1"/>
  <c r="N37" i="33"/>
  <c r="I37" i="33"/>
  <c r="B37" i="33"/>
  <c r="P37" i="33" s="1"/>
  <c r="N36" i="33"/>
  <c r="I36" i="33"/>
  <c r="B36" i="33"/>
  <c r="P36" i="33" s="1"/>
  <c r="B35" i="33"/>
  <c r="P35" i="33" s="1"/>
  <c r="B34" i="33"/>
  <c r="P34" i="33" s="1"/>
  <c r="N33" i="33"/>
  <c r="I33" i="33"/>
  <c r="B33" i="33"/>
  <c r="P33" i="33" s="1"/>
  <c r="B32" i="33"/>
  <c r="P32" i="33" s="1"/>
  <c r="H30" i="33"/>
  <c r="B30" i="33"/>
  <c r="B28" i="33"/>
  <c r="J26" i="33"/>
  <c r="M26" i="33" s="1"/>
  <c r="J25" i="33"/>
  <c r="M25" i="33" s="1"/>
  <c r="M24" i="33"/>
  <c r="J24" i="33"/>
  <c r="J23" i="33"/>
  <c r="M23" i="33" s="1"/>
  <c r="J20" i="33"/>
  <c r="M20" i="33" s="1"/>
  <c r="J19" i="33"/>
  <c r="M19" i="33" s="1"/>
  <c r="J18" i="33"/>
  <c r="M18" i="33" s="1"/>
  <c r="J17" i="33"/>
  <c r="M17" i="33" s="1"/>
  <c r="F17" i="33"/>
  <c r="B17" i="33"/>
  <c r="E16" i="33"/>
  <c r="B16" i="33"/>
  <c r="J13" i="33"/>
  <c r="G13" i="33"/>
  <c r="B13" i="33"/>
  <c r="B10" i="33"/>
  <c r="I9" i="33"/>
  <c r="B9" i="33"/>
  <c r="J5" i="33"/>
  <c r="B5" i="33"/>
  <c r="J4" i="33"/>
  <c r="B4" i="33"/>
  <c r="B3" i="33"/>
  <c r="C93" i="78" l="1"/>
  <c r="C94" i="78"/>
  <c r="C70" i="78"/>
  <c r="C71" i="78"/>
  <c r="C95" i="78"/>
  <c r="C72" i="78"/>
  <c r="C73" i="78"/>
  <c r="C96" i="78"/>
  <c r="C97" i="78"/>
  <c r="C98" i="78"/>
  <c r="C99" i="78"/>
  <c r="C3" i="78"/>
  <c r="C4" i="78"/>
  <c r="C5" i="78"/>
  <c r="C6" i="78"/>
  <c r="C7" i="78"/>
  <c r="C8" i="78"/>
  <c r="C9" i="78"/>
  <c r="C10" i="78"/>
  <c r="C11" i="78"/>
  <c r="C12" i="78"/>
  <c r="C13" i="78"/>
  <c r="C14" i="78"/>
  <c r="C15" i="78"/>
  <c r="C16" i="78"/>
  <c r="C17" i="78"/>
  <c r="C18" i="78"/>
  <c r="C19" i="78"/>
  <c r="C20" i="78"/>
  <c r="C21" i="78"/>
  <c r="C22" i="78"/>
  <c r="C100" i="78"/>
  <c r="C102" i="78"/>
  <c r="C23" i="78"/>
  <c r="C24" i="78"/>
  <c r="C25" i="78"/>
  <c r="C26" i="78"/>
  <c r="C27" i="78"/>
  <c r="C28" i="78"/>
  <c r="C29" i="78"/>
  <c r="C30" i="78"/>
  <c r="C31" i="78"/>
  <c r="C32" i="78"/>
  <c r="C33" i="78"/>
  <c r="C34" i="78"/>
  <c r="C35" i="78"/>
  <c r="C36" i="78"/>
  <c r="C37" i="78"/>
  <c r="C38" i="78"/>
  <c r="C39" i="78"/>
  <c r="C40" i="78"/>
  <c r="C41" i="78"/>
  <c r="C42" i="78"/>
  <c r="C43" i="78"/>
  <c r="C103" i="78"/>
  <c r="C74" i="78"/>
  <c r="C75" i="78"/>
  <c r="C76" i="78"/>
  <c r="C77" i="78"/>
  <c r="C78" i="78"/>
  <c r="C79" i="78"/>
  <c r="C80" i="78"/>
  <c r="C81" i="78"/>
  <c r="C82" i="78"/>
  <c r="C104" i="78"/>
  <c r="C105" i="78"/>
  <c r="C106" i="78"/>
  <c r="C44" i="78"/>
  <c r="C45" i="78"/>
  <c r="C46" i="78"/>
  <c r="C47" i="78"/>
  <c r="C48" i="78"/>
  <c r="C49" i="78"/>
  <c r="C50" i="78"/>
  <c r="C51" i="78"/>
  <c r="C52" i="78"/>
  <c r="C53" i="78"/>
  <c r="C54" i="78"/>
  <c r="C55" i="78"/>
  <c r="C83" i="78"/>
  <c r="C84" i="78"/>
  <c r="C85" i="78"/>
  <c r="C86" i="78"/>
  <c r="C87" i="78"/>
  <c r="C88" i="78"/>
  <c r="C89" i="78"/>
  <c r="C90" i="78"/>
  <c r="C92" i="78"/>
  <c r="C101" i="78"/>
  <c r="C56" i="78"/>
  <c r="C57" i="78"/>
  <c r="C58" i="78"/>
  <c r="C59" i="78"/>
  <c r="C60" i="78"/>
  <c r="C61" i="78"/>
  <c r="C62" i="78"/>
  <c r="C63" i="78"/>
  <c r="C64" i="78"/>
  <c r="C65" i="78"/>
  <c r="C66" i="78"/>
  <c r="C67" i="78"/>
  <c r="C2" i="78"/>
  <c r="M52" i="75" l="1"/>
  <c r="M54" i="75"/>
  <c r="M48" i="75"/>
  <c r="M36" i="75" l="1"/>
  <c r="M63" i="75" l="1"/>
  <c r="M62" i="75"/>
  <c r="M61" i="75"/>
  <c r="M60" i="75"/>
  <c r="M59" i="75"/>
  <c r="M58" i="75"/>
  <c r="M51" i="75"/>
  <c r="M53" i="75"/>
  <c r="M50" i="75"/>
  <c r="M46" i="75"/>
  <c r="M45" i="75"/>
  <c r="M44" i="75"/>
  <c r="M42" i="75"/>
  <c r="M39" i="75"/>
  <c r="M38" i="75"/>
  <c r="M37" i="75"/>
  <c r="M35" i="75"/>
  <c r="M34" i="75"/>
  <c r="M30" i="75"/>
  <c r="M29" i="75"/>
  <c r="M28" i="75"/>
  <c r="M27" i="75"/>
  <c r="M26" i="75"/>
  <c r="M22" i="75"/>
  <c r="M21" i="75"/>
  <c r="M20" i="75"/>
  <c r="M18" i="75"/>
  <c r="M14" i="75" l="1"/>
  <c r="M10" i="75" l="1"/>
  <c r="M9" i="75" l="1"/>
  <c r="M8" i="75"/>
  <c r="M7" i="75"/>
  <c r="M6" i="75"/>
  <c r="M5" i="75"/>
  <c r="M4" i="75"/>
  <c r="M3" i="75"/>
  <c r="M15" i="75"/>
  <c r="M13" i="75"/>
  <c r="M12" i="75"/>
  <c r="M11" i="75"/>
  <c r="C6" i="8"/>
  <c r="E23" i="10" l="1"/>
  <c r="E22" i="10"/>
  <c r="E21" i="10"/>
  <c r="E20" i="10"/>
  <c r="E19" i="10"/>
  <c r="E18" i="10"/>
  <c r="E17" i="10"/>
  <c r="E16" i="10"/>
  <c r="E15" i="10"/>
  <c r="E14" i="10"/>
  <c r="E13" i="10"/>
  <c r="E12" i="10"/>
  <c r="E11" i="10"/>
  <c r="E10" i="10"/>
  <c r="E9" i="10"/>
  <c r="C1187" i="8"/>
  <c r="D2" i="58" l="1"/>
  <c r="I2" i="60"/>
  <c r="D43" i="58"/>
  <c r="M43" i="75" s="1"/>
  <c r="F3" i="18"/>
  <c r="F4" i="18"/>
  <c r="F5" i="18"/>
  <c r="F6" i="18"/>
  <c r="F7" i="18"/>
  <c r="F2" i="18"/>
  <c r="E3" i="18"/>
  <c r="E4" i="18"/>
  <c r="E5" i="18"/>
  <c r="E6" i="18"/>
  <c r="E7" i="18"/>
  <c r="E2" i="18"/>
  <c r="C2" i="60" l="1"/>
  <c r="F9" i="18"/>
  <c r="E9" i="18"/>
  <c r="B19" i="24" s="1"/>
  <c r="G24" i="20"/>
  <c r="Q2" i="13"/>
  <c r="E18" i="20" l="1"/>
  <c r="B18" i="20"/>
  <c r="I3" i="27" l="1"/>
  <c r="B9" i="20" s="1"/>
  <c r="H3" i="27"/>
  <c r="B12" i="20" s="1"/>
  <c r="H4" i="27"/>
  <c r="B14" i="20" s="1"/>
  <c r="H5" i="27"/>
  <c r="B15" i="20" s="1"/>
  <c r="H6" i="27"/>
  <c r="B16" i="20" s="1"/>
  <c r="L2" i="20"/>
  <c r="E2" i="20"/>
  <c r="M3" i="18"/>
  <c r="B23" i="17" s="1"/>
  <c r="M2" i="18"/>
  <c r="B19" i="17" s="1"/>
  <c r="D9" i="18"/>
  <c r="B16" i="17" s="1"/>
  <c r="E16" i="17"/>
  <c r="C3" i="18"/>
  <c r="H10" i="17" s="1"/>
  <c r="C4" i="18"/>
  <c r="H11" i="17" s="1"/>
  <c r="C5" i="18"/>
  <c r="H12" i="17" s="1"/>
  <c r="C6" i="18"/>
  <c r="H13" i="17" s="1"/>
  <c r="C7" i="18"/>
  <c r="H14" i="17" s="1"/>
  <c r="C2" i="18"/>
  <c r="H9" i="17" s="1"/>
  <c r="D3" i="18"/>
  <c r="B10" i="17" s="1"/>
  <c r="D4" i="18"/>
  <c r="B11" i="17" s="1"/>
  <c r="D5" i="18"/>
  <c r="B12" i="17" s="1"/>
  <c r="D6" i="18"/>
  <c r="B13" i="17" s="1"/>
  <c r="D7" i="18"/>
  <c r="B14" i="17" s="1"/>
  <c r="D2" i="18"/>
  <c r="B9" i="17" s="1"/>
  <c r="E5" i="40" l="1"/>
  <c r="D5" i="40"/>
  <c r="C5" i="40"/>
  <c r="B5" i="40"/>
  <c r="C19" i="24"/>
  <c r="AP3" i="14" l="1"/>
  <c r="E10" i="13" s="1"/>
  <c r="AP4" i="14"/>
  <c r="E11" i="13" s="1"/>
  <c r="AP5" i="14"/>
  <c r="E12" i="13" s="1"/>
  <c r="AP6" i="14"/>
  <c r="E13" i="13" s="1"/>
  <c r="AP7" i="14"/>
  <c r="E14" i="13" s="1"/>
  <c r="AP8" i="14"/>
  <c r="E15" i="13" s="1"/>
  <c r="AP9" i="14"/>
  <c r="E16" i="13" s="1"/>
  <c r="AP10" i="14"/>
  <c r="E17" i="13" s="1"/>
  <c r="AP11" i="14"/>
  <c r="E18" i="13" s="1"/>
  <c r="AP12" i="14"/>
  <c r="E19" i="13" s="1"/>
  <c r="AP13" i="14"/>
  <c r="E20" i="13" s="1"/>
  <c r="AP14" i="14"/>
  <c r="E21" i="13" s="1"/>
  <c r="AP15" i="14"/>
  <c r="E22" i="13" s="1"/>
  <c r="AP16" i="14"/>
  <c r="E23" i="13" s="1"/>
  <c r="AP17" i="14"/>
  <c r="E24" i="13" s="1"/>
  <c r="AP18" i="14"/>
  <c r="E25" i="13" s="1"/>
  <c r="AP19" i="14"/>
  <c r="E26" i="13" s="1"/>
  <c r="AP20" i="14"/>
  <c r="E27" i="13" s="1"/>
  <c r="AP21" i="14"/>
  <c r="E28" i="13" s="1"/>
  <c r="AP22" i="14"/>
  <c r="E29" i="13" s="1"/>
  <c r="AP23" i="14"/>
  <c r="E30" i="13" s="1"/>
  <c r="AP24" i="14"/>
  <c r="E31" i="13" s="1"/>
  <c r="AP25" i="14"/>
  <c r="E32" i="13" s="1"/>
  <c r="AP26" i="14"/>
  <c r="E33" i="13" s="1"/>
  <c r="AP27" i="14"/>
  <c r="E34" i="13" s="1"/>
  <c r="AP28" i="14"/>
  <c r="E35" i="13" s="1"/>
  <c r="AP29" i="14"/>
  <c r="E36" i="13" s="1"/>
  <c r="AP30" i="14"/>
  <c r="E37" i="13" s="1"/>
  <c r="AP31" i="14"/>
  <c r="E38" i="13" s="1"/>
  <c r="AP2" i="14"/>
  <c r="E9" i="13" s="1"/>
  <c r="AO3" i="14"/>
  <c r="AO4" i="14"/>
  <c r="AO5" i="14"/>
  <c r="AO6" i="14"/>
  <c r="AO7" i="14"/>
  <c r="AO8" i="14"/>
  <c r="AO9" i="14"/>
  <c r="AO10" i="14"/>
  <c r="AO11" i="14"/>
  <c r="AO12" i="14"/>
  <c r="AO13" i="14"/>
  <c r="AO14" i="14"/>
  <c r="AO15" i="14"/>
  <c r="AO16" i="14"/>
  <c r="AO17" i="14"/>
  <c r="AO18" i="14"/>
  <c r="AO19" i="14"/>
  <c r="AO20" i="14"/>
  <c r="AO21" i="14"/>
  <c r="AO22" i="14"/>
  <c r="AO23" i="14"/>
  <c r="AO24" i="14"/>
  <c r="AO25" i="14"/>
  <c r="AO26" i="14"/>
  <c r="AO27" i="14"/>
  <c r="AO28" i="14"/>
  <c r="AO29" i="14"/>
  <c r="AO30" i="14"/>
  <c r="AO31" i="14"/>
  <c r="AO2" i="14"/>
  <c r="C10" i="13" l="1"/>
  <c r="C13" i="13"/>
  <c r="C14" i="13"/>
  <c r="C15" i="13"/>
  <c r="C17" i="13"/>
  <c r="C18" i="13"/>
  <c r="C19" i="13"/>
  <c r="C21" i="13"/>
  <c r="C23" i="13"/>
  <c r="C25" i="13"/>
  <c r="C26" i="13"/>
  <c r="C29" i="13"/>
  <c r="C30" i="13"/>
  <c r="C31" i="13"/>
  <c r="C33" i="13"/>
  <c r="C35" i="13"/>
  <c r="C37" i="13"/>
  <c r="C38" i="13"/>
  <c r="C36" i="13"/>
  <c r="C34" i="13"/>
  <c r="C32" i="13"/>
  <c r="C28" i="13"/>
  <c r="C27" i="13"/>
  <c r="C24" i="13"/>
  <c r="C22" i="13"/>
  <c r="C20" i="13"/>
  <c r="C16" i="13"/>
  <c r="C12" i="13"/>
  <c r="C11" i="13"/>
  <c r="K2" i="17" l="1"/>
  <c r="B23" i="6"/>
  <c r="F4" i="60" s="1"/>
  <c r="B22" i="6"/>
  <c r="B21" i="6"/>
  <c r="F2" i="60" s="1"/>
  <c r="B16" i="6"/>
  <c r="B14" i="6"/>
  <c r="E3" i="60" s="1"/>
  <c r="B15" i="6"/>
  <c r="J3" i="58" l="1"/>
  <c r="F3" i="60"/>
  <c r="D4" i="58"/>
  <c r="C4" i="60"/>
  <c r="H2" i="17"/>
  <c r="J2" i="58"/>
  <c r="H4" i="17"/>
  <c r="J4" i="58"/>
  <c r="I3" i="10"/>
  <c r="H3" i="58"/>
  <c r="M3" i="13"/>
  <c r="H3" i="17"/>
  <c r="J4" i="10"/>
  <c r="M4" i="13"/>
  <c r="J2" i="10"/>
  <c r="M2" i="13"/>
  <c r="J3" i="10"/>
  <c r="I3" i="20"/>
  <c r="I4" i="20"/>
  <c r="I2" i="20"/>
  <c r="F4" i="10"/>
  <c r="E4" i="20"/>
  <c r="H3" i="20"/>
  <c r="E2" i="17"/>
  <c r="G3" i="17"/>
  <c r="E4" i="17"/>
  <c r="G4" i="13"/>
  <c r="K3" i="13"/>
  <c r="B19" i="6"/>
  <c r="G2" i="13"/>
  <c r="D3" i="58" l="1"/>
  <c r="C3" i="60"/>
  <c r="E3" i="17"/>
  <c r="E3" i="20"/>
  <c r="F3" i="10"/>
  <c r="G3" i="13"/>
  <c r="F2" i="10"/>
  <c r="B20" i="6"/>
  <c r="B17" i="6"/>
  <c r="C9" i="13"/>
  <c r="B13" i="6"/>
  <c r="H2" i="58" l="1"/>
  <c r="E2" i="60"/>
  <c r="H2" i="20"/>
  <c r="I2" i="10"/>
  <c r="K2" i="13"/>
  <c r="G2" i="17"/>
  <c r="AN3" i="14"/>
  <c r="Q10" i="13" s="1"/>
  <c r="AN4" i="14"/>
  <c r="Q11" i="13" s="1"/>
  <c r="AN5" i="14"/>
  <c r="Q12" i="13" s="1"/>
  <c r="AN6" i="14"/>
  <c r="Q13" i="13" s="1"/>
  <c r="AN7" i="14"/>
  <c r="Q14" i="13" s="1"/>
  <c r="AN8" i="14"/>
  <c r="Q15" i="13" s="1"/>
  <c r="AN9" i="14"/>
  <c r="Q16" i="13" s="1"/>
  <c r="AN10" i="14"/>
  <c r="Q17" i="13" s="1"/>
  <c r="AN11" i="14"/>
  <c r="Q18" i="13" s="1"/>
  <c r="AN12" i="14"/>
  <c r="Q19" i="13" s="1"/>
  <c r="AN13" i="14"/>
  <c r="Q20" i="13" s="1"/>
  <c r="AN14" i="14"/>
  <c r="Q21" i="13" s="1"/>
  <c r="AN15" i="14"/>
  <c r="Q22" i="13" s="1"/>
  <c r="AN16" i="14"/>
  <c r="Q23" i="13" s="1"/>
  <c r="AN17" i="14"/>
  <c r="Q24" i="13" s="1"/>
  <c r="AN18" i="14"/>
  <c r="Q25" i="13" s="1"/>
  <c r="AN19" i="14"/>
  <c r="Q26" i="13" s="1"/>
  <c r="AN20" i="14"/>
  <c r="Q27" i="13" s="1"/>
  <c r="AN21" i="14"/>
  <c r="Q28" i="13" s="1"/>
  <c r="AN22" i="14"/>
  <c r="Q29" i="13" s="1"/>
  <c r="AN23" i="14"/>
  <c r="Q30" i="13" s="1"/>
  <c r="AN24" i="14"/>
  <c r="Q31" i="13" s="1"/>
  <c r="AN25" i="14"/>
  <c r="Q32" i="13" s="1"/>
  <c r="AN26" i="14"/>
  <c r="Q33" i="13" s="1"/>
  <c r="AN27" i="14"/>
  <c r="Q34" i="13" s="1"/>
  <c r="AN28" i="14"/>
  <c r="Q35" i="13" s="1"/>
  <c r="AN29" i="14"/>
  <c r="Q36" i="13" s="1"/>
  <c r="AN30" i="14"/>
  <c r="Q37" i="13" s="1"/>
  <c r="AN31" i="14"/>
  <c r="Q38" i="13" s="1"/>
  <c r="S38" i="13"/>
  <c r="S37" i="13"/>
  <c r="S36" i="13"/>
  <c r="S35" i="13"/>
  <c r="S34" i="13"/>
  <c r="S33" i="13"/>
  <c r="S32" i="13"/>
  <c r="S31" i="13"/>
  <c r="S30" i="13"/>
  <c r="S29" i="13"/>
  <c r="S28" i="13"/>
  <c r="S27" i="13"/>
  <c r="S26" i="13"/>
  <c r="S25" i="13"/>
  <c r="S24" i="13"/>
  <c r="S23" i="13"/>
  <c r="S22" i="13"/>
  <c r="S21" i="13"/>
  <c r="S20" i="13"/>
  <c r="S19" i="13"/>
  <c r="S18" i="13"/>
  <c r="S17" i="13"/>
  <c r="S16" i="13"/>
  <c r="S15" i="13"/>
  <c r="S14" i="13"/>
  <c r="S13" i="13"/>
  <c r="S12" i="13"/>
  <c r="S11" i="13"/>
  <c r="S10" i="13"/>
  <c r="S9" i="13"/>
  <c r="N38" i="13"/>
  <c r="O38" i="13" s="1"/>
  <c r="N37" i="13"/>
  <c r="O37" i="13" s="1"/>
  <c r="N36" i="13"/>
  <c r="O36" i="13" s="1"/>
  <c r="N35" i="13"/>
  <c r="O35" i="13" s="1"/>
  <c r="N34" i="13"/>
  <c r="O34" i="13" s="1"/>
  <c r="N33" i="13"/>
  <c r="O33" i="13" s="1"/>
  <c r="N32" i="13"/>
  <c r="O32" i="13" s="1"/>
  <c r="N31" i="13"/>
  <c r="O31" i="13" s="1"/>
  <c r="N30" i="13"/>
  <c r="O30" i="13" s="1"/>
  <c r="N29" i="13"/>
  <c r="O29" i="13" s="1"/>
  <c r="N28" i="13"/>
  <c r="O28" i="13" s="1"/>
  <c r="N27" i="13"/>
  <c r="O27" i="13" s="1"/>
  <c r="N26" i="13"/>
  <c r="O26" i="13" s="1"/>
  <c r="N25" i="13"/>
  <c r="O25" i="13" s="1"/>
  <c r="N24" i="13"/>
  <c r="O24" i="13" s="1"/>
  <c r="N23" i="13"/>
  <c r="O23" i="13" s="1"/>
  <c r="N22" i="13"/>
  <c r="O22" i="13" s="1"/>
  <c r="N21" i="13"/>
  <c r="O21" i="13" s="1"/>
  <c r="N20" i="13"/>
  <c r="O20" i="13" s="1"/>
  <c r="N19" i="13"/>
  <c r="O19" i="13" s="1"/>
  <c r="N18" i="13"/>
  <c r="O18" i="13" s="1"/>
  <c r="N17" i="13"/>
  <c r="O17" i="13" s="1"/>
  <c r="N16" i="13"/>
  <c r="O16" i="13" s="1"/>
  <c r="N15" i="13"/>
  <c r="O15" i="13" s="1"/>
  <c r="N14" i="13"/>
  <c r="O14" i="13" s="1"/>
  <c r="N13" i="13"/>
  <c r="O13" i="13" s="1"/>
  <c r="N12" i="13"/>
  <c r="O12" i="13" s="1"/>
  <c r="N11" i="13"/>
  <c r="O11" i="13" s="1"/>
  <c r="N10" i="13"/>
  <c r="O10" i="13" s="1"/>
  <c r="AM3" i="14"/>
  <c r="M10" i="13" s="1"/>
  <c r="AM4" i="14"/>
  <c r="M11" i="13" s="1"/>
  <c r="AM5" i="14"/>
  <c r="M12" i="13" s="1"/>
  <c r="AM6" i="14"/>
  <c r="M13" i="13" s="1"/>
  <c r="AM7" i="14"/>
  <c r="M14" i="13" s="1"/>
  <c r="AM8" i="14"/>
  <c r="M15" i="13" s="1"/>
  <c r="AM9" i="14"/>
  <c r="M16" i="13" s="1"/>
  <c r="AM10" i="14"/>
  <c r="M17" i="13" s="1"/>
  <c r="AM11" i="14"/>
  <c r="M18" i="13" s="1"/>
  <c r="AM12" i="14"/>
  <c r="M19" i="13" s="1"/>
  <c r="M19" i="75" s="1"/>
  <c r="AM13" i="14"/>
  <c r="M20" i="13" s="1"/>
  <c r="AM14" i="14"/>
  <c r="M21" i="13" s="1"/>
  <c r="AM15" i="14"/>
  <c r="M22" i="13" s="1"/>
  <c r="AM16" i="14"/>
  <c r="M23" i="13" s="1"/>
  <c r="AM17" i="14"/>
  <c r="M24" i="13" s="1"/>
  <c r="AM18" i="14"/>
  <c r="M25" i="13" s="1"/>
  <c r="AM19" i="14"/>
  <c r="M26" i="13" s="1"/>
  <c r="AM20" i="14"/>
  <c r="M27" i="13" s="1"/>
  <c r="AM21" i="14"/>
  <c r="M28" i="13" s="1"/>
  <c r="AM22" i="14"/>
  <c r="M29" i="13" s="1"/>
  <c r="AM23" i="14"/>
  <c r="M30" i="13" s="1"/>
  <c r="AM24" i="14"/>
  <c r="M31" i="13" s="1"/>
  <c r="AM25" i="14"/>
  <c r="M32" i="13" s="1"/>
  <c r="AM26" i="14"/>
  <c r="M33" i="13" s="1"/>
  <c r="AM27" i="14"/>
  <c r="M34" i="13" s="1"/>
  <c r="AM28" i="14"/>
  <c r="M35" i="13" s="1"/>
  <c r="AM29" i="14"/>
  <c r="M36" i="13" s="1"/>
  <c r="AM30" i="14"/>
  <c r="M37" i="13" s="1"/>
  <c r="AM31" i="14"/>
  <c r="M38" i="13" s="1"/>
  <c r="AL3" i="14"/>
  <c r="B10" i="13" s="1"/>
  <c r="AL4" i="14"/>
  <c r="B11" i="13" s="1"/>
  <c r="AL5" i="14"/>
  <c r="B12" i="13" s="1"/>
  <c r="AL6" i="14"/>
  <c r="B13" i="13" s="1"/>
  <c r="AL7" i="14"/>
  <c r="B14" i="13" s="1"/>
  <c r="AL8" i="14"/>
  <c r="B15" i="13" s="1"/>
  <c r="AL9" i="14"/>
  <c r="B16" i="13" s="1"/>
  <c r="AL10" i="14"/>
  <c r="B17" i="13" s="1"/>
  <c r="AL11" i="14"/>
  <c r="B18" i="13" s="1"/>
  <c r="AL12" i="14"/>
  <c r="B19" i="13" s="1"/>
  <c r="AL13" i="14"/>
  <c r="B20" i="13" s="1"/>
  <c r="AL14" i="14"/>
  <c r="B21" i="13" s="1"/>
  <c r="AL15" i="14"/>
  <c r="B22" i="13" s="1"/>
  <c r="AL16" i="14"/>
  <c r="B23" i="13" s="1"/>
  <c r="AL17" i="14"/>
  <c r="B24" i="13" s="1"/>
  <c r="AL18" i="14"/>
  <c r="B25" i="13" s="1"/>
  <c r="AL19" i="14"/>
  <c r="B26" i="13" s="1"/>
  <c r="AL20" i="14"/>
  <c r="B27" i="13" s="1"/>
  <c r="AL21" i="14"/>
  <c r="B28" i="13" s="1"/>
  <c r="AL22" i="14"/>
  <c r="B29" i="13" s="1"/>
  <c r="AL23" i="14"/>
  <c r="B30" i="13" s="1"/>
  <c r="AL24" i="14"/>
  <c r="B31" i="13" s="1"/>
  <c r="AL25" i="14"/>
  <c r="B32" i="13" s="1"/>
  <c r="AL26" i="14"/>
  <c r="B33" i="13" s="1"/>
  <c r="AL27" i="14"/>
  <c r="B34" i="13" s="1"/>
  <c r="AL28" i="14"/>
  <c r="B35" i="13" s="1"/>
  <c r="AL29" i="14"/>
  <c r="B36" i="13" s="1"/>
  <c r="AL30" i="14"/>
  <c r="B37" i="13" s="1"/>
  <c r="AL31" i="14"/>
  <c r="B38" i="13" s="1"/>
  <c r="AL2" i="14"/>
  <c r="B9" i="13" s="1"/>
  <c r="R19" i="13" l="1"/>
  <c r="R35" i="13"/>
  <c r="R23" i="13"/>
  <c r="R11" i="13"/>
  <c r="R27" i="13"/>
  <c r="R15" i="13"/>
  <c r="R31" i="13"/>
  <c r="R10" i="13"/>
  <c r="R14" i="13"/>
  <c r="R18" i="13"/>
  <c r="R22" i="13"/>
  <c r="R26" i="13"/>
  <c r="R30" i="13"/>
  <c r="R34" i="13"/>
  <c r="R38" i="13"/>
  <c r="R12" i="13"/>
  <c r="R16" i="13"/>
  <c r="R20" i="13"/>
  <c r="R24" i="13"/>
  <c r="R28" i="13"/>
  <c r="R32" i="13"/>
  <c r="R36" i="13"/>
  <c r="R13" i="13"/>
  <c r="R17" i="13"/>
  <c r="R21" i="13"/>
  <c r="R25" i="13"/>
  <c r="R29" i="13"/>
  <c r="R33" i="13"/>
  <c r="R37" i="13"/>
  <c r="S19" i="12"/>
  <c r="B27" i="10" s="1"/>
  <c r="U19" i="12"/>
  <c r="E26" i="10" s="1"/>
  <c r="V19" i="12"/>
  <c r="F26" i="10" s="1"/>
  <c r="W19" i="12"/>
  <c r="G26" i="10" s="1"/>
  <c r="X19" i="12"/>
  <c r="Y19" i="12"/>
  <c r="I26" i="10" s="1"/>
  <c r="AB19" i="12"/>
  <c r="S20" i="12"/>
  <c r="B28" i="10" s="1"/>
  <c r="U20" i="12"/>
  <c r="E27" i="10" s="1"/>
  <c r="V20" i="12"/>
  <c r="F27" i="10" s="1"/>
  <c r="W20" i="12"/>
  <c r="G27" i="10" s="1"/>
  <c r="X20" i="12"/>
  <c r="Y20" i="12"/>
  <c r="I27" i="10" s="1"/>
  <c r="AB20" i="12"/>
  <c r="S21" i="12"/>
  <c r="B29" i="10" s="1"/>
  <c r="U21" i="12"/>
  <c r="E28" i="10" s="1"/>
  <c r="V21" i="12"/>
  <c r="F28" i="10" s="1"/>
  <c r="W21" i="12"/>
  <c r="G28" i="10" s="1"/>
  <c r="X21" i="12"/>
  <c r="Y21" i="12"/>
  <c r="I28" i="10" s="1"/>
  <c r="AB21" i="12"/>
  <c r="S22" i="12"/>
  <c r="U22" i="12"/>
  <c r="E29" i="10" s="1"/>
  <c r="V22" i="12"/>
  <c r="F29" i="10" s="1"/>
  <c r="W22" i="12"/>
  <c r="G29" i="10" s="1"/>
  <c r="X22" i="12"/>
  <c r="Y22" i="12"/>
  <c r="I29" i="10" s="1"/>
  <c r="AB22" i="12"/>
  <c r="AB18" i="12"/>
  <c r="Y18" i="12"/>
  <c r="I25" i="10" s="1"/>
  <c r="X18" i="12"/>
  <c r="V18" i="12"/>
  <c r="F25" i="10" s="1"/>
  <c r="U18" i="12"/>
  <c r="E25" i="10" s="1"/>
  <c r="S18" i="12"/>
  <c r="W18" i="12"/>
  <c r="G25" i="10" s="1"/>
  <c r="AA4" i="12"/>
  <c r="K10" i="10" s="1"/>
  <c r="AA5" i="12"/>
  <c r="K11" i="10" s="1"/>
  <c r="AA6" i="12"/>
  <c r="K12" i="10" s="1"/>
  <c r="AA7" i="12"/>
  <c r="K13" i="10" s="1"/>
  <c r="AA8" i="12"/>
  <c r="K14" i="10" s="1"/>
  <c r="AA9" i="12"/>
  <c r="K15" i="10" s="1"/>
  <c r="AA10" i="12"/>
  <c r="K16" i="10" s="1"/>
  <c r="AA11" i="12"/>
  <c r="K17" i="10" s="1"/>
  <c r="AA12" i="12"/>
  <c r="K18" i="10" s="1"/>
  <c r="AA13" i="12"/>
  <c r="K19" i="10" s="1"/>
  <c r="AA14" i="12"/>
  <c r="K20" i="10" s="1"/>
  <c r="AA15" i="12"/>
  <c r="K21" i="10" s="1"/>
  <c r="AA16" i="12"/>
  <c r="K22" i="10" s="1"/>
  <c r="AA17" i="12"/>
  <c r="K23" i="10" s="1"/>
  <c r="AA3" i="12"/>
  <c r="K9" i="10" s="1"/>
  <c r="AC4" i="12"/>
  <c r="M10" i="10" s="1"/>
  <c r="AC5" i="12"/>
  <c r="M11" i="10" s="1"/>
  <c r="AC6" i="12"/>
  <c r="M12" i="10" s="1"/>
  <c r="AC7" i="12"/>
  <c r="M13" i="10" s="1"/>
  <c r="AC8" i="12"/>
  <c r="M14" i="10" s="1"/>
  <c r="AC9" i="12"/>
  <c r="M15" i="10" s="1"/>
  <c r="AC10" i="12"/>
  <c r="M16" i="10" s="1"/>
  <c r="AC11" i="12"/>
  <c r="M17" i="10" s="1"/>
  <c r="AC12" i="12"/>
  <c r="M18" i="10" s="1"/>
  <c r="AC13" i="12"/>
  <c r="M19" i="10" s="1"/>
  <c r="AC14" i="12"/>
  <c r="M20" i="10" s="1"/>
  <c r="AC15" i="12"/>
  <c r="M21" i="10" s="1"/>
  <c r="AC16" i="12"/>
  <c r="M22" i="10" s="1"/>
  <c r="AC17" i="12"/>
  <c r="M23" i="10" s="1"/>
  <c r="AC3" i="12"/>
  <c r="M9" i="10" s="1"/>
  <c r="AB4" i="12"/>
  <c r="L10" i="10" s="1"/>
  <c r="AB5" i="12"/>
  <c r="L11" i="10" s="1"/>
  <c r="AB6" i="12"/>
  <c r="L12" i="10" s="1"/>
  <c r="AB7" i="12"/>
  <c r="L13" i="10" s="1"/>
  <c r="AB8" i="12"/>
  <c r="L14" i="10" s="1"/>
  <c r="AB9" i="12"/>
  <c r="L15" i="10" s="1"/>
  <c r="AB10" i="12"/>
  <c r="L16" i="10" s="1"/>
  <c r="AB11" i="12"/>
  <c r="L17" i="10" s="1"/>
  <c r="AB12" i="12"/>
  <c r="L18" i="10" s="1"/>
  <c r="AB13" i="12"/>
  <c r="L19" i="10" s="1"/>
  <c r="AB14" i="12"/>
  <c r="L20" i="10" s="1"/>
  <c r="AB15" i="12"/>
  <c r="L21" i="10" s="1"/>
  <c r="AB16" i="12"/>
  <c r="L22" i="10" s="1"/>
  <c r="AB17" i="12"/>
  <c r="L23" i="10" s="1"/>
  <c r="AB3" i="12"/>
  <c r="L9" i="10" s="1"/>
  <c r="Y4" i="12"/>
  <c r="I10" i="10" s="1"/>
  <c r="Y5" i="12"/>
  <c r="I11" i="10" s="1"/>
  <c r="Y6" i="12"/>
  <c r="I12" i="10" s="1"/>
  <c r="Y7" i="12"/>
  <c r="I13" i="10" s="1"/>
  <c r="Y8" i="12"/>
  <c r="I14" i="10" s="1"/>
  <c r="Y9" i="12"/>
  <c r="I15" i="10" s="1"/>
  <c r="Y10" i="12"/>
  <c r="I16" i="10" s="1"/>
  <c r="Y11" i="12"/>
  <c r="I17" i="10" s="1"/>
  <c r="Y12" i="12"/>
  <c r="I18" i="10" s="1"/>
  <c r="Y13" i="12"/>
  <c r="I19" i="10" s="1"/>
  <c r="Y14" i="12"/>
  <c r="I20" i="10" s="1"/>
  <c r="Y15" i="12"/>
  <c r="I21" i="10" s="1"/>
  <c r="Y16" i="12"/>
  <c r="I22" i="10" s="1"/>
  <c r="Y17" i="12"/>
  <c r="I23" i="10" s="1"/>
  <c r="Y3" i="12"/>
  <c r="I9" i="10" s="1"/>
  <c r="U4" i="12"/>
  <c r="U5" i="12"/>
  <c r="U6" i="12"/>
  <c r="U7" i="12"/>
  <c r="U8" i="12"/>
  <c r="U9" i="12"/>
  <c r="U10" i="12"/>
  <c r="U11" i="12"/>
  <c r="U12" i="12"/>
  <c r="U13" i="12"/>
  <c r="U14" i="12"/>
  <c r="U15" i="12"/>
  <c r="U16" i="12"/>
  <c r="U17" i="12"/>
  <c r="U3" i="12"/>
  <c r="S4" i="12"/>
  <c r="B10" i="10" s="1"/>
  <c r="X4" i="12"/>
  <c r="S5" i="12"/>
  <c r="B11" i="10" s="1"/>
  <c r="X5" i="12"/>
  <c r="S6" i="12"/>
  <c r="B12" i="10" s="1"/>
  <c r="X6" i="12"/>
  <c r="S7" i="12"/>
  <c r="B13" i="10" s="1"/>
  <c r="X7" i="12"/>
  <c r="S8" i="12"/>
  <c r="B14" i="10" s="1"/>
  <c r="X8" i="12"/>
  <c r="S9" i="12"/>
  <c r="B15" i="10" s="1"/>
  <c r="X9" i="12"/>
  <c r="S10" i="12"/>
  <c r="B16" i="10" s="1"/>
  <c r="X10" i="12"/>
  <c r="S11" i="12"/>
  <c r="B17" i="10" s="1"/>
  <c r="X11" i="12"/>
  <c r="S12" i="12"/>
  <c r="B18" i="10" s="1"/>
  <c r="X12" i="12"/>
  <c r="S13" i="12"/>
  <c r="B19" i="10" s="1"/>
  <c r="X13" i="12"/>
  <c r="S14" i="12"/>
  <c r="B20" i="10" s="1"/>
  <c r="X14" i="12"/>
  <c r="S15" i="12"/>
  <c r="B21" i="10" s="1"/>
  <c r="X15" i="12"/>
  <c r="S16" i="12"/>
  <c r="B22" i="10" s="1"/>
  <c r="X16" i="12"/>
  <c r="S17" i="12"/>
  <c r="B23" i="10" s="1"/>
  <c r="X17" i="12"/>
  <c r="X3" i="12"/>
  <c r="S3" i="12"/>
  <c r="B9" i="10" s="1"/>
  <c r="B25" i="10" l="1"/>
  <c r="B26" i="10"/>
  <c r="K17" i="12"/>
  <c r="N17" i="12" s="1"/>
  <c r="L13" i="12"/>
  <c r="M13" i="12"/>
  <c r="O13" i="12"/>
  <c r="P13" i="12"/>
  <c r="Q13" i="12"/>
  <c r="L14" i="12"/>
  <c r="M14" i="12"/>
  <c r="O14" i="12"/>
  <c r="P14" i="12"/>
  <c r="Q14" i="12"/>
  <c r="L15" i="12"/>
  <c r="M15" i="12"/>
  <c r="O15" i="12"/>
  <c r="P15" i="12"/>
  <c r="Q15" i="12"/>
  <c r="R15" i="12"/>
  <c r="L16" i="12"/>
  <c r="M16" i="12"/>
  <c r="P16" i="12"/>
  <c r="R16" i="12"/>
  <c r="L17" i="12"/>
  <c r="M17" i="12"/>
  <c r="O17" i="12"/>
  <c r="P17" i="12"/>
  <c r="R17" i="12"/>
  <c r="Q17" i="12" l="1"/>
  <c r="K13" i="12"/>
  <c r="K16" i="12"/>
  <c r="N16" i="12" s="1"/>
  <c r="K15" i="12"/>
  <c r="N15" i="12" s="1"/>
  <c r="K14" i="12"/>
  <c r="N13" i="12" l="1"/>
  <c r="R13" i="12"/>
  <c r="N14" i="12"/>
  <c r="R14" i="12"/>
  <c r="O16" i="12"/>
  <c r="Q16" i="12"/>
  <c r="B18" i="6"/>
  <c r="E4" i="60" s="1"/>
  <c r="I4" i="10" l="1"/>
  <c r="H4" i="58"/>
  <c r="G4" i="17"/>
  <c r="H4" i="20"/>
  <c r="K4" i="13"/>
  <c r="O58" i="38"/>
  <c r="I58" i="38"/>
  <c r="C58" i="38"/>
  <c r="O47" i="38"/>
  <c r="I47" i="38"/>
  <c r="C47" i="38"/>
  <c r="M1" i="74"/>
  <c r="J4" i="56" l="1"/>
  <c r="J3" i="56"/>
  <c r="I4" i="50"/>
  <c r="I3" i="50"/>
  <c r="I101" i="5"/>
  <c r="I100" i="5"/>
  <c r="I36" i="5"/>
  <c r="I35" i="5"/>
  <c r="I4" i="5"/>
  <c r="I3" i="5"/>
  <c r="F5" i="3"/>
  <c r="D3" i="38"/>
  <c r="E32" i="49"/>
  <c r="D32" i="49"/>
  <c r="E31" i="49"/>
  <c r="D31" i="49"/>
  <c r="E30" i="49"/>
  <c r="D30" i="49"/>
  <c r="E28" i="49"/>
  <c r="D28" i="49"/>
  <c r="E27" i="49"/>
  <c r="D27" i="49"/>
  <c r="D25" i="49"/>
  <c r="D24" i="49"/>
  <c r="D23" i="49"/>
  <c r="D11" i="49"/>
  <c r="D10" i="49"/>
  <c r="D9" i="49"/>
  <c r="D8" i="49"/>
  <c r="D7" i="49"/>
  <c r="E5" i="49"/>
  <c r="J2" i="56"/>
  <c r="G3" i="50"/>
  <c r="I1" i="61"/>
  <c r="C3" i="74"/>
  <c r="B4" i="45"/>
  <c r="F5" i="21"/>
  <c r="F4" i="21"/>
  <c r="A9" i="32"/>
  <c r="G6" i="32"/>
  <c r="G6" i="31"/>
  <c r="G6" i="30"/>
  <c r="G20" i="29"/>
  <c r="G19" i="29"/>
  <c r="A10" i="29"/>
  <c r="G6" i="29"/>
  <c r="G19" i="28"/>
  <c r="G18" i="28"/>
  <c r="G17" i="28"/>
  <c r="A10" i="28"/>
  <c r="G6" i="28"/>
  <c r="I1" i="16"/>
  <c r="I99" i="5"/>
  <c r="I34" i="5"/>
  <c r="I2" i="5"/>
  <c r="E5" i="3"/>
  <c r="K42" i="20"/>
  <c r="K41" i="20"/>
  <c r="X31" i="14"/>
  <c r="X30" i="14"/>
  <c r="X29" i="14"/>
  <c r="X28" i="14"/>
  <c r="X27" i="14"/>
  <c r="X26" i="14"/>
  <c r="X25" i="14"/>
  <c r="X24" i="14"/>
  <c r="X23" i="14"/>
  <c r="X22" i="14"/>
  <c r="X21" i="14"/>
  <c r="X20" i="14"/>
  <c r="X19" i="14"/>
  <c r="X18" i="14"/>
  <c r="X17" i="14"/>
  <c r="X16" i="14"/>
  <c r="X15" i="14"/>
  <c r="X14" i="14"/>
  <c r="X13" i="14"/>
  <c r="X12" i="14"/>
  <c r="X11" i="14"/>
  <c r="X10" i="14"/>
  <c r="X9" i="14"/>
  <c r="X8" i="14"/>
  <c r="X7" i="14"/>
  <c r="X6" i="14"/>
  <c r="X5" i="14"/>
  <c r="X4" i="14"/>
  <c r="X3" i="14"/>
  <c r="M34" i="11"/>
  <c r="L34" i="11"/>
  <c r="M33" i="11"/>
  <c r="L33" i="11"/>
  <c r="M32" i="11"/>
  <c r="L32" i="11"/>
  <c r="M31" i="11"/>
  <c r="L31" i="11"/>
  <c r="M30" i="11"/>
  <c r="L30" i="11"/>
  <c r="M29" i="11"/>
  <c r="L29" i="11"/>
  <c r="M28" i="11"/>
  <c r="L28" i="11"/>
  <c r="M27" i="11"/>
  <c r="L27" i="11"/>
  <c r="M26" i="11"/>
  <c r="L26" i="11"/>
  <c r="M25" i="11"/>
  <c r="L25" i="11"/>
  <c r="M24" i="11"/>
  <c r="L24" i="11"/>
  <c r="M23" i="11"/>
  <c r="L23" i="11"/>
  <c r="M22" i="11"/>
  <c r="L22" i="11"/>
  <c r="M21" i="11"/>
  <c r="L21" i="11"/>
  <c r="M20" i="11"/>
  <c r="L20" i="11"/>
  <c r="M19" i="11"/>
  <c r="L19" i="11"/>
  <c r="M18" i="11"/>
  <c r="L18" i="11"/>
  <c r="M17" i="11"/>
  <c r="L17" i="11"/>
  <c r="M16" i="11"/>
  <c r="L16" i="11"/>
  <c r="M15" i="11"/>
  <c r="L15" i="11"/>
  <c r="M14" i="11"/>
  <c r="L14" i="11"/>
  <c r="T14" i="12" s="1"/>
  <c r="C20" i="10" s="1"/>
  <c r="M13" i="11"/>
  <c r="L13" i="11"/>
  <c r="T13" i="12" s="1"/>
  <c r="C19" i="10" s="1"/>
  <c r="M12" i="11"/>
  <c r="J12" i="11"/>
  <c r="H12" i="11"/>
  <c r="F12" i="11"/>
  <c r="M11" i="11"/>
  <c r="J11" i="11"/>
  <c r="H11" i="11"/>
  <c r="F11" i="11"/>
  <c r="M10" i="11"/>
  <c r="L10" i="11"/>
  <c r="T8" i="12" s="1"/>
  <c r="C14" i="10" s="1"/>
  <c r="M9" i="11"/>
  <c r="L9" i="11"/>
  <c r="T7" i="12" s="1"/>
  <c r="C13" i="10" s="1"/>
  <c r="M8" i="11"/>
  <c r="L8" i="11"/>
  <c r="M7" i="11"/>
  <c r="L7" i="11"/>
  <c r="T5" i="12" s="1"/>
  <c r="C11" i="10" s="1"/>
  <c r="M6" i="11"/>
  <c r="G16" i="12" s="1"/>
  <c r="L6" i="11"/>
  <c r="T4" i="12" s="1"/>
  <c r="C10" i="10" s="1"/>
  <c r="M5" i="11"/>
  <c r="L5" i="11"/>
  <c r="T11" i="12" s="1"/>
  <c r="C17" i="10" s="1"/>
  <c r="M4" i="11"/>
  <c r="L4" i="11"/>
  <c r="F18" i="19"/>
  <c r="M3" i="33"/>
  <c r="F3" i="45"/>
  <c r="B3" i="45"/>
  <c r="B6" i="45" s="1"/>
  <c r="B2" i="45"/>
  <c r="I4" i="21" l="1"/>
  <c r="M4" i="21"/>
  <c r="Q4" i="21"/>
  <c r="K4" i="21"/>
  <c r="O4" i="21"/>
  <c r="S4" i="21"/>
  <c r="J4" i="21"/>
  <c r="L4" i="21"/>
  <c r="H4" i="21"/>
  <c r="R4" i="21"/>
  <c r="N4" i="21"/>
  <c r="P4" i="21"/>
  <c r="H5" i="21"/>
  <c r="L5" i="21"/>
  <c r="P5" i="21"/>
  <c r="I5" i="21"/>
  <c r="M5" i="21"/>
  <c r="Q5" i="21"/>
  <c r="J5" i="21"/>
  <c r="N5" i="21"/>
  <c r="R5" i="21"/>
  <c r="K5" i="21"/>
  <c r="O5" i="21"/>
  <c r="S5" i="21"/>
  <c r="W16" i="12"/>
  <c r="G22" i="10" s="1"/>
  <c r="AK16" i="12"/>
  <c r="T16" i="12"/>
  <c r="C22" i="10" s="1"/>
  <c r="T17" i="12"/>
  <c r="C23" i="10" s="1"/>
  <c r="T15" i="12"/>
  <c r="C21" i="10" s="1"/>
  <c r="T12" i="12"/>
  <c r="C18" i="10" s="1"/>
  <c r="T10" i="12"/>
  <c r="C16" i="10" s="1"/>
  <c r="T9" i="12"/>
  <c r="C15" i="10" s="1"/>
  <c r="G14" i="12"/>
  <c r="F24" i="20"/>
  <c r="D25" i="3"/>
  <c r="D8" i="3"/>
  <c r="E25" i="3"/>
  <c r="E24" i="3"/>
  <c r="L11" i="11"/>
  <c r="T6" i="12" s="1"/>
  <c r="C12" i="10" s="1"/>
  <c r="L12" i="11"/>
  <c r="F16" i="12"/>
  <c r="F14" i="12"/>
  <c r="F13" i="12"/>
  <c r="F17" i="12"/>
  <c r="F15" i="12"/>
  <c r="G15" i="12"/>
  <c r="G17" i="12"/>
  <c r="G13" i="12"/>
  <c r="G17" i="32"/>
  <c r="D1" i="33"/>
  <c r="N1" i="38"/>
  <c r="N2" i="38"/>
  <c r="B4" i="32"/>
  <c r="B4" i="31"/>
  <c r="B4" i="30"/>
  <c r="B6" i="28"/>
  <c r="B6" i="29"/>
  <c r="D4" i="5"/>
  <c r="D5" i="56"/>
  <c r="J2" i="50"/>
  <c r="C15" i="39"/>
  <c r="M2" i="10"/>
  <c r="V17" i="12" l="1"/>
  <c r="F23" i="10" s="1"/>
  <c r="AJ17" i="12"/>
  <c r="V13" i="12"/>
  <c r="F19" i="10" s="1"/>
  <c r="AJ13" i="12"/>
  <c r="V14" i="12"/>
  <c r="F20" i="10" s="1"/>
  <c r="AJ14" i="12"/>
  <c r="V15" i="12"/>
  <c r="F21" i="10" s="1"/>
  <c r="AJ15" i="12"/>
  <c r="V16" i="12"/>
  <c r="F22" i="10" s="1"/>
  <c r="AJ16" i="12"/>
  <c r="W17" i="12"/>
  <c r="G23" i="10" s="1"/>
  <c r="AK17" i="12"/>
  <c r="W15" i="12"/>
  <c r="G21" i="10" s="1"/>
  <c r="AK15" i="12"/>
  <c r="W14" i="12"/>
  <c r="G20" i="10" s="1"/>
  <c r="AK14" i="12"/>
  <c r="W13" i="12"/>
  <c r="G19" i="10" s="1"/>
  <c r="AK13" i="12"/>
  <c r="AF22" i="12"/>
  <c r="AE22" i="12"/>
  <c r="AF21" i="12"/>
  <c r="AE21" i="12"/>
  <c r="AF20" i="12"/>
  <c r="AE20" i="12"/>
  <c r="AF19" i="12"/>
  <c r="AE19" i="12"/>
  <c r="AF18" i="12"/>
  <c r="AE18" i="12"/>
  <c r="Z22" i="12" l="1"/>
  <c r="J29" i="10" s="1"/>
  <c r="Z19" i="12"/>
  <c r="J26" i="10" s="1"/>
  <c r="Z20" i="12"/>
  <c r="J27" i="10" s="1"/>
  <c r="Z21" i="12"/>
  <c r="J28" i="10" s="1"/>
  <c r="Z18" i="12"/>
  <c r="J25" i="10" s="1"/>
  <c r="D4" i="56"/>
  <c r="H3" i="56"/>
  <c r="D3" i="56"/>
  <c r="H2" i="56"/>
  <c r="I2" i="56" l="1"/>
  <c r="D2" i="56"/>
  <c r="H4" i="56"/>
  <c r="O5" i="11"/>
  <c r="B2" i="49"/>
  <c r="B3" i="49"/>
  <c r="C3" i="49"/>
  <c r="C5" i="49"/>
  <c r="D5" i="49"/>
  <c r="E14" i="49"/>
  <c r="E20" i="49" l="1"/>
  <c r="D15" i="49"/>
  <c r="E19" i="49"/>
  <c r="D12" i="49"/>
  <c r="D17" i="49"/>
  <c r="D20" i="49"/>
  <c r="D14" i="49"/>
  <c r="E17" i="49"/>
  <c r="E13" i="49"/>
  <c r="D13" i="49"/>
  <c r="D19" i="49"/>
  <c r="G31" i="16"/>
  <c r="G29" i="16"/>
  <c r="C29" i="16"/>
  <c r="C28" i="16"/>
  <c r="G27" i="16"/>
  <c r="C26" i="16"/>
  <c r="G25" i="16"/>
  <c r="C25" i="16"/>
  <c r="C24" i="16"/>
  <c r="G23" i="16"/>
  <c r="C63" i="9" l="1"/>
  <c r="L38" i="13" l="1"/>
  <c r="K38" i="13"/>
  <c r="L37" i="13"/>
  <c r="K37" i="13"/>
  <c r="L36" i="13"/>
  <c r="K36" i="13"/>
  <c r="L35" i="13"/>
  <c r="K35" i="13"/>
  <c r="L34" i="13"/>
  <c r="K34" i="13"/>
  <c r="L33" i="13"/>
  <c r="K33" i="13"/>
  <c r="L32" i="13"/>
  <c r="K32" i="13"/>
  <c r="J24" i="14"/>
  <c r="J25" i="14"/>
  <c r="J26" i="14"/>
  <c r="J27" i="14"/>
  <c r="J28" i="14"/>
  <c r="J29" i="14"/>
  <c r="J30" i="14"/>
  <c r="J31" i="14"/>
  <c r="J2" i="14"/>
  <c r="J3" i="14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G30" i="16" l="1"/>
  <c r="L31" i="13"/>
  <c r="K31" i="13"/>
  <c r="G28" i="16" l="1"/>
  <c r="L30" i="13"/>
  <c r="K30" i="13"/>
  <c r="L29" i="13"/>
  <c r="K29" i="13"/>
  <c r="H22" i="14"/>
  <c r="J29" i="13" s="1"/>
  <c r="S22" i="14"/>
  <c r="T22" i="14"/>
  <c r="V22" i="14"/>
  <c r="AC22" i="14" s="1"/>
  <c r="W22" i="14"/>
  <c r="I29" i="13" s="1"/>
  <c r="Y22" i="14"/>
  <c r="H23" i="14"/>
  <c r="J30" i="13" s="1"/>
  <c r="P23" i="14"/>
  <c r="S23" i="14" s="1"/>
  <c r="R23" i="14"/>
  <c r="T23" i="14"/>
  <c r="V23" i="14"/>
  <c r="AC23" i="14" s="1"/>
  <c r="W23" i="14"/>
  <c r="I30" i="13" s="1"/>
  <c r="Y23" i="14"/>
  <c r="H24" i="14"/>
  <c r="P24" i="14"/>
  <c r="S24" i="14"/>
  <c r="T24" i="14"/>
  <c r="V24" i="14"/>
  <c r="AC24" i="14" s="1"/>
  <c r="W24" i="14"/>
  <c r="I31" i="13" s="1"/>
  <c r="D25" i="16" s="1"/>
  <c r="Y24" i="14"/>
  <c r="H25" i="14"/>
  <c r="P25" i="14"/>
  <c r="R25" i="14" s="1"/>
  <c r="V25" i="14"/>
  <c r="AC25" i="14" s="1"/>
  <c r="W25" i="14"/>
  <c r="I32" i="13" s="1"/>
  <c r="D26" i="16" s="1"/>
  <c r="Y25" i="14"/>
  <c r="H26" i="14"/>
  <c r="P26" i="14"/>
  <c r="T26" i="14" s="1"/>
  <c r="S26" i="14"/>
  <c r="V26" i="14"/>
  <c r="AC26" i="14" s="1"/>
  <c r="W26" i="14"/>
  <c r="I33" i="13" s="1"/>
  <c r="D27" i="16" s="1"/>
  <c r="AB27" i="16" s="1"/>
  <c r="Y26" i="14"/>
  <c r="H27" i="14"/>
  <c r="P27" i="14"/>
  <c r="Z27" i="14" s="1"/>
  <c r="AA27" i="14" s="1"/>
  <c r="T27" i="14"/>
  <c r="V27" i="14"/>
  <c r="AC27" i="14" s="1"/>
  <c r="W27" i="14"/>
  <c r="I34" i="13" s="1"/>
  <c r="D28" i="16" s="1"/>
  <c r="V28" i="16" s="1"/>
  <c r="Y27" i="14"/>
  <c r="H28" i="14"/>
  <c r="K28" i="14" s="1"/>
  <c r="P28" i="14"/>
  <c r="S28" i="14" s="1"/>
  <c r="R28" i="14"/>
  <c r="V28" i="14"/>
  <c r="AC28" i="14" s="1"/>
  <c r="W28" i="14"/>
  <c r="I35" i="13" s="1"/>
  <c r="D29" i="16" s="1"/>
  <c r="AD29" i="16" s="1"/>
  <c r="Y28" i="14"/>
  <c r="H29" i="14"/>
  <c r="P29" i="14"/>
  <c r="T29" i="14" s="1"/>
  <c r="S29" i="14"/>
  <c r="V29" i="14"/>
  <c r="AC29" i="14" s="1"/>
  <c r="W29" i="14"/>
  <c r="I36" i="13" s="1"/>
  <c r="D30" i="16" s="1"/>
  <c r="L30" i="16" s="1"/>
  <c r="Y29" i="14"/>
  <c r="H30" i="14"/>
  <c r="P30" i="14"/>
  <c r="R30" i="14" s="1"/>
  <c r="S30" i="14"/>
  <c r="V30" i="14"/>
  <c r="AC30" i="14" s="1"/>
  <c r="W30" i="14"/>
  <c r="I37" i="13" s="1"/>
  <c r="D31" i="16" s="1"/>
  <c r="O31" i="16" s="1"/>
  <c r="Y30" i="14"/>
  <c r="H31" i="14"/>
  <c r="P31" i="14"/>
  <c r="T31" i="14" s="1"/>
  <c r="V31" i="14"/>
  <c r="AC31" i="14" s="1"/>
  <c r="W31" i="14"/>
  <c r="I38" i="13" s="1"/>
  <c r="D32" i="16" s="1"/>
  <c r="U32" i="16" s="1"/>
  <c r="Y31" i="14"/>
  <c r="AE28" i="14" l="1"/>
  <c r="AD28" i="14" s="1"/>
  <c r="M28" i="14"/>
  <c r="E32" i="16"/>
  <c r="J29" i="16"/>
  <c r="AC29" i="16"/>
  <c r="I29" i="16"/>
  <c r="S29" i="16"/>
  <c r="X29" i="16"/>
  <c r="Q29" i="16"/>
  <c r="L29" i="16"/>
  <c r="X32" i="16"/>
  <c r="F32" i="16"/>
  <c r="I32" i="16"/>
  <c r="AC32" i="16"/>
  <c r="P32" i="16"/>
  <c r="T32" i="16"/>
  <c r="AD32" i="16"/>
  <c r="O32" i="16"/>
  <c r="AA32" i="16"/>
  <c r="M31" i="16"/>
  <c r="V31" i="16"/>
  <c r="H31" i="16"/>
  <c r="P31" i="16"/>
  <c r="J31" i="16"/>
  <c r="F31" i="16"/>
  <c r="V29" i="16"/>
  <c r="T29" i="16"/>
  <c r="F28" i="16"/>
  <c r="J28" i="16"/>
  <c r="Z28" i="16"/>
  <c r="H28" i="16"/>
  <c r="P28" i="16"/>
  <c r="M28" i="16"/>
  <c r="AC28" i="16"/>
  <c r="W28" i="16"/>
  <c r="N28" i="16"/>
  <c r="AA28" i="16"/>
  <c r="I28" i="16"/>
  <c r="Q28" i="16"/>
  <c r="AD28" i="16"/>
  <c r="U27" i="16"/>
  <c r="V27" i="16"/>
  <c r="AC27" i="16"/>
  <c r="AD27" i="16"/>
  <c r="T27" i="16"/>
  <c r="AA27" i="16"/>
  <c r="Z27" i="16"/>
  <c r="M27" i="16"/>
  <c r="W27" i="16"/>
  <c r="J27" i="16"/>
  <c r="L27" i="16"/>
  <c r="Y27" i="16"/>
  <c r="X27" i="16"/>
  <c r="Q27" i="16"/>
  <c r="O27" i="16"/>
  <c r="R27" i="16"/>
  <c r="F27" i="16"/>
  <c r="Z32" i="16"/>
  <c r="AB32" i="16"/>
  <c r="R32" i="16"/>
  <c r="J32" i="16"/>
  <c r="Y32" i="16"/>
  <c r="K32" i="16"/>
  <c r="V32" i="16"/>
  <c r="W32" i="16"/>
  <c r="N32" i="16"/>
  <c r="Q32" i="16"/>
  <c r="L32" i="16"/>
  <c r="M32" i="16"/>
  <c r="H32" i="16"/>
  <c r="S32" i="16"/>
  <c r="U31" i="16"/>
  <c r="AB31" i="16"/>
  <c r="AC31" i="16"/>
  <c r="Z31" i="16"/>
  <c r="AD31" i="16"/>
  <c r="L31" i="16"/>
  <c r="AA31" i="16"/>
  <c r="E31" i="16"/>
  <c r="Q31" i="16"/>
  <c r="I31" i="16"/>
  <c r="S31" i="16"/>
  <c r="R31" i="16"/>
  <c r="T31" i="16"/>
  <c r="N31" i="16"/>
  <c r="X31" i="16"/>
  <c r="Y31" i="16"/>
  <c r="W31" i="16"/>
  <c r="K31" i="16"/>
  <c r="AC30" i="16"/>
  <c r="AB30" i="16"/>
  <c r="T30" i="16"/>
  <c r="X30" i="16"/>
  <c r="N30" i="16"/>
  <c r="F30" i="16"/>
  <c r="Z30" i="16"/>
  <c r="E30" i="16"/>
  <c r="AA30" i="16"/>
  <c r="Q30" i="16"/>
  <c r="V30" i="16"/>
  <c r="K30" i="16"/>
  <c r="AD30" i="16"/>
  <c r="W30" i="16"/>
  <c r="S30" i="16"/>
  <c r="O30" i="16"/>
  <c r="J30" i="16"/>
  <c r="P30" i="16"/>
  <c r="R30" i="16"/>
  <c r="I30" i="16"/>
  <c r="U30" i="16"/>
  <c r="Y30" i="16"/>
  <c r="M30" i="16"/>
  <c r="H30" i="16"/>
  <c r="Z29" i="16"/>
  <c r="F29" i="16"/>
  <c r="M29" i="16"/>
  <c r="K29" i="16"/>
  <c r="U29" i="16"/>
  <c r="AA29" i="16"/>
  <c r="E29" i="16"/>
  <c r="AB29" i="16"/>
  <c r="Y29" i="16"/>
  <c r="O29" i="16"/>
  <c r="P29" i="16"/>
  <c r="W29" i="16"/>
  <c r="N29" i="16"/>
  <c r="H29" i="16"/>
  <c r="R29" i="16"/>
  <c r="U28" i="16"/>
  <c r="E28" i="16"/>
  <c r="L28" i="16"/>
  <c r="Y28" i="16"/>
  <c r="K28" i="16"/>
  <c r="S28" i="16"/>
  <c r="T28" i="16"/>
  <c r="R28" i="16"/>
  <c r="O28" i="16"/>
  <c r="X28" i="16"/>
  <c r="AB28" i="16"/>
  <c r="K27" i="16"/>
  <c r="S27" i="16"/>
  <c r="N27" i="16"/>
  <c r="I27" i="16"/>
  <c r="P27" i="16"/>
  <c r="H27" i="16"/>
  <c r="R31" i="14"/>
  <c r="K26" i="14"/>
  <c r="E27" i="16"/>
  <c r="D24" i="16"/>
  <c r="J24" i="16" s="1"/>
  <c r="D23" i="16"/>
  <c r="G26" i="16"/>
  <c r="AC26" i="16"/>
  <c r="S26" i="16"/>
  <c r="Z26" i="16"/>
  <c r="R26" i="16"/>
  <c r="J26" i="16"/>
  <c r="W26" i="16"/>
  <c r="O26" i="16"/>
  <c r="AD26" i="16"/>
  <c r="V26" i="16"/>
  <c r="N26" i="16"/>
  <c r="F26" i="16"/>
  <c r="AA26" i="16"/>
  <c r="K26" i="16"/>
  <c r="L26" i="16"/>
  <c r="AB26" i="16"/>
  <c r="Q26" i="16"/>
  <c r="P26" i="16"/>
  <c r="E26" i="16"/>
  <c r="U26" i="16"/>
  <c r="T26" i="16"/>
  <c r="I26" i="16"/>
  <c r="Y26" i="16"/>
  <c r="H26" i="16"/>
  <c r="X26" i="16"/>
  <c r="M26" i="16"/>
  <c r="AC25" i="16"/>
  <c r="W25" i="16"/>
  <c r="O25" i="16"/>
  <c r="AD25" i="16"/>
  <c r="V25" i="16"/>
  <c r="N25" i="16"/>
  <c r="F25" i="16"/>
  <c r="AA25" i="16"/>
  <c r="S25" i="16"/>
  <c r="K25" i="16"/>
  <c r="Z25" i="16"/>
  <c r="R25" i="16"/>
  <c r="J25" i="16"/>
  <c r="L25" i="16"/>
  <c r="AB25" i="16"/>
  <c r="Q25" i="16"/>
  <c r="P25" i="16"/>
  <c r="E25" i="16"/>
  <c r="U25" i="16"/>
  <c r="T25" i="16"/>
  <c r="I25" i="16"/>
  <c r="Y25" i="16"/>
  <c r="H25" i="16"/>
  <c r="X25" i="16"/>
  <c r="M25" i="16"/>
  <c r="G24" i="16"/>
  <c r="S31" i="14"/>
  <c r="Z31" i="14"/>
  <c r="AA31" i="14" s="1"/>
  <c r="K31" i="14"/>
  <c r="J38" i="13"/>
  <c r="T30" i="14"/>
  <c r="Z30" i="14"/>
  <c r="AA30" i="14" s="1"/>
  <c r="K30" i="14"/>
  <c r="J37" i="13"/>
  <c r="Z29" i="14"/>
  <c r="AA29" i="14" s="1"/>
  <c r="R29" i="14"/>
  <c r="K29" i="14"/>
  <c r="J36" i="13"/>
  <c r="T28" i="14"/>
  <c r="Z28" i="14"/>
  <c r="AA28" i="14" s="1"/>
  <c r="J35" i="13"/>
  <c r="S27" i="14"/>
  <c r="R27" i="14"/>
  <c r="K27" i="14"/>
  <c r="J34" i="13"/>
  <c r="Z26" i="14"/>
  <c r="AA26" i="14" s="1"/>
  <c r="R26" i="14"/>
  <c r="J33" i="13"/>
  <c r="T25" i="14"/>
  <c r="S25" i="14"/>
  <c r="Z25" i="14"/>
  <c r="AA25" i="14" s="1"/>
  <c r="K25" i="14"/>
  <c r="J32" i="13"/>
  <c r="J31" i="13"/>
  <c r="Z24" i="14"/>
  <c r="AA24" i="14" s="1"/>
  <c r="R24" i="14"/>
  <c r="K24" i="14"/>
  <c r="Z23" i="14"/>
  <c r="AA23" i="14" s="1"/>
  <c r="K22" i="14"/>
  <c r="P22" i="14"/>
  <c r="K23" i="14"/>
  <c r="AE31" i="14" l="1"/>
  <c r="AD31" i="14" s="1"/>
  <c r="C51" i="9" s="1"/>
  <c r="M31" i="14"/>
  <c r="AE30" i="14"/>
  <c r="AD30" i="14" s="1"/>
  <c r="C50" i="9" s="1"/>
  <c r="M30" i="14"/>
  <c r="M29" i="14"/>
  <c r="AE29" i="14"/>
  <c r="AD29" i="14" s="1"/>
  <c r="C49" i="9" s="1"/>
  <c r="AE27" i="14"/>
  <c r="AD27" i="14" s="1"/>
  <c r="C47" i="9" s="1"/>
  <c r="M27" i="14"/>
  <c r="AE26" i="14"/>
  <c r="AD26" i="14" s="1"/>
  <c r="M26" i="14"/>
  <c r="M25" i="14"/>
  <c r="AE25" i="14"/>
  <c r="AD25" i="14" s="1"/>
  <c r="C45" i="9" s="1"/>
  <c r="AE24" i="14"/>
  <c r="AD24" i="14" s="1"/>
  <c r="M24" i="14"/>
  <c r="AE23" i="14"/>
  <c r="AD23" i="14" s="1"/>
  <c r="C43" i="9" s="1"/>
  <c r="M23" i="14"/>
  <c r="AE22" i="14"/>
  <c r="AD22" i="14" s="1"/>
  <c r="M22" i="14"/>
  <c r="AB24" i="16"/>
  <c r="O24" i="16"/>
  <c r="T24" i="16"/>
  <c r="AA24" i="16"/>
  <c r="L24" i="16"/>
  <c r="R24" i="16"/>
  <c r="Y24" i="16"/>
  <c r="H24" i="16"/>
  <c r="U24" i="16"/>
  <c r="E24" i="16"/>
  <c r="N24" i="16"/>
  <c r="Z24" i="16"/>
  <c r="P24" i="16"/>
  <c r="X24" i="16"/>
  <c r="F24" i="16"/>
  <c r="K24" i="16"/>
  <c r="V24" i="16"/>
  <c r="W24" i="16"/>
  <c r="AC24" i="16"/>
  <c r="I24" i="16"/>
  <c r="Q24" i="16"/>
  <c r="M24" i="16"/>
  <c r="S24" i="16"/>
  <c r="AD24" i="16"/>
  <c r="C27" i="16"/>
  <c r="C30" i="16"/>
  <c r="C31" i="16"/>
  <c r="C48" i="9"/>
  <c r="C46" i="9"/>
  <c r="C44" i="9"/>
  <c r="R22" i="14"/>
  <c r="Z22" i="14"/>
  <c r="D13" i="11"/>
  <c r="C23" i="16" l="1"/>
  <c r="C32" i="16"/>
  <c r="AA22" i="14"/>
  <c r="C42" i="9" s="1"/>
  <c r="P61" i="38"/>
  <c r="J61" i="38"/>
  <c r="D61" i="38"/>
  <c r="D50" i="38"/>
  <c r="B43" i="38"/>
  <c r="A35" i="45" l="1"/>
  <c r="F16" i="21" l="1"/>
  <c r="D16" i="21"/>
  <c r="H16" i="21" l="1"/>
  <c r="L16" i="21"/>
  <c r="P16" i="21"/>
  <c r="J16" i="21"/>
  <c r="N16" i="21"/>
  <c r="R16" i="21"/>
  <c r="O16" i="21"/>
  <c r="K16" i="21"/>
  <c r="S16" i="21"/>
  <c r="M16" i="21"/>
  <c r="I16" i="21"/>
  <c r="Q16" i="21"/>
  <c r="B56" i="52"/>
  <c r="C10" i="50"/>
  <c r="C32" i="39" l="1"/>
  <c r="E33" i="33" s="1"/>
  <c r="I33" i="39"/>
  <c r="I34" i="39"/>
  <c r="I35" i="39"/>
  <c r="I36" i="39"/>
  <c r="I37" i="39"/>
  <c r="I38" i="39"/>
  <c r="I39" i="39"/>
  <c r="I40" i="39"/>
  <c r="I32" i="39"/>
  <c r="Y39" i="42" l="1"/>
  <c r="X39" i="42"/>
  <c r="W39" i="42"/>
  <c r="V39" i="42"/>
  <c r="U39" i="42"/>
  <c r="T39" i="42"/>
  <c r="S39" i="42"/>
  <c r="R39" i="42"/>
  <c r="Q39" i="42"/>
  <c r="P39" i="42"/>
  <c r="O39" i="42"/>
  <c r="N39" i="42"/>
  <c r="J8" i="50" l="1"/>
  <c r="K61" i="45"/>
  <c r="K60" i="45"/>
  <c r="K59" i="45"/>
  <c r="K58" i="45"/>
  <c r="K56" i="45"/>
  <c r="K55" i="45"/>
  <c r="K54" i="45"/>
  <c r="K53" i="45"/>
  <c r="K52" i="45"/>
  <c r="B60" i="52" l="1"/>
  <c r="H16" i="74" l="1"/>
  <c r="C6" i="74"/>
  <c r="A50" i="74"/>
  <c r="J50" i="74" s="1"/>
  <c r="K37" i="38" s="1"/>
  <c r="A47" i="74"/>
  <c r="C47" i="74" s="1"/>
  <c r="A44" i="74"/>
  <c r="J44" i="74" s="1"/>
  <c r="K29" i="38" s="1"/>
  <c r="A41" i="74"/>
  <c r="H41" i="74" s="1"/>
  <c r="I25" i="38" s="1"/>
  <c r="A38" i="74"/>
  <c r="J38" i="74" s="1"/>
  <c r="K21" i="38" s="1"/>
  <c r="A35" i="74"/>
  <c r="C35" i="74" s="1"/>
  <c r="A32" i="74"/>
  <c r="J32" i="74" s="1"/>
  <c r="K13" i="38" s="1"/>
  <c r="A29" i="74"/>
  <c r="H29" i="74" s="1"/>
  <c r="I9" i="38" s="1"/>
  <c r="R26" i="74"/>
  <c r="A26" i="74"/>
  <c r="C26" i="74" s="1"/>
  <c r="F22" i="74"/>
  <c r="D22" i="74" s="1"/>
  <c r="F21" i="74"/>
  <c r="A21" i="74" s="1"/>
  <c r="F20" i="74"/>
  <c r="D20" i="74" s="1"/>
  <c r="O6" i="74"/>
  <c r="M6" i="74"/>
  <c r="N6" i="74" s="1"/>
  <c r="F50" i="74"/>
  <c r="G37" i="38" s="1"/>
  <c r="F47" i="74"/>
  <c r="G33" i="38" s="1"/>
  <c r="F44" i="74"/>
  <c r="G29" i="38" s="1"/>
  <c r="F41" i="74"/>
  <c r="G25" i="38" s="1"/>
  <c r="F38" i="74"/>
  <c r="G21" i="38" s="1"/>
  <c r="F35" i="74"/>
  <c r="G17" i="38" s="1"/>
  <c r="F32" i="74"/>
  <c r="G13" i="38" s="1"/>
  <c r="F29" i="74"/>
  <c r="G9" i="38" s="1"/>
  <c r="F26" i="74"/>
  <c r="G5" i="38" s="1"/>
  <c r="O22" i="74"/>
  <c r="O21" i="74"/>
  <c r="O20" i="74"/>
  <c r="I4" i="74"/>
  <c r="M2" i="74"/>
  <c r="I2" i="74"/>
  <c r="C2" i="74"/>
  <c r="D33" i="38" l="1"/>
  <c r="B33" i="38"/>
  <c r="D17" i="38"/>
  <c r="B17" i="38"/>
  <c r="D5" i="38"/>
  <c r="B5" i="38"/>
  <c r="M34" i="74"/>
  <c r="N34" i="74" s="1"/>
  <c r="D21" i="74"/>
  <c r="E29" i="74"/>
  <c r="C44" i="74"/>
  <c r="M46" i="74"/>
  <c r="N46" i="74" s="1"/>
  <c r="M40" i="74"/>
  <c r="N40" i="74" s="1"/>
  <c r="C38" i="74"/>
  <c r="H38" i="74"/>
  <c r="I21" i="38" s="1"/>
  <c r="E32" i="74"/>
  <c r="H32" i="74"/>
  <c r="I13" i="38" s="1"/>
  <c r="E44" i="74"/>
  <c r="C50" i="74"/>
  <c r="C32" i="74"/>
  <c r="E41" i="74"/>
  <c r="H44" i="74"/>
  <c r="I29" i="38" s="1"/>
  <c r="H50" i="74"/>
  <c r="I37" i="38" s="1"/>
  <c r="E26" i="74"/>
  <c r="J29" i="74"/>
  <c r="K9" i="38" s="1"/>
  <c r="E35" i="74"/>
  <c r="J41" i="74"/>
  <c r="K25" i="38" s="1"/>
  <c r="E47" i="74"/>
  <c r="M21" i="74"/>
  <c r="N21" i="74" s="1"/>
  <c r="M37" i="74"/>
  <c r="N37" i="74" s="1"/>
  <c r="M49" i="74"/>
  <c r="N49" i="74" s="1"/>
  <c r="H26" i="74"/>
  <c r="I5" i="38" s="1"/>
  <c r="C29" i="74"/>
  <c r="H35" i="74"/>
  <c r="I17" i="38" s="1"/>
  <c r="E38" i="74"/>
  <c r="C41" i="74"/>
  <c r="H47" i="74"/>
  <c r="I33" i="38" s="1"/>
  <c r="E50" i="74"/>
  <c r="J26" i="74"/>
  <c r="K5" i="38" s="1"/>
  <c r="J35" i="74"/>
  <c r="K17" i="38" s="1"/>
  <c r="J47" i="74"/>
  <c r="K33" i="38" s="1"/>
  <c r="M43" i="74"/>
  <c r="N43" i="74" s="1"/>
  <c r="M52" i="74"/>
  <c r="N52" i="74" s="1"/>
  <c r="M31" i="74"/>
  <c r="N31" i="74" s="1"/>
  <c r="O26" i="74"/>
  <c r="M28" i="74"/>
  <c r="N28" i="74" s="1"/>
  <c r="A6" i="74"/>
  <c r="A20" i="74"/>
  <c r="M20" i="74" s="1"/>
  <c r="A22" i="74"/>
  <c r="M22" i="74" s="1"/>
  <c r="O35" i="74"/>
  <c r="J36" i="74"/>
  <c r="J39" i="74"/>
  <c r="J45" i="74"/>
  <c r="O47" i="74"/>
  <c r="J48" i="74"/>
  <c r="C103" i="9" l="1"/>
  <c r="B116" i="45"/>
  <c r="F17" i="38"/>
  <c r="F5" i="38"/>
  <c r="O50" i="74"/>
  <c r="D37" i="38"/>
  <c r="B37" i="38"/>
  <c r="M47" i="74"/>
  <c r="N47" i="74" s="1"/>
  <c r="F33" i="38"/>
  <c r="K34" i="38"/>
  <c r="O44" i="74"/>
  <c r="D29" i="38"/>
  <c r="K30" i="38" s="1"/>
  <c r="B29" i="38"/>
  <c r="O41" i="74"/>
  <c r="D25" i="38"/>
  <c r="F25" i="38" s="1"/>
  <c r="B25" i="38"/>
  <c r="O38" i="74"/>
  <c r="D21" i="38"/>
  <c r="F21" i="38" s="1"/>
  <c r="B21" i="38"/>
  <c r="K18" i="38"/>
  <c r="A60" i="38"/>
  <c r="O32" i="74"/>
  <c r="B13" i="38"/>
  <c r="D13" i="38"/>
  <c r="M49" i="38" s="1"/>
  <c r="O29" i="74"/>
  <c r="B9" i="38"/>
  <c r="D9" i="38"/>
  <c r="G49" i="38" s="1"/>
  <c r="A49" i="38"/>
  <c r="M32" i="74"/>
  <c r="N32" i="74" s="1"/>
  <c r="M38" i="74"/>
  <c r="N38" i="74" s="1"/>
  <c r="M29" i="74"/>
  <c r="N29" i="74" s="1"/>
  <c r="M50" i="74"/>
  <c r="N50" i="74" s="1"/>
  <c r="M35" i="74"/>
  <c r="N35" i="74" s="1"/>
  <c r="M44" i="74"/>
  <c r="M41" i="74"/>
  <c r="N41" i="74" s="1"/>
  <c r="M26" i="74"/>
  <c r="N26" i="74" s="1"/>
  <c r="M27" i="74" s="1"/>
  <c r="N22" i="74"/>
  <c r="N20" i="74"/>
  <c r="B103" i="45"/>
  <c r="B102" i="45"/>
  <c r="M48" i="74" l="1"/>
  <c r="N48" i="74" s="1"/>
  <c r="N44" i="74"/>
  <c r="M45" i="74" s="1"/>
  <c r="N45" i="74" s="1"/>
  <c r="M39" i="74"/>
  <c r="N39" i="74" s="1"/>
  <c r="F37" i="38"/>
  <c r="F29" i="38"/>
  <c r="F13" i="38"/>
  <c r="F9" i="38"/>
  <c r="M60" i="38"/>
  <c r="G60" i="38"/>
  <c r="K22" i="38"/>
  <c r="M36" i="74"/>
  <c r="N36" i="74" s="1"/>
  <c r="M30" i="74"/>
  <c r="N30" i="74" s="1"/>
  <c r="M42" i="74"/>
  <c r="N42" i="74" s="1"/>
  <c r="N27" i="74"/>
  <c r="M51" i="74"/>
  <c r="N51" i="74" s="1"/>
  <c r="M33" i="74"/>
  <c r="N33" i="74" s="1"/>
  <c r="C99" i="9" l="1"/>
  <c r="C98" i="9"/>
  <c r="D25" i="11" l="1"/>
  <c r="D26" i="11"/>
  <c r="D27" i="11"/>
  <c r="D28" i="11"/>
  <c r="D29" i="11"/>
  <c r="D30" i="11"/>
  <c r="D31" i="11"/>
  <c r="D32" i="11"/>
  <c r="D33" i="11"/>
  <c r="D24" i="11"/>
  <c r="D15" i="11"/>
  <c r="D16" i="11"/>
  <c r="D17" i="11"/>
  <c r="D18" i="11"/>
  <c r="D19" i="11"/>
  <c r="D20" i="11"/>
  <c r="D21" i="11"/>
  <c r="D22" i="11"/>
  <c r="D14" i="11"/>
  <c r="D5" i="11"/>
  <c r="D6" i="11"/>
  <c r="D7" i="11"/>
  <c r="D8" i="11"/>
  <c r="D9" i="11"/>
  <c r="D10" i="11"/>
  <c r="D4" i="11"/>
  <c r="J19" i="50" l="1"/>
  <c r="C9" i="50" l="1"/>
  <c r="C8" i="50"/>
  <c r="N5" i="42" l="1"/>
  <c r="N6" i="42"/>
  <c r="N7" i="42"/>
  <c r="N8" i="42"/>
  <c r="N9" i="42"/>
  <c r="N10" i="42"/>
  <c r="N11" i="42"/>
  <c r="N12" i="42"/>
  <c r="N13" i="42"/>
  <c r="N14" i="42"/>
  <c r="N15" i="42"/>
  <c r="N16" i="42"/>
  <c r="N18" i="42"/>
  <c r="N19" i="42"/>
  <c r="N4" i="42"/>
  <c r="B80" i="45" l="1"/>
  <c r="B87" i="45" l="1"/>
  <c r="N46" i="42" l="1"/>
  <c r="O46" i="42"/>
  <c r="P46" i="42"/>
  <c r="Q46" i="42"/>
  <c r="R46" i="42"/>
  <c r="S46" i="42"/>
  <c r="T46" i="42"/>
  <c r="U46" i="42"/>
  <c r="V46" i="42"/>
  <c r="W46" i="42"/>
  <c r="X46" i="42"/>
  <c r="Y46" i="42"/>
  <c r="N47" i="42"/>
  <c r="O47" i="42"/>
  <c r="P47" i="42"/>
  <c r="Q47" i="42"/>
  <c r="R47" i="42"/>
  <c r="S47" i="42"/>
  <c r="T47" i="42"/>
  <c r="U47" i="42"/>
  <c r="V47" i="42"/>
  <c r="W47" i="42"/>
  <c r="X47" i="42"/>
  <c r="Y47" i="42"/>
  <c r="N48" i="42"/>
  <c r="O48" i="42"/>
  <c r="P48" i="42"/>
  <c r="Q48" i="42"/>
  <c r="R48" i="42"/>
  <c r="S48" i="42"/>
  <c r="T48" i="42"/>
  <c r="U48" i="42"/>
  <c r="V48" i="42"/>
  <c r="W48" i="42"/>
  <c r="X48" i="42"/>
  <c r="Y48" i="42"/>
  <c r="Y45" i="42"/>
  <c r="X45" i="42"/>
  <c r="W45" i="42"/>
  <c r="V45" i="42"/>
  <c r="U45" i="42"/>
  <c r="T45" i="42"/>
  <c r="S45" i="42"/>
  <c r="R45" i="42"/>
  <c r="Q45" i="42"/>
  <c r="P45" i="42"/>
  <c r="O45" i="42"/>
  <c r="N45" i="42"/>
  <c r="N35" i="42"/>
  <c r="O35" i="42"/>
  <c r="P35" i="42"/>
  <c r="Q35" i="42"/>
  <c r="R35" i="42"/>
  <c r="S35" i="42"/>
  <c r="T35" i="42"/>
  <c r="U35" i="42"/>
  <c r="V35" i="42"/>
  <c r="W35" i="42"/>
  <c r="X35" i="42"/>
  <c r="Y35" i="42"/>
  <c r="N36" i="42"/>
  <c r="O36" i="42"/>
  <c r="P36" i="42"/>
  <c r="Q36" i="42"/>
  <c r="R36" i="42"/>
  <c r="S36" i="42"/>
  <c r="T36" i="42"/>
  <c r="U36" i="42"/>
  <c r="V36" i="42"/>
  <c r="W36" i="42"/>
  <c r="X36" i="42"/>
  <c r="Y36" i="42"/>
  <c r="N52" i="42"/>
  <c r="O52" i="42"/>
  <c r="P52" i="42"/>
  <c r="Q52" i="42"/>
  <c r="R52" i="42"/>
  <c r="S52" i="42"/>
  <c r="T52" i="42"/>
  <c r="U52" i="42"/>
  <c r="V52" i="42"/>
  <c r="W52" i="42"/>
  <c r="X52" i="42"/>
  <c r="Y52" i="42"/>
  <c r="N37" i="42"/>
  <c r="O37" i="42"/>
  <c r="P37" i="42"/>
  <c r="Q37" i="42"/>
  <c r="R37" i="42"/>
  <c r="S37" i="42"/>
  <c r="T37" i="42"/>
  <c r="U37" i="42"/>
  <c r="V37" i="42"/>
  <c r="W37" i="42"/>
  <c r="X37" i="42"/>
  <c r="Y37" i="42"/>
  <c r="N38" i="42"/>
  <c r="O38" i="42"/>
  <c r="P38" i="42"/>
  <c r="Q38" i="42"/>
  <c r="R38" i="42"/>
  <c r="S38" i="42"/>
  <c r="T38" i="42"/>
  <c r="U38" i="42"/>
  <c r="V38" i="42"/>
  <c r="W38" i="42"/>
  <c r="X38" i="42"/>
  <c r="Y38" i="42"/>
  <c r="Y34" i="42"/>
  <c r="X34" i="42"/>
  <c r="W34" i="42"/>
  <c r="V34" i="42"/>
  <c r="U34" i="42"/>
  <c r="T34" i="42"/>
  <c r="S34" i="42"/>
  <c r="R34" i="42"/>
  <c r="Q34" i="42"/>
  <c r="P34" i="42"/>
  <c r="O34" i="42"/>
  <c r="N34" i="42"/>
  <c r="X5" i="42"/>
  <c r="X6" i="42"/>
  <c r="X7" i="42"/>
  <c r="X8" i="42"/>
  <c r="X9" i="42"/>
  <c r="X10" i="42"/>
  <c r="X11" i="42"/>
  <c r="X12" i="42"/>
  <c r="X13" i="42"/>
  <c r="X14" i="42"/>
  <c r="X15" i="42"/>
  <c r="X16" i="42"/>
  <c r="X17" i="42"/>
  <c r="X18" i="42"/>
  <c r="X19" i="42"/>
  <c r="Y5" i="42"/>
  <c r="Y6" i="42"/>
  <c r="Y7" i="42"/>
  <c r="Y8" i="42"/>
  <c r="Y9" i="42"/>
  <c r="Y10" i="42"/>
  <c r="Y11" i="42"/>
  <c r="Y12" i="42"/>
  <c r="Y13" i="42"/>
  <c r="Y14" i="42"/>
  <c r="Y15" i="42"/>
  <c r="Y16" i="42"/>
  <c r="Y17" i="42"/>
  <c r="Y18" i="42"/>
  <c r="Y19" i="42"/>
  <c r="Y4" i="42"/>
  <c r="X4" i="42"/>
  <c r="W5" i="42"/>
  <c r="W6" i="42"/>
  <c r="W7" i="42"/>
  <c r="W8" i="42"/>
  <c r="W9" i="42"/>
  <c r="W10" i="42"/>
  <c r="W11" i="42"/>
  <c r="W12" i="42"/>
  <c r="W13" i="42"/>
  <c r="W14" i="42"/>
  <c r="W15" i="42"/>
  <c r="W16" i="42"/>
  <c r="W17" i="42"/>
  <c r="W18" i="42"/>
  <c r="W19" i="42"/>
  <c r="W4" i="42"/>
  <c r="V5" i="42"/>
  <c r="V6" i="42"/>
  <c r="V7" i="42"/>
  <c r="V8" i="42"/>
  <c r="V9" i="42"/>
  <c r="V10" i="42"/>
  <c r="V11" i="42"/>
  <c r="V12" i="42"/>
  <c r="V13" i="42"/>
  <c r="V14" i="42"/>
  <c r="V15" i="42"/>
  <c r="V16" i="42"/>
  <c r="V17" i="42"/>
  <c r="V18" i="42"/>
  <c r="V19" i="42"/>
  <c r="V4" i="42"/>
  <c r="U5" i="42"/>
  <c r="U6" i="42"/>
  <c r="U7" i="42"/>
  <c r="U8" i="42"/>
  <c r="U9" i="42"/>
  <c r="U10" i="42"/>
  <c r="U11" i="42"/>
  <c r="U12" i="42"/>
  <c r="U13" i="42"/>
  <c r="U14" i="42"/>
  <c r="U15" i="42"/>
  <c r="U16" i="42"/>
  <c r="U17" i="42"/>
  <c r="U18" i="42"/>
  <c r="U19" i="42"/>
  <c r="U4" i="42"/>
  <c r="T5" i="42"/>
  <c r="T6" i="42"/>
  <c r="T7" i="42"/>
  <c r="T8" i="42"/>
  <c r="T9" i="42"/>
  <c r="T10" i="42"/>
  <c r="T11" i="42"/>
  <c r="T12" i="42"/>
  <c r="T13" i="42"/>
  <c r="T14" i="42"/>
  <c r="T15" i="42"/>
  <c r="T16" i="42"/>
  <c r="T17" i="42"/>
  <c r="T18" i="42"/>
  <c r="T19" i="42"/>
  <c r="T4" i="42"/>
  <c r="S5" i="42"/>
  <c r="S6" i="42"/>
  <c r="S7" i="42"/>
  <c r="S8" i="42"/>
  <c r="S9" i="42"/>
  <c r="S10" i="42"/>
  <c r="S11" i="42"/>
  <c r="S12" i="42"/>
  <c r="S13" i="42"/>
  <c r="S14" i="42"/>
  <c r="S15" i="42"/>
  <c r="S16" i="42"/>
  <c r="S17" i="42"/>
  <c r="S18" i="42"/>
  <c r="S19" i="42"/>
  <c r="S4" i="42"/>
  <c r="Q5" i="42"/>
  <c r="R5" i="42"/>
  <c r="Q6" i="42"/>
  <c r="R6" i="42"/>
  <c r="Q7" i="42"/>
  <c r="R7" i="42"/>
  <c r="Q8" i="42"/>
  <c r="R8" i="42"/>
  <c r="Q9" i="42"/>
  <c r="R9" i="42"/>
  <c r="Q10" i="42"/>
  <c r="R10" i="42"/>
  <c r="Q11" i="42"/>
  <c r="R11" i="42"/>
  <c r="Q12" i="42"/>
  <c r="R12" i="42"/>
  <c r="Q13" i="42"/>
  <c r="R13" i="42"/>
  <c r="Q14" i="42"/>
  <c r="R14" i="42"/>
  <c r="Q15" i="42"/>
  <c r="R15" i="42"/>
  <c r="Q16" i="42"/>
  <c r="R16" i="42"/>
  <c r="Q17" i="42"/>
  <c r="R17" i="42"/>
  <c r="Q18" i="42"/>
  <c r="R18" i="42"/>
  <c r="Q19" i="42"/>
  <c r="R19" i="42"/>
  <c r="R4" i="42"/>
  <c r="Q4" i="42"/>
  <c r="P5" i="42"/>
  <c r="P6" i="42"/>
  <c r="P7" i="42"/>
  <c r="P8" i="42"/>
  <c r="P9" i="42"/>
  <c r="P10" i="42"/>
  <c r="P11" i="42"/>
  <c r="P12" i="42"/>
  <c r="P13" i="42"/>
  <c r="P14" i="42"/>
  <c r="P15" i="42"/>
  <c r="P16" i="42"/>
  <c r="P17" i="42"/>
  <c r="P18" i="42"/>
  <c r="P19" i="42"/>
  <c r="P4" i="42"/>
  <c r="O5" i="42"/>
  <c r="O6" i="42"/>
  <c r="O7" i="42"/>
  <c r="O8" i="42"/>
  <c r="O9" i="42"/>
  <c r="O10" i="42"/>
  <c r="O11" i="42"/>
  <c r="O12" i="42"/>
  <c r="O13" i="42"/>
  <c r="O14" i="42"/>
  <c r="O15" i="42"/>
  <c r="O16" i="42"/>
  <c r="O17" i="42"/>
  <c r="O18" i="42"/>
  <c r="O19" i="42"/>
  <c r="O4" i="42"/>
  <c r="W3" i="14" l="1"/>
  <c r="I10" i="13" s="1"/>
  <c r="W4" i="14"/>
  <c r="I11" i="13" s="1"/>
  <c r="W5" i="14"/>
  <c r="I12" i="13" s="1"/>
  <c r="W6" i="14"/>
  <c r="I13" i="13" s="1"/>
  <c r="W7" i="14"/>
  <c r="I14" i="13" s="1"/>
  <c r="W8" i="14"/>
  <c r="I15" i="13" s="1"/>
  <c r="W9" i="14"/>
  <c r="I16" i="13" s="1"/>
  <c r="W10" i="14"/>
  <c r="I17" i="13" s="1"/>
  <c r="W11" i="14"/>
  <c r="I18" i="13" s="1"/>
  <c r="W12" i="14"/>
  <c r="I19" i="13" s="1"/>
  <c r="W13" i="14"/>
  <c r="I20" i="13" s="1"/>
  <c r="W14" i="14"/>
  <c r="I21" i="13" s="1"/>
  <c r="W15" i="14"/>
  <c r="I22" i="13" s="1"/>
  <c r="W16" i="14"/>
  <c r="I23" i="13" s="1"/>
  <c r="W17" i="14"/>
  <c r="I24" i="13" s="1"/>
  <c r="W18" i="14"/>
  <c r="I25" i="13" s="1"/>
  <c r="W19" i="14"/>
  <c r="I26" i="13" s="1"/>
  <c r="W20" i="14"/>
  <c r="I27" i="13" s="1"/>
  <c r="W21" i="14"/>
  <c r="I28" i="13" s="1"/>
  <c r="W2" i="14"/>
  <c r="I9" i="13" s="1"/>
  <c r="C32" i="59" l="1"/>
  <c r="C31" i="59"/>
  <c r="C29" i="59"/>
  <c r="C28" i="59"/>
  <c r="C61" i="45"/>
  <c r="C60" i="45"/>
  <c r="C59" i="45"/>
  <c r="C58" i="45"/>
  <c r="C56" i="45"/>
  <c r="C55" i="45"/>
  <c r="C54" i="45"/>
  <c r="C53" i="45"/>
  <c r="B47" i="59" l="1"/>
  <c r="D24" i="5" s="1"/>
  <c r="C40" i="5"/>
  <c r="C41" i="5"/>
  <c r="C42" i="5"/>
  <c r="C43" i="5"/>
  <c r="C44" i="5"/>
  <c r="C19" i="60" l="1"/>
  <c r="C18" i="60"/>
  <c r="B50" i="59"/>
  <c r="D27" i="5" s="1"/>
  <c r="I10" i="60"/>
  <c r="G10" i="60"/>
  <c r="G9" i="60"/>
  <c r="I23" i="33" l="1"/>
  <c r="C46" i="52" l="1"/>
  <c r="C9" i="60"/>
  <c r="C10" i="60"/>
  <c r="C8" i="60"/>
  <c r="C39" i="59"/>
  <c r="C30" i="59"/>
  <c r="C33" i="59"/>
  <c r="C34" i="59"/>
  <c r="C35" i="59"/>
  <c r="C27" i="59"/>
  <c r="B49" i="59" s="1"/>
  <c r="D26" i="5" s="1"/>
  <c r="E37" i="59"/>
  <c r="E38" i="59"/>
  <c r="E36" i="59"/>
  <c r="C42" i="52"/>
  <c r="C41" i="52"/>
  <c r="C40" i="52"/>
  <c r="C39" i="52"/>
  <c r="C38" i="52"/>
  <c r="C37" i="52"/>
  <c r="C36" i="52"/>
  <c r="C34" i="52"/>
  <c r="C35" i="52"/>
  <c r="C22" i="52"/>
  <c r="E34" i="52"/>
  <c r="B58" i="52" l="1"/>
  <c r="D85" i="33" s="1"/>
  <c r="B59" i="52"/>
  <c r="C40" i="60" l="1"/>
  <c r="C54" i="9" s="1"/>
  <c r="B48" i="59"/>
  <c r="D25" i="5" s="1"/>
  <c r="D35" i="60"/>
  <c r="D41" i="50"/>
  <c r="C47" i="50" l="1"/>
  <c r="C130" i="9" s="1"/>
  <c r="AB1" i="61" l="1"/>
  <c r="F1" i="61"/>
  <c r="D1" i="61"/>
  <c r="B1" i="61"/>
  <c r="N4" i="11" l="1"/>
  <c r="O4" i="11"/>
  <c r="B78" i="45"/>
  <c r="B79" i="45"/>
  <c r="B81" i="45"/>
  <c r="B83" i="45"/>
  <c r="C125" i="9" s="1"/>
  <c r="B84" i="45"/>
  <c r="C126" i="9" s="1"/>
  <c r="B85" i="45"/>
  <c r="C127" i="9" s="1"/>
  <c r="B82" i="45"/>
  <c r="B77" i="45"/>
  <c r="C124" i="9" l="1"/>
  <c r="N20" i="33"/>
  <c r="N19" i="33"/>
  <c r="N18" i="33"/>
  <c r="N26" i="33"/>
  <c r="N25" i="33"/>
  <c r="N24" i="33"/>
  <c r="N23" i="33"/>
  <c r="N17" i="33"/>
  <c r="K23" i="39"/>
  <c r="K25" i="39"/>
  <c r="K26" i="39"/>
  <c r="K27" i="39"/>
  <c r="K24" i="39"/>
  <c r="O25" i="39"/>
  <c r="O26" i="39"/>
  <c r="O27" i="39"/>
  <c r="O24" i="39"/>
  <c r="F18" i="60" l="1"/>
  <c r="E31" i="17" l="1"/>
  <c r="E26" i="17"/>
  <c r="E25" i="17"/>
  <c r="C43" i="56" l="1"/>
  <c r="D78" i="33"/>
  <c r="D74" i="39"/>
  <c r="C120" i="9" l="1"/>
  <c r="C119" i="9"/>
  <c r="B74" i="45"/>
  <c r="C116" i="9" s="1"/>
  <c r="B45" i="39" l="1"/>
  <c r="B45" i="33" s="1"/>
  <c r="B46" i="39"/>
  <c r="B46" i="33" s="1"/>
  <c r="C11" i="60" l="1"/>
  <c r="C41" i="60"/>
  <c r="C55" i="9" s="1"/>
  <c r="C38" i="60"/>
  <c r="C52" i="9" s="1"/>
  <c r="C39" i="60" l="1"/>
  <c r="C53" i="9" s="1"/>
  <c r="C12" i="50"/>
  <c r="J17" i="50"/>
  <c r="K17" i="50"/>
  <c r="G31" i="50"/>
  <c r="C27" i="52"/>
  <c r="D27" i="50" l="1"/>
  <c r="B57" i="52"/>
  <c r="D83" i="33" s="1"/>
  <c r="C49" i="50"/>
  <c r="C132" i="9" s="1"/>
  <c r="D86" i="33"/>
  <c r="D84" i="33"/>
  <c r="C45" i="50"/>
  <c r="C128" i="9" s="1"/>
  <c r="D82" i="33"/>
  <c r="C46" i="50" l="1"/>
  <c r="C129" i="9" s="1"/>
  <c r="D3" i="61" l="1"/>
  <c r="J3" i="61" l="1"/>
  <c r="N3" i="61"/>
  <c r="R3" i="61"/>
  <c r="V3" i="61"/>
  <c r="Z3" i="61"/>
  <c r="AD3" i="61"/>
  <c r="K3" i="61"/>
  <c r="S3" i="61"/>
  <c r="AA3" i="61"/>
  <c r="L3" i="61"/>
  <c r="P3" i="61"/>
  <c r="T3" i="61"/>
  <c r="X3" i="61"/>
  <c r="AB3" i="61"/>
  <c r="H3" i="61"/>
  <c r="I3" i="61"/>
  <c r="M3" i="61"/>
  <c r="Q3" i="61"/>
  <c r="U3" i="61"/>
  <c r="Y3" i="61"/>
  <c r="AC3" i="61"/>
  <c r="O3" i="61"/>
  <c r="W3" i="61"/>
  <c r="AE3" i="61"/>
  <c r="F3" i="61"/>
  <c r="K35" i="57" l="1"/>
  <c r="B35" i="57"/>
  <c r="K34" i="57"/>
  <c r="H34" i="57"/>
  <c r="F34" i="57"/>
  <c r="D34" i="57"/>
  <c r="B34" i="57"/>
  <c r="K33" i="57"/>
  <c r="H33" i="57"/>
  <c r="F33" i="57"/>
  <c r="D33" i="57"/>
  <c r="B33" i="57"/>
  <c r="K32" i="57"/>
  <c r="H32" i="57"/>
  <c r="F32" i="57"/>
  <c r="D32" i="57"/>
  <c r="B32" i="57"/>
  <c r="K31" i="57"/>
  <c r="H31" i="57"/>
  <c r="F31" i="57"/>
  <c r="D31" i="57"/>
  <c r="B31" i="57"/>
  <c r="K30" i="57"/>
  <c r="H30" i="57"/>
  <c r="F30" i="57"/>
  <c r="D30" i="57"/>
  <c r="B30" i="57"/>
  <c r="K29" i="57"/>
  <c r="H29" i="57"/>
  <c r="F29" i="57"/>
  <c r="D29" i="57"/>
  <c r="B29" i="57"/>
  <c r="K28" i="57"/>
  <c r="H28" i="57"/>
  <c r="F28" i="57"/>
  <c r="D28" i="57"/>
  <c r="B28" i="57"/>
  <c r="K27" i="57"/>
  <c r="H27" i="57"/>
  <c r="F27" i="57"/>
  <c r="D27" i="57"/>
  <c r="B27" i="57"/>
  <c r="K26" i="57"/>
  <c r="H26" i="57"/>
  <c r="F26" i="57"/>
  <c r="D26" i="57"/>
  <c r="B26" i="57"/>
  <c r="K25" i="57"/>
  <c r="H25" i="57"/>
  <c r="F25" i="57"/>
  <c r="D25" i="57"/>
  <c r="B25" i="57"/>
  <c r="K24" i="57"/>
  <c r="H24" i="57"/>
  <c r="F24" i="57"/>
  <c r="D24" i="57"/>
  <c r="B24" i="57"/>
  <c r="K23" i="57"/>
  <c r="H23" i="57"/>
  <c r="F23" i="57"/>
  <c r="D23" i="57"/>
  <c r="B23" i="57"/>
  <c r="K22" i="57"/>
  <c r="H22" i="57"/>
  <c r="F22" i="57"/>
  <c r="D22" i="57"/>
  <c r="B22" i="57"/>
  <c r="K21" i="57"/>
  <c r="H21" i="57"/>
  <c r="F21" i="57"/>
  <c r="D21" i="57"/>
  <c r="B21" i="57"/>
  <c r="K20" i="57"/>
  <c r="H20" i="57"/>
  <c r="F20" i="57"/>
  <c r="D20" i="57"/>
  <c r="B20" i="57"/>
  <c r="K19" i="57"/>
  <c r="H19" i="57"/>
  <c r="F19" i="57"/>
  <c r="D19" i="57"/>
  <c r="B19" i="57"/>
  <c r="K18" i="57"/>
  <c r="H18" i="57"/>
  <c r="F18" i="57"/>
  <c r="D18" i="57"/>
  <c r="B18" i="57"/>
  <c r="K17" i="57"/>
  <c r="H17" i="57"/>
  <c r="F17" i="57"/>
  <c r="D17" i="57"/>
  <c r="B17" i="57"/>
  <c r="K16" i="57"/>
  <c r="H16" i="57"/>
  <c r="F16" i="57"/>
  <c r="D16" i="57"/>
  <c r="B16" i="57"/>
  <c r="K15" i="57"/>
  <c r="H15" i="57"/>
  <c r="F15" i="57"/>
  <c r="D15" i="57"/>
  <c r="B15" i="57"/>
  <c r="K14" i="57"/>
  <c r="H14" i="57"/>
  <c r="F14" i="57"/>
  <c r="D14" i="57"/>
  <c r="B14" i="57"/>
  <c r="K13" i="57"/>
  <c r="H13" i="57"/>
  <c r="F13" i="57"/>
  <c r="D13" i="57"/>
  <c r="B13" i="57"/>
  <c r="K12" i="57"/>
  <c r="H12" i="57"/>
  <c r="F12" i="57"/>
  <c r="D12" i="57"/>
  <c r="B12" i="57"/>
  <c r="K11" i="57"/>
  <c r="H11" i="57"/>
  <c r="F11" i="57"/>
  <c r="D11" i="57"/>
  <c r="B11" i="57"/>
  <c r="K10" i="57"/>
  <c r="H10" i="57"/>
  <c r="F10" i="57"/>
  <c r="D10" i="57"/>
  <c r="B10" i="57"/>
  <c r="K9" i="57"/>
  <c r="H9" i="57"/>
  <c r="F9" i="57"/>
  <c r="D9" i="57"/>
  <c r="B9" i="57"/>
  <c r="K8" i="57"/>
  <c r="H8" i="57"/>
  <c r="F8" i="57"/>
  <c r="D8" i="57"/>
  <c r="B8" i="57"/>
  <c r="K7" i="57"/>
  <c r="H7" i="57"/>
  <c r="F7" i="57"/>
  <c r="D7" i="57"/>
  <c r="B7" i="57"/>
  <c r="K6" i="57"/>
  <c r="H6" i="57"/>
  <c r="F6" i="57"/>
  <c r="D6" i="57"/>
  <c r="B6" i="57"/>
  <c r="K5" i="57"/>
  <c r="H5" i="57"/>
  <c r="F5" i="57"/>
  <c r="D5" i="57"/>
  <c r="B5" i="57"/>
  <c r="K4" i="57"/>
  <c r="H4" i="57"/>
  <c r="F4" i="57"/>
  <c r="D4" i="57"/>
  <c r="B4" i="57"/>
  <c r="D18" i="5" l="1"/>
  <c r="C75" i="9" s="1"/>
  <c r="D17" i="5"/>
  <c r="C74" i="9" s="1"/>
  <c r="D16" i="5"/>
  <c r="C73" i="9" s="1"/>
  <c r="D19" i="5"/>
  <c r="C76" i="9" s="1"/>
  <c r="D15" i="5"/>
  <c r="C72" i="9" s="1"/>
  <c r="B35" i="55"/>
  <c r="R34" i="55"/>
  <c r="P34" i="55"/>
  <c r="N34" i="55"/>
  <c r="L34" i="55"/>
  <c r="J34" i="55"/>
  <c r="H34" i="55"/>
  <c r="F34" i="55"/>
  <c r="D34" i="55"/>
  <c r="B34" i="55"/>
  <c r="R33" i="55"/>
  <c r="P33" i="55"/>
  <c r="N33" i="55"/>
  <c r="L33" i="55"/>
  <c r="J33" i="55"/>
  <c r="H33" i="55"/>
  <c r="F33" i="55"/>
  <c r="D33" i="55"/>
  <c r="B33" i="55"/>
  <c r="R32" i="55"/>
  <c r="P32" i="55"/>
  <c r="N32" i="55"/>
  <c r="L32" i="55"/>
  <c r="J32" i="55"/>
  <c r="H32" i="55"/>
  <c r="F32" i="55"/>
  <c r="D32" i="55"/>
  <c r="B32" i="55"/>
  <c r="R31" i="55"/>
  <c r="P31" i="55"/>
  <c r="N31" i="55"/>
  <c r="L31" i="55"/>
  <c r="J31" i="55"/>
  <c r="H31" i="55"/>
  <c r="F31" i="55"/>
  <c r="D31" i="55"/>
  <c r="B31" i="55"/>
  <c r="R30" i="55"/>
  <c r="P30" i="55"/>
  <c r="N30" i="55"/>
  <c r="L30" i="55"/>
  <c r="J30" i="55"/>
  <c r="H30" i="55"/>
  <c r="F30" i="55"/>
  <c r="D30" i="55"/>
  <c r="B30" i="55"/>
  <c r="R29" i="55"/>
  <c r="P29" i="55"/>
  <c r="N29" i="55"/>
  <c r="L29" i="55"/>
  <c r="J29" i="55"/>
  <c r="H29" i="55"/>
  <c r="F29" i="55"/>
  <c r="D29" i="55"/>
  <c r="B29" i="55"/>
  <c r="R28" i="55"/>
  <c r="P28" i="55"/>
  <c r="N28" i="55"/>
  <c r="L28" i="55"/>
  <c r="J28" i="55"/>
  <c r="H28" i="55"/>
  <c r="F28" i="55"/>
  <c r="D28" i="55"/>
  <c r="B28" i="55"/>
  <c r="R27" i="55"/>
  <c r="P27" i="55"/>
  <c r="N27" i="55"/>
  <c r="L27" i="55"/>
  <c r="J27" i="55"/>
  <c r="H27" i="55"/>
  <c r="F27" i="55"/>
  <c r="D27" i="55"/>
  <c r="B27" i="55"/>
  <c r="R26" i="55"/>
  <c r="P26" i="55"/>
  <c r="N26" i="55"/>
  <c r="L26" i="55"/>
  <c r="J26" i="55"/>
  <c r="H26" i="55"/>
  <c r="F26" i="55"/>
  <c r="D26" i="55"/>
  <c r="B26" i="55"/>
  <c r="R25" i="55"/>
  <c r="P25" i="55"/>
  <c r="N25" i="55"/>
  <c r="L25" i="55"/>
  <c r="J25" i="55"/>
  <c r="H25" i="55"/>
  <c r="F25" i="55"/>
  <c r="D25" i="55"/>
  <c r="B25" i="55"/>
  <c r="R24" i="55"/>
  <c r="P24" i="55"/>
  <c r="N24" i="55"/>
  <c r="L24" i="55"/>
  <c r="J24" i="55"/>
  <c r="H24" i="55"/>
  <c r="F24" i="55"/>
  <c r="D24" i="55"/>
  <c r="B24" i="55"/>
  <c r="R23" i="55"/>
  <c r="P23" i="55"/>
  <c r="N23" i="55"/>
  <c r="L23" i="55"/>
  <c r="J23" i="55"/>
  <c r="H23" i="55"/>
  <c r="F23" i="55"/>
  <c r="D23" i="55"/>
  <c r="B23" i="55"/>
  <c r="R22" i="55"/>
  <c r="P22" i="55"/>
  <c r="N22" i="55"/>
  <c r="L22" i="55"/>
  <c r="J22" i="55"/>
  <c r="H22" i="55"/>
  <c r="F22" i="55"/>
  <c r="D22" i="55"/>
  <c r="B22" i="55"/>
  <c r="R21" i="55"/>
  <c r="P21" i="55"/>
  <c r="N21" i="55"/>
  <c r="L21" i="55"/>
  <c r="J21" i="55"/>
  <c r="H21" i="55"/>
  <c r="F21" i="55"/>
  <c r="D21" i="55"/>
  <c r="B21" i="55"/>
  <c r="R20" i="55"/>
  <c r="P20" i="55"/>
  <c r="N20" i="55"/>
  <c r="L20" i="55"/>
  <c r="J20" i="55"/>
  <c r="H20" i="55"/>
  <c r="F20" i="55"/>
  <c r="D20" i="55"/>
  <c r="B20" i="55"/>
  <c r="R19" i="55"/>
  <c r="P19" i="55"/>
  <c r="N19" i="55"/>
  <c r="L19" i="55"/>
  <c r="J19" i="55"/>
  <c r="H19" i="55"/>
  <c r="F19" i="55"/>
  <c r="D19" i="55"/>
  <c r="B19" i="55"/>
  <c r="R18" i="55"/>
  <c r="P18" i="55"/>
  <c r="N18" i="55"/>
  <c r="L18" i="55"/>
  <c r="J18" i="55"/>
  <c r="H18" i="55"/>
  <c r="F18" i="55"/>
  <c r="D18" i="55"/>
  <c r="B18" i="55"/>
  <c r="R17" i="55"/>
  <c r="P17" i="55"/>
  <c r="N17" i="55"/>
  <c r="L17" i="55"/>
  <c r="J17" i="55"/>
  <c r="H17" i="55"/>
  <c r="F17" i="55"/>
  <c r="D17" i="55"/>
  <c r="B17" i="55"/>
  <c r="R16" i="55"/>
  <c r="P16" i="55"/>
  <c r="N16" i="55"/>
  <c r="L16" i="55"/>
  <c r="J16" i="55"/>
  <c r="H16" i="55"/>
  <c r="F16" i="55"/>
  <c r="D16" i="55"/>
  <c r="B16" i="55"/>
  <c r="R15" i="55"/>
  <c r="P15" i="55"/>
  <c r="N15" i="55"/>
  <c r="L15" i="55"/>
  <c r="J15" i="55"/>
  <c r="H15" i="55"/>
  <c r="F15" i="55"/>
  <c r="D15" i="55"/>
  <c r="B15" i="55"/>
  <c r="R14" i="55"/>
  <c r="P14" i="55"/>
  <c r="N14" i="55"/>
  <c r="L14" i="55"/>
  <c r="J14" i="55"/>
  <c r="H14" i="55"/>
  <c r="F14" i="55"/>
  <c r="D14" i="55"/>
  <c r="B14" i="55"/>
  <c r="R13" i="55"/>
  <c r="P13" i="55"/>
  <c r="N13" i="55"/>
  <c r="L13" i="55"/>
  <c r="J13" i="55"/>
  <c r="H13" i="55"/>
  <c r="F13" i="55"/>
  <c r="D13" i="55"/>
  <c r="B13" i="55"/>
  <c r="R12" i="55"/>
  <c r="P12" i="55"/>
  <c r="N12" i="55"/>
  <c r="L12" i="55"/>
  <c r="J12" i="55"/>
  <c r="H12" i="55"/>
  <c r="F12" i="55"/>
  <c r="D12" i="55"/>
  <c r="B12" i="55"/>
  <c r="R11" i="55"/>
  <c r="P11" i="55"/>
  <c r="N11" i="55"/>
  <c r="L11" i="55"/>
  <c r="J11" i="55"/>
  <c r="H11" i="55"/>
  <c r="F11" i="55"/>
  <c r="D11" i="55"/>
  <c r="B11" i="55"/>
  <c r="R10" i="55"/>
  <c r="P10" i="55"/>
  <c r="N10" i="55"/>
  <c r="L10" i="55"/>
  <c r="J10" i="55"/>
  <c r="H10" i="55"/>
  <c r="F10" i="55"/>
  <c r="D10" i="55"/>
  <c r="B10" i="55"/>
  <c r="R9" i="55"/>
  <c r="P9" i="55"/>
  <c r="N9" i="55"/>
  <c r="L9" i="55"/>
  <c r="J9" i="55"/>
  <c r="H9" i="55"/>
  <c r="F9" i="55"/>
  <c r="D9" i="55"/>
  <c r="B9" i="55"/>
  <c r="R8" i="55"/>
  <c r="P8" i="55"/>
  <c r="N8" i="55"/>
  <c r="L8" i="55"/>
  <c r="J8" i="55"/>
  <c r="H8" i="55"/>
  <c r="F8" i="55"/>
  <c r="D8" i="55"/>
  <c r="B8" i="55"/>
  <c r="R7" i="55"/>
  <c r="P7" i="55"/>
  <c r="N7" i="55"/>
  <c r="L7" i="55"/>
  <c r="J7" i="55"/>
  <c r="H7" i="55"/>
  <c r="F7" i="55"/>
  <c r="D7" i="55"/>
  <c r="B7" i="55"/>
  <c r="R6" i="55"/>
  <c r="P6" i="55"/>
  <c r="N6" i="55"/>
  <c r="L6" i="55"/>
  <c r="J6" i="55"/>
  <c r="H6" i="55"/>
  <c r="F6" i="55"/>
  <c r="D6" i="55"/>
  <c r="B6" i="55"/>
  <c r="R5" i="55"/>
  <c r="P5" i="55"/>
  <c r="N5" i="55"/>
  <c r="L5" i="55"/>
  <c r="J5" i="55"/>
  <c r="H5" i="55"/>
  <c r="F5" i="55"/>
  <c r="D5" i="55"/>
  <c r="B5" i="55"/>
  <c r="R4" i="55"/>
  <c r="P4" i="55"/>
  <c r="N4" i="55"/>
  <c r="L4" i="55"/>
  <c r="J4" i="55"/>
  <c r="H4" i="55"/>
  <c r="F4" i="55"/>
  <c r="D4" i="55"/>
  <c r="B4" i="55"/>
  <c r="D73" i="39" l="1"/>
  <c r="C141" i="9" s="1"/>
  <c r="D72" i="39"/>
  <c r="C140" i="9" s="1"/>
  <c r="D71" i="39"/>
  <c r="C139" i="9" s="1"/>
  <c r="D73" i="33"/>
  <c r="D77" i="33"/>
  <c r="D72" i="33"/>
  <c r="D76" i="33"/>
  <c r="D74" i="33"/>
  <c r="D71" i="33"/>
  <c r="D75" i="33"/>
  <c r="D68" i="39"/>
  <c r="D65" i="39"/>
  <c r="D67" i="39"/>
  <c r="D69" i="39"/>
  <c r="D66" i="39"/>
  <c r="D70" i="39"/>
  <c r="C138" i="9" s="1"/>
  <c r="C3" i="50" l="1"/>
  <c r="C2" i="50" l="1"/>
  <c r="C48" i="50" l="1"/>
  <c r="C131" i="9" s="1"/>
  <c r="C4" i="50"/>
  <c r="F3" i="50"/>
  <c r="F2" i="50"/>
  <c r="G2" i="50" l="1"/>
  <c r="F4" i="50"/>
  <c r="C134" i="9" l="1"/>
  <c r="C137" i="9"/>
  <c r="C136" i="9"/>
  <c r="C135" i="9"/>
  <c r="C133" i="9"/>
  <c r="D2" i="38" l="1"/>
  <c r="B5" i="45"/>
  <c r="H16" i="39" l="1"/>
  <c r="K9" i="33" s="1"/>
  <c r="I11" i="39"/>
  <c r="M4" i="33" s="1"/>
  <c r="I10" i="39"/>
  <c r="Y31" i="45" l="1"/>
  <c r="X31" i="45" s="1"/>
  <c r="K31" i="45"/>
  <c r="O31" i="45" s="1"/>
  <c r="Y30" i="45"/>
  <c r="X30" i="45" s="1"/>
  <c r="K30" i="45"/>
  <c r="O30" i="45" s="1"/>
  <c r="Y29" i="45"/>
  <c r="X29" i="45" s="1"/>
  <c r="K29" i="45"/>
  <c r="O29" i="45" s="1"/>
  <c r="Y28" i="45"/>
  <c r="K28" i="45"/>
  <c r="O28" i="45" s="1"/>
  <c r="G28" i="45"/>
  <c r="I28" i="45" s="1"/>
  <c r="Y27" i="45"/>
  <c r="K27" i="45"/>
  <c r="O27" i="45" s="1"/>
  <c r="G27" i="45"/>
  <c r="I27" i="45" s="1"/>
  <c r="Y26" i="45"/>
  <c r="K26" i="45"/>
  <c r="O26" i="45" s="1"/>
  <c r="G26" i="45"/>
  <c r="I26" i="45" s="1"/>
  <c r="Y25" i="45"/>
  <c r="K25" i="45"/>
  <c r="G25" i="45"/>
  <c r="I25" i="45" s="1"/>
  <c r="Y24" i="45"/>
  <c r="K24" i="45"/>
  <c r="O24" i="45" s="1"/>
  <c r="G24" i="45"/>
  <c r="I24" i="45" s="1"/>
  <c r="Y23" i="45"/>
  <c r="K23" i="45"/>
  <c r="O23" i="45" s="1"/>
  <c r="G23" i="45"/>
  <c r="I23" i="45" s="1"/>
  <c r="Y22" i="45"/>
  <c r="K22" i="45"/>
  <c r="O22" i="45" s="1"/>
  <c r="G22" i="45"/>
  <c r="I22" i="45" s="1"/>
  <c r="Y21" i="45"/>
  <c r="K21" i="45"/>
  <c r="G21" i="45"/>
  <c r="I21" i="45" s="1"/>
  <c r="Y20" i="45"/>
  <c r="X20" i="45" s="1"/>
  <c r="K20" i="45"/>
  <c r="O20" i="45" s="1"/>
  <c r="G20" i="45"/>
  <c r="I20" i="45" s="1"/>
  <c r="K18" i="45"/>
  <c r="L18" i="45" s="1"/>
  <c r="K14" i="45"/>
  <c r="C14" i="39"/>
  <c r="D9" i="33" s="1"/>
  <c r="S26" i="42"/>
  <c r="R26" i="42"/>
  <c r="Q26" i="42"/>
  <c r="P26" i="42"/>
  <c r="O26" i="42"/>
  <c r="N26" i="42"/>
  <c r="S25" i="42"/>
  <c r="R25" i="42"/>
  <c r="Q25" i="42"/>
  <c r="P25" i="42"/>
  <c r="O25" i="42"/>
  <c r="N25" i="42"/>
  <c r="C55" i="74"/>
  <c r="C54" i="74"/>
  <c r="H44" i="39"/>
  <c r="G44" i="39"/>
  <c r="H43" i="39"/>
  <c r="G43" i="39"/>
  <c r="H42" i="39"/>
  <c r="G42" i="39"/>
  <c r="K42" i="33" s="1"/>
  <c r="K40" i="39"/>
  <c r="G40" i="39"/>
  <c r="D40" i="39"/>
  <c r="G41" i="33" s="1"/>
  <c r="C40" i="39"/>
  <c r="E41" i="33" s="1"/>
  <c r="K39" i="39"/>
  <c r="G39" i="39"/>
  <c r="D39" i="39"/>
  <c r="G40" i="33" s="1"/>
  <c r="C39" i="39"/>
  <c r="E40" i="33" s="1"/>
  <c r="K38" i="39"/>
  <c r="G38" i="39"/>
  <c r="D38" i="39"/>
  <c r="G39" i="33" s="1"/>
  <c r="C38" i="39"/>
  <c r="E39" i="33" s="1"/>
  <c r="K37" i="39"/>
  <c r="G37" i="39"/>
  <c r="D37" i="39"/>
  <c r="G38" i="33" s="1"/>
  <c r="C37" i="39"/>
  <c r="E38" i="33" s="1"/>
  <c r="K36" i="39"/>
  <c r="G36" i="39"/>
  <c r="D36" i="39"/>
  <c r="G37" i="33" s="1"/>
  <c r="C36" i="39"/>
  <c r="E37" i="33" s="1"/>
  <c r="K35" i="39"/>
  <c r="G35" i="39"/>
  <c r="D35" i="39"/>
  <c r="G36" i="33" s="1"/>
  <c r="C35" i="39"/>
  <c r="E36" i="33" s="1"/>
  <c r="K34" i="39"/>
  <c r="G34" i="39"/>
  <c r="D34" i="39"/>
  <c r="G35" i="33" s="1"/>
  <c r="C34" i="39"/>
  <c r="E35" i="33" s="1"/>
  <c r="K33" i="39"/>
  <c r="G33" i="39"/>
  <c r="D33" i="39"/>
  <c r="G34" i="33" s="1"/>
  <c r="C33" i="39"/>
  <c r="E34" i="33" s="1"/>
  <c r="K32" i="39"/>
  <c r="G32" i="39"/>
  <c r="D32" i="39"/>
  <c r="G33" i="33" s="1"/>
  <c r="G30" i="39"/>
  <c r="K32" i="33" s="1"/>
  <c r="G22" i="39"/>
  <c r="E22" i="39"/>
  <c r="I35" i="33" s="1"/>
  <c r="J33" i="74" s="1"/>
  <c r="K14" i="38" s="1"/>
  <c r="G21" i="39"/>
  <c r="E21" i="39"/>
  <c r="J13" i="39"/>
  <c r="H13" i="39"/>
  <c r="Q63" i="38"/>
  <c r="P63" i="38"/>
  <c r="K63" i="38"/>
  <c r="J63" i="38"/>
  <c r="E63" i="38"/>
  <c r="D63" i="38"/>
  <c r="M58" i="38"/>
  <c r="G58" i="38"/>
  <c r="A58" i="38"/>
  <c r="Q52" i="38"/>
  <c r="P52" i="38"/>
  <c r="K52" i="38"/>
  <c r="J52" i="38"/>
  <c r="E52" i="38"/>
  <c r="D52" i="38"/>
  <c r="M47" i="38"/>
  <c r="G47" i="38"/>
  <c r="A47" i="38"/>
  <c r="J2" i="38"/>
  <c r="J1" i="38"/>
  <c r="J42" i="74"/>
  <c r="K26" i="38" s="1"/>
  <c r="J27" i="74"/>
  <c r="K6" i="38" s="1"/>
  <c r="F10" i="33"/>
  <c r="O1" i="33"/>
  <c r="M1" i="33"/>
  <c r="B101" i="45" l="1"/>
  <c r="K44" i="33"/>
  <c r="B100" i="45"/>
  <c r="K43" i="33"/>
  <c r="K41" i="33"/>
  <c r="C52" i="74" s="1"/>
  <c r="D38" i="38" s="1"/>
  <c r="K40" i="33"/>
  <c r="C49" i="74" s="1"/>
  <c r="D34" i="38" s="1"/>
  <c r="K39" i="33"/>
  <c r="C46" i="74" s="1"/>
  <c r="D30" i="38" s="1"/>
  <c r="K38" i="33"/>
  <c r="C43" i="74" s="1"/>
  <c r="D26" i="38" s="1"/>
  <c r="M62" i="38" s="1"/>
  <c r="K37" i="33"/>
  <c r="C40" i="74" s="1"/>
  <c r="D22" i="38" s="1"/>
  <c r="G62" i="38" s="1"/>
  <c r="K36" i="33"/>
  <c r="C37" i="74" s="1"/>
  <c r="D18" i="38" s="1"/>
  <c r="A62" i="38" s="1"/>
  <c r="K35" i="33"/>
  <c r="C34" i="74" s="1"/>
  <c r="D14" i="38" s="1"/>
  <c r="M51" i="38" s="1"/>
  <c r="K34" i="33"/>
  <c r="C31" i="74" s="1"/>
  <c r="D10" i="38" s="1"/>
  <c r="G51" i="38" s="1"/>
  <c r="K33" i="33"/>
  <c r="C28" i="74" s="1"/>
  <c r="D6" i="38" s="1"/>
  <c r="A51" i="38" s="1"/>
  <c r="F18" i="33"/>
  <c r="N35" i="33"/>
  <c r="E18" i="33"/>
  <c r="C18" i="33" s="1"/>
  <c r="G18" i="33"/>
  <c r="N34" i="33"/>
  <c r="G17" i="33"/>
  <c r="I34" i="33"/>
  <c r="J30" i="74" s="1"/>
  <c r="K10" i="38" s="1"/>
  <c r="E17" i="33"/>
  <c r="O6" i="33"/>
  <c r="B99" i="45"/>
  <c r="C100" i="9"/>
  <c r="C102" i="9"/>
  <c r="C101" i="9"/>
  <c r="X23" i="45"/>
  <c r="H23" i="45"/>
  <c r="H35" i="39" s="1"/>
  <c r="M36" i="33" s="1"/>
  <c r="X24" i="45"/>
  <c r="H24" i="45"/>
  <c r="H36" i="39" s="1"/>
  <c r="M37" i="33" s="1"/>
  <c r="X25" i="45"/>
  <c r="H25" i="45"/>
  <c r="H37" i="39" s="1"/>
  <c r="M38" i="33" s="1"/>
  <c r="X26" i="45"/>
  <c r="H26" i="45"/>
  <c r="H38" i="39" s="1"/>
  <c r="M39" i="33" s="1"/>
  <c r="X27" i="45"/>
  <c r="H27" i="45"/>
  <c r="H39" i="39" s="1"/>
  <c r="M40" i="33" s="1"/>
  <c r="B76" i="45"/>
  <c r="C118" i="9" s="1"/>
  <c r="B75" i="45"/>
  <c r="C117" i="9" s="1"/>
  <c r="X22" i="45"/>
  <c r="H22" i="45"/>
  <c r="H34" i="39" s="1"/>
  <c r="M35" i="33" s="1"/>
  <c r="C121" i="9"/>
  <c r="C122" i="9"/>
  <c r="X28" i="45"/>
  <c r="H28" i="45"/>
  <c r="H40" i="39" s="1"/>
  <c r="M41" i="33" s="1"/>
  <c r="X21" i="45"/>
  <c r="H21" i="45"/>
  <c r="H33" i="39" s="1"/>
  <c r="M34" i="33" s="1"/>
  <c r="H20" i="45"/>
  <c r="H32" i="39" s="1"/>
  <c r="M33" i="33" s="1"/>
  <c r="L26" i="45"/>
  <c r="M26" i="45"/>
  <c r="Q26" i="45"/>
  <c r="L24" i="45"/>
  <c r="P24" i="45"/>
  <c r="M22" i="45"/>
  <c r="N31" i="45"/>
  <c r="P31" i="45"/>
  <c r="L31" i="45"/>
  <c r="Q31" i="45"/>
  <c r="M31" i="45"/>
  <c r="R31" i="45"/>
  <c r="L30" i="45"/>
  <c r="P30" i="45"/>
  <c r="N29" i="45"/>
  <c r="P29" i="45"/>
  <c r="L29" i="45"/>
  <c r="Q29" i="45"/>
  <c r="M29" i="45"/>
  <c r="R29" i="45"/>
  <c r="P27" i="45"/>
  <c r="R26" i="45"/>
  <c r="L23" i="45"/>
  <c r="M23" i="45"/>
  <c r="N22" i="45"/>
  <c r="B42" i="38"/>
  <c r="M48" i="38"/>
  <c r="L28" i="45"/>
  <c r="P28" i="45"/>
  <c r="Q27" i="45"/>
  <c r="L27" i="45"/>
  <c r="M27" i="45"/>
  <c r="P26" i="45"/>
  <c r="N26" i="45"/>
  <c r="P23" i="45"/>
  <c r="Q23" i="45"/>
  <c r="R22" i="45"/>
  <c r="P22" i="45"/>
  <c r="L22" i="45"/>
  <c r="Q22" i="45"/>
  <c r="H15" i="39"/>
  <c r="I10" i="33" s="1"/>
  <c r="I12" i="39"/>
  <c r="M5" i="33" s="1"/>
  <c r="L20" i="45"/>
  <c r="P20" i="45"/>
  <c r="R25" i="45"/>
  <c r="N25" i="45"/>
  <c r="Q25" i="45"/>
  <c r="M25" i="45"/>
  <c r="P25" i="45"/>
  <c r="L25" i="45"/>
  <c r="O25" i="45"/>
  <c r="B41" i="38"/>
  <c r="R21" i="45"/>
  <c r="N21" i="45"/>
  <c r="Q21" i="45"/>
  <c r="M21" i="45"/>
  <c r="P21" i="45"/>
  <c r="L21" i="45"/>
  <c r="O21" i="45"/>
  <c r="M20" i="45"/>
  <c r="Q20" i="45"/>
  <c r="N23" i="45"/>
  <c r="R23" i="45"/>
  <c r="M24" i="45"/>
  <c r="Q24" i="45"/>
  <c r="N27" i="45"/>
  <c r="R27" i="45"/>
  <c r="M28" i="45"/>
  <c r="Q28" i="45"/>
  <c r="M30" i="45"/>
  <c r="Q30" i="45"/>
  <c r="K49" i="45"/>
  <c r="N20" i="45"/>
  <c r="R20" i="45"/>
  <c r="N24" i="45"/>
  <c r="R24" i="45"/>
  <c r="N28" i="45"/>
  <c r="R28" i="45"/>
  <c r="N30" i="45"/>
  <c r="R30" i="45"/>
  <c r="D3" i="39" l="1"/>
  <c r="F63" i="33" s="1"/>
  <c r="N27" i="38"/>
  <c r="O27" i="38" s="1"/>
  <c r="N19" i="38"/>
  <c r="O19" i="38" s="1"/>
  <c r="N11" i="38"/>
  <c r="J50" i="38" s="1"/>
  <c r="O11" i="38"/>
  <c r="N39" i="39"/>
  <c r="N37" i="39"/>
  <c r="N35" i="39"/>
  <c r="N36" i="39"/>
  <c r="N38" i="39"/>
  <c r="N34" i="39"/>
  <c r="N40" i="39"/>
  <c r="N32" i="39"/>
  <c r="B90" i="45" s="1"/>
  <c r="N33" i="39"/>
  <c r="N15" i="38"/>
  <c r="G59" i="38"/>
  <c r="G48" i="38"/>
  <c r="A59" i="38"/>
  <c r="C6" i="45"/>
  <c r="C88" i="9"/>
  <c r="J12" i="39"/>
  <c r="J6" i="33"/>
  <c r="M50" i="38"/>
  <c r="F15" i="38"/>
  <c r="F35" i="38"/>
  <c r="B44" i="45" l="1"/>
  <c r="B40" i="45"/>
  <c r="B35" i="45"/>
  <c r="B38" i="45"/>
  <c r="B43" i="45"/>
  <c r="B39" i="45"/>
  <c r="B41" i="45"/>
  <c r="B37" i="45"/>
  <c r="B42" i="45"/>
  <c r="B16" i="45"/>
  <c r="N39" i="38"/>
  <c r="O39" i="38" s="1"/>
  <c r="N35" i="38"/>
  <c r="O35" i="38" s="1"/>
  <c r="N31" i="38"/>
  <c r="O31" i="38" s="1"/>
  <c r="N23" i="38"/>
  <c r="O23" i="38" s="1"/>
  <c r="O15" i="38"/>
  <c r="P50" i="38"/>
  <c r="N7" i="38"/>
  <c r="O7" i="38" s="1"/>
  <c r="B97" i="45"/>
  <c r="C96" i="9"/>
  <c r="B96" i="45"/>
  <c r="C95" i="9"/>
  <c r="B95" i="45"/>
  <c r="C94" i="9"/>
  <c r="B94" i="45"/>
  <c r="B93" i="45"/>
  <c r="C92" i="9"/>
  <c r="F31" i="38"/>
  <c r="N29" i="38"/>
  <c r="M59" i="38"/>
  <c r="N25" i="38"/>
  <c r="O25" i="38" s="1"/>
  <c r="E28" i="74"/>
  <c r="F6" i="38" s="1"/>
  <c r="C51" i="38" s="1"/>
  <c r="B91" i="45"/>
  <c r="N13" i="38"/>
  <c r="O13" i="38" s="1"/>
  <c r="B92" i="45"/>
  <c r="B98" i="45"/>
  <c r="C91" i="9"/>
  <c r="C90" i="9"/>
  <c r="C97" i="9"/>
  <c r="C93" i="9"/>
  <c r="N21" i="38"/>
  <c r="C89" i="9"/>
  <c r="N17" i="38"/>
  <c r="O17" i="38" s="1"/>
  <c r="N62" i="45"/>
  <c r="U62" i="45"/>
  <c r="V62" i="45"/>
  <c r="S62" i="45"/>
  <c r="Q62" i="45"/>
  <c r="R62" i="45"/>
  <c r="M62" i="45"/>
  <c r="T62" i="45"/>
  <c r="O62" i="45"/>
  <c r="P62" i="45"/>
  <c r="L62" i="45"/>
  <c r="R57" i="45"/>
  <c r="V57" i="45"/>
  <c r="T57" i="45"/>
  <c r="S57" i="45"/>
  <c r="O57" i="45"/>
  <c r="U57" i="45"/>
  <c r="Q57" i="45"/>
  <c r="M57" i="45"/>
  <c r="L57" i="45"/>
  <c r="P57" i="45"/>
  <c r="N57" i="45"/>
  <c r="N37" i="38"/>
  <c r="O37" i="38" s="1"/>
  <c r="F27" i="38"/>
  <c r="G50" i="38"/>
  <c r="F39" i="38"/>
  <c r="G61" i="38"/>
  <c r="F23" i="38"/>
  <c r="A61" i="38"/>
  <c r="F19" i="38"/>
  <c r="F11" i="38"/>
  <c r="M61" i="38"/>
  <c r="N33" i="38"/>
  <c r="O33" i="38" s="1"/>
  <c r="A50" i="38"/>
  <c r="A48" i="38"/>
  <c r="F7" i="38"/>
  <c r="N5" i="38"/>
  <c r="O5" i="38" s="1"/>
  <c r="O29" i="38" l="1"/>
  <c r="N30" i="38" s="1"/>
  <c r="O30" i="38" s="1"/>
  <c r="E52" i="74"/>
  <c r="F38" i="38" s="1"/>
  <c r="E49" i="74"/>
  <c r="F34" i="38" s="1"/>
  <c r="E46" i="74"/>
  <c r="F30" i="38" s="1"/>
  <c r="E43" i="74"/>
  <c r="F26" i="38" s="1"/>
  <c r="O62" i="38" s="1"/>
  <c r="E40" i="74"/>
  <c r="F22" i="38" s="1"/>
  <c r="I62" i="38" s="1"/>
  <c r="E37" i="74"/>
  <c r="F18" i="38" s="1"/>
  <c r="C62" i="38" s="1"/>
  <c r="N26" i="38"/>
  <c r="O26" i="38" s="1"/>
  <c r="E31" i="74"/>
  <c r="F10" i="38" s="1"/>
  <c r="I51" i="38" s="1"/>
  <c r="E34" i="74"/>
  <c r="F14" i="38" s="1"/>
  <c r="O51" i="38" s="1"/>
  <c r="C38" i="45"/>
  <c r="K59" i="39"/>
  <c r="K58" i="39"/>
  <c r="K48" i="39"/>
  <c r="C39" i="45"/>
  <c r="C37" i="45"/>
  <c r="C41" i="45"/>
  <c r="V41" i="45" s="1"/>
  <c r="K55" i="39"/>
  <c r="K57" i="39"/>
  <c r="C16" i="45"/>
  <c r="C17" i="45" s="1"/>
  <c r="C35" i="45"/>
  <c r="N18" i="38"/>
  <c r="O18" i="38" s="1"/>
  <c r="O21" i="38"/>
  <c r="N22" i="38" s="1"/>
  <c r="O22" i="38" s="1"/>
  <c r="N34" i="38"/>
  <c r="O34" i="38" s="1"/>
  <c r="N49" i="45"/>
  <c r="I5" i="39" s="1"/>
  <c r="O65" i="33" s="1"/>
  <c r="P49" i="45"/>
  <c r="I8" i="39" s="1"/>
  <c r="O68" i="33" s="1"/>
  <c r="Q49" i="45"/>
  <c r="D4" i="39" s="1"/>
  <c r="F64" i="33" s="1"/>
  <c r="T49" i="45"/>
  <c r="D7" i="39" s="1"/>
  <c r="F67" i="33" s="1"/>
  <c r="S49" i="45"/>
  <c r="D5" i="39" s="1"/>
  <c r="F65" i="33" s="1"/>
  <c r="O49" i="45"/>
  <c r="I6" i="39" s="1"/>
  <c r="O66" i="33" s="1"/>
  <c r="L49" i="45"/>
  <c r="I3" i="39" s="1"/>
  <c r="O63" i="33" s="1"/>
  <c r="M49" i="45"/>
  <c r="I4" i="39" s="1"/>
  <c r="O64" i="33" s="1"/>
  <c r="V49" i="45"/>
  <c r="D8" i="39" s="1"/>
  <c r="F68" i="33" s="1"/>
  <c r="R49" i="45"/>
  <c r="D6" i="39" s="1"/>
  <c r="F66" i="33" s="1"/>
  <c r="U49" i="45"/>
  <c r="I7" i="39" s="1"/>
  <c r="O67" i="33" s="1"/>
  <c r="N14" i="38"/>
  <c r="O14" i="38" s="1"/>
  <c r="N38" i="38"/>
  <c r="O38" i="38" s="1"/>
  <c r="N9" i="38"/>
  <c r="O9" i="38" s="1"/>
  <c r="N6" i="38"/>
  <c r="O6" i="38" s="1"/>
  <c r="C43" i="45"/>
  <c r="K53" i="39"/>
  <c r="K56" i="39"/>
  <c r="K54" i="39"/>
  <c r="K18" i="39"/>
  <c r="C42" i="45"/>
  <c r="K52" i="39"/>
  <c r="J16" i="33" s="1"/>
  <c r="C40" i="45"/>
  <c r="C44" i="45"/>
  <c r="M16" i="33" l="1"/>
  <c r="N16" i="33" s="1"/>
  <c r="I16" i="33"/>
  <c r="E52" i="39"/>
  <c r="F51" i="33" s="1"/>
  <c r="K39" i="45"/>
  <c r="U39" i="45" s="1"/>
  <c r="K38" i="45"/>
  <c r="M9" i="74" s="1"/>
  <c r="D23" i="74"/>
  <c r="M23" i="74" s="1"/>
  <c r="N23" i="74" s="1"/>
  <c r="C104" i="9"/>
  <c r="M15" i="74"/>
  <c r="M14" i="74"/>
  <c r="E48" i="39"/>
  <c r="B104" i="45"/>
  <c r="E56" i="39"/>
  <c r="F55" i="33" s="1"/>
  <c r="K41" i="45"/>
  <c r="E53" i="39"/>
  <c r="F52" i="33" s="1"/>
  <c r="E54" i="39"/>
  <c r="F53" i="33" s="1"/>
  <c r="I52" i="39"/>
  <c r="L51" i="33" s="1"/>
  <c r="K42" i="45"/>
  <c r="K37" i="45"/>
  <c r="K40" i="45"/>
  <c r="I53" i="39"/>
  <c r="L52" i="33" s="1"/>
  <c r="K35" i="45"/>
  <c r="S35" i="45" s="1"/>
  <c r="V35" i="45"/>
  <c r="V50" i="45" s="1"/>
  <c r="C8" i="39" s="1"/>
  <c r="D68" i="33" s="1"/>
  <c r="K44" i="45"/>
  <c r="I59" i="39"/>
  <c r="K43" i="45"/>
  <c r="G58" i="39"/>
  <c r="N10" i="38"/>
  <c r="O10" i="38" s="1"/>
  <c r="E57" i="39"/>
  <c r="F56" i="33" s="1"/>
  <c r="E55" i="39"/>
  <c r="F54" i="33" s="1"/>
  <c r="G6" i="5"/>
  <c r="J59" i="39" l="1"/>
  <c r="L58" i="33"/>
  <c r="H58" i="39"/>
  <c r="I57" i="33"/>
  <c r="M38" i="45"/>
  <c r="F48" i="39"/>
  <c r="G47" i="33"/>
  <c r="M10" i="74"/>
  <c r="N10" i="74" s="1"/>
  <c r="N39" i="45"/>
  <c r="A23" i="74"/>
  <c r="N15" i="74"/>
  <c r="C114" i="9" s="1"/>
  <c r="N14" i="74"/>
  <c r="B113" i="45" s="1"/>
  <c r="N9" i="74"/>
  <c r="M13" i="74"/>
  <c r="U40" i="45"/>
  <c r="M11" i="74"/>
  <c r="M8" i="74"/>
  <c r="M12" i="74"/>
  <c r="Q42" i="45"/>
  <c r="U37" i="45"/>
  <c r="L37" i="45"/>
  <c r="O40" i="45"/>
  <c r="K45" i="45"/>
  <c r="S44" i="45"/>
  <c r="P44" i="45"/>
  <c r="T44" i="45"/>
  <c r="N44" i="45"/>
  <c r="M44" i="45"/>
  <c r="O44" i="45"/>
  <c r="Q44" i="45"/>
  <c r="L44" i="45"/>
  <c r="R44" i="45"/>
  <c r="S43" i="45"/>
  <c r="Q43" i="45"/>
  <c r="T43" i="45"/>
  <c r="R43" i="45"/>
  <c r="O43" i="45"/>
  <c r="L43" i="45"/>
  <c r="M43" i="45"/>
  <c r="P43" i="45"/>
  <c r="N43" i="45"/>
  <c r="V47" i="45"/>
  <c r="E8" i="39" s="1"/>
  <c r="H68" i="33" s="1"/>
  <c r="K11" i="20"/>
  <c r="K12" i="20"/>
  <c r="K13" i="20"/>
  <c r="K14" i="20"/>
  <c r="K15" i="20"/>
  <c r="K16" i="20"/>
  <c r="K17" i="20"/>
  <c r="K18" i="20"/>
  <c r="K10" i="20"/>
  <c r="B108" i="45" l="1"/>
  <c r="B109" i="45"/>
  <c r="B114" i="45"/>
  <c r="C113" i="9"/>
  <c r="C109" i="9"/>
  <c r="N13" i="74"/>
  <c r="C108" i="9"/>
  <c r="N8" i="74"/>
  <c r="N11" i="74"/>
  <c r="N12" i="74"/>
  <c r="U50" i="45"/>
  <c r="H7" i="39" s="1"/>
  <c r="M67" i="33" s="1"/>
  <c r="I60" i="39"/>
  <c r="M16" i="74"/>
  <c r="Q50" i="45"/>
  <c r="C4" i="39" s="1"/>
  <c r="D64" i="33" s="1"/>
  <c r="G60" i="39"/>
  <c r="E60" i="39"/>
  <c r="K50" i="45"/>
  <c r="C3" i="39" s="1"/>
  <c r="D63" i="33" s="1"/>
  <c r="R45" i="45"/>
  <c r="R50" i="45" s="1"/>
  <c r="C6" i="39" s="1"/>
  <c r="D66" i="33" s="1"/>
  <c r="O50" i="45"/>
  <c r="H6" i="39" s="1"/>
  <c r="M66" i="33" s="1"/>
  <c r="M50" i="45"/>
  <c r="H4" i="39" s="1"/>
  <c r="M64" i="33" s="1"/>
  <c r="P50" i="45"/>
  <c r="H8" i="39" s="1"/>
  <c r="M68" i="33" s="1"/>
  <c r="L50" i="45"/>
  <c r="H3" i="39" s="1"/>
  <c r="M63" i="33" s="1"/>
  <c r="N50" i="45"/>
  <c r="H5" i="39" s="1"/>
  <c r="M65" i="33" s="1"/>
  <c r="S50" i="45"/>
  <c r="C5" i="39" s="1"/>
  <c r="D65" i="33" s="1"/>
  <c r="D13" i="24"/>
  <c r="E13" i="24" s="1"/>
  <c r="D9" i="24"/>
  <c r="E9" i="24" s="1"/>
  <c r="J60" i="39" l="1"/>
  <c r="L59" i="33" s="1"/>
  <c r="H60" i="39"/>
  <c r="I59" i="33" s="1"/>
  <c r="F60" i="39"/>
  <c r="F59" i="33" s="1"/>
  <c r="B111" i="45"/>
  <c r="C112" i="9"/>
  <c r="B107" i="45"/>
  <c r="B110" i="45"/>
  <c r="C110" i="9"/>
  <c r="C107" i="9"/>
  <c r="B112" i="45"/>
  <c r="C111" i="9"/>
  <c r="Q47" i="45"/>
  <c r="E4" i="39" s="1"/>
  <c r="H64" i="33" s="1"/>
  <c r="U47" i="45"/>
  <c r="J7" i="39" s="1"/>
  <c r="Q67" i="33" s="1"/>
  <c r="N16" i="74"/>
  <c r="M17" i="74" s="1"/>
  <c r="C147" i="9"/>
  <c r="E28" i="39"/>
  <c r="B1" i="39"/>
  <c r="K47" i="45"/>
  <c r="L47" i="45"/>
  <c r="J3" i="39" s="1"/>
  <c r="Q63" i="33" s="1"/>
  <c r="O47" i="45"/>
  <c r="J6" i="39" s="1"/>
  <c r="Q66" i="33" s="1"/>
  <c r="C123" i="9"/>
  <c r="M47" i="45"/>
  <c r="J4" i="39" s="1"/>
  <c r="Q64" i="33" s="1"/>
  <c r="P47" i="45"/>
  <c r="J8" i="39" s="1"/>
  <c r="Q68" i="33" s="1"/>
  <c r="N47" i="45"/>
  <c r="J5" i="39" s="1"/>
  <c r="Q65" i="33" s="1"/>
  <c r="R47" i="45"/>
  <c r="E6" i="39" s="1"/>
  <c r="H66" i="33" s="1"/>
  <c r="S47" i="45"/>
  <c r="E5" i="39" s="1"/>
  <c r="H65" i="33" s="1"/>
  <c r="T50" i="45"/>
  <c r="C7" i="39" s="1"/>
  <c r="D67" i="33" s="1"/>
  <c r="I41" i="33" l="1"/>
  <c r="J51" i="74" s="1"/>
  <c r="K38" i="38" s="1"/>
  <c r="G30" i="33"/>
  <c r="E3" i="39"/>
  <c r="H63" i="33" s="1"/>
  <c r="E18" i="39"/>
  <c r="F13" i="33" s="1"/>
  <c r="N17" i="74"/>
  <c r="C115" i="9"/>
  <c r="H5" i="74"/>
  <c r="B86" i="45"/>
  <c r="B115" i="45"/>
  <c r="C151" i="9"/>
  <c r="C144" i="9"/>
  <c r="C150" i="9"/>
  <c r="C149" i="9"/>
  <c r="C143" i="9"/>
  <c r="T47" i="45"/>
  <c r="E7" i="39" s="1"/>
  <c r="H67" i="33" s="1"/>
  <c r="O11" i="11"/>
  <c r="N11" i="11"/>
  <c r="C152" i="9" l="1"/>
  <c r="A8" i="74"/>
  <c r="C148" i="9"/>
  <c r="B73" i="45"/>
  <c r="C142" i="9"/>
  <c r="C153" i="9"/>
  <c r="C145" i="9"/>
  <c r="P11" i="11"/>
  <c r="Q11" i="11"/>
  <c r="O9" i="12"/>
  <c r="O10" i="12"/>
  <c r="O11" i="12"/>
  <c r="O18" i="12"/>
  <c r="O19" i="12"/>
  <c r="O20" i="12"/>
  <c r="O21" i="12"/>
  <c r="O22" i="12"/>
  <c r="N16" i="11"/>
  <c r="O16" i="11"/>
  <c r="C106" i="9" l="1"/>
  <c r="B106" i="45"/>
  <c r="C105" i="9"/>
  <c r="B105" i="45"/>
  <c r="C146" i="9"/>
  <c r="P16" i="11"/>
  <c r="Q16" i="11"/>
  <c r="S16" i="11" s="1"/>
  <c r="P3" i="12"/>
  <c r="P4" i="12"/>
  <c r="P5" i="12"/>
  <c r="R5" i="12"/>
  <c r="P6" i="12"/>
  <c r="Q6" i="12"/>
  <c r="P7" i="12"/>
  <c r="R7" i="12"/>
  <c r="L8" i="12"/>
  <c r="P8" i="12"/>
  <c r="R8" i="12"/>
  <c r="P9" i="12"/>
  <c r="Q9" i="12"/>
  <c r="R9" i="12"/>
  <c r="N10" i="12"/>
  <c r="P10" i="12"/>
  <c r="Q10" i="12"/>
  <c r="R10" i="12"/>
  <c r="L11" i="12"/>
  <c r="N11" i="12"/>
  <c r="P11" i="12"/>
  <c r="Q11" i="12"/>
  <c r="R11" i="12"/>
  <c r="N12" i="12"/>
  <c r="P12" i="12"/>
  <c r="P18" i="12"/>
  <c r="Q18" i="12"/>
  <c r="R18" i="12"/>
  <c r="L19" i="12"/>
  <c r="N19" i="12"/>
  <c r="P19" i="12"/>
  <c r="Q19" i="12"/>
  <c r="R19" i="12"/>
  <c r="L20" i="12"/>
  <c r="N20" i="12"/>
  <c r="P20" i="12"/>
  <c r="Q20" i="12"/>
  <c r="R20" i="12"/>
  <c r="L21" i="12"/>
  <c r="N21" i="12"/>
  <c r="P21" i="12"/>
  <c r="Q21" i="12"/>
  <c r="R21" i="12"/>
  <c r="L22" i="12"/>
  <c r="P22" i="12"/>
  <c r="Q22" i="12"/>
  <c r="R22" i="12"/>
  <c r="O6" i="11"/>
  <c r="O7" i="11"/>
  <c r="O8" i="11"/>
  <c r="O9" i="11"/>
  <c r="O10" i="11"/>
  <c r="O12" i="11"/>
  <c r="O13" i="11"/>
  <c r="O14" i="11"/>
  <c r="O15" i="11"/>
  <c r="O17" i="11"/>
  <c r="O18" i="11"/>
  <c r="O19" i="11"/>
  <c r="O20" i="11"/>
  <c r="O21" i="11"/>
  <c r="O22" i="11"/>
  <c r="O23" i="11"/>
  <c r="O24" i="11"/>
  <c r="O25" i="11"/>
  <c r="O26" i="11"/>
  <c r="O27" i="11"/>
  <c r="O28" i="11"/>
  <c r="O29" i="11"/>
  <c r="O30" i="11"/>
  <c r="O31" i="11"/>
  <c r="O32" i="11"/>
  <c r="O33" i="11"/>
  <c r="O34" i="11"/>
  <c r="N5" i="11"/>
  <c r="N6" i="11"/>
  <c r="N7" i="11"/>
  <c r="N8" i="11"/>
  <c r="N9" i="11"/>
  <c r="N10" i="11"/>
  <c r="N12" i="11"/>
  <c r="N13" i="11"/>
  <c r="N14" i="11"/>
  <c r="N15" i="11"/>
  <c r="N17" i="11"/>
  <c r="N18" i="11"/>
  <c r="N19" i="11"/>
  <c r="N20" i="11"/>
  <c r="N21" i="11"/>
  <c r="N22" i="11"/>
  <c r="N23" i="11"/>
  <c r="N24" i="11"/>
  <c r="N25" i="11"/>
  <c r="N26" i="11"/>
  <c r="N27" i="11"/>
  <c r="N28" i="11"/>
  <c r="N29" i="11"/>
  <c r="N30" i="11"/>
  <c r="N31" i="11"/>
  <c r="N32" i="11"/>
  <c r="N33" i="11"/>
  <c r="N34" i="11"/>
  <c r="AD17" i="10" l="1"/>
  <c r="K8" i="12"/>
  <c r="Q8" i="12" s="1"/>
  <c r="K12" i="12"/>
  <c r="AD11" i="10"/>
  <c r="AD15" i="10"/>
  <c r="AD13" i="10"/>
  <c r="K10" i="12"/>
  <c r="AD9" i="10"/>
  <c r="P23" i="12"/>
  <c r="K11" i="12"/>
  <c r="M11" i="12" s="1"/>
  <c r="K9" i="12"/>
  <c r="N9" i="12" s="1"/>
  <c r="K7" i="12"/>
  <c r="K6" i="12"/>
  <c r="O6" i="12" s="1"/>
  <c r="K5" i="12"/>
  <c r="L5" i="12" s="1"/>
  <c r="K4" i="12"/>
  <c r="K3" i="12"/>
  <c r="AD10" i="10"/>
  <c r="AD12" i="10"/>
  <c r="AD14" i="10"/>
  <c r="AD16" i="10"/>
  <c r="AD18" i="10"/>
  <c r="P5" i="11"/>
  <c r="Q5" i="11"/>
  <c r="S5" i="11" s="1"/>
  <c r="P6" i="11"/>
  <c r="Q6" i="11"/>
  <c r="S6" i="11" s="1"/>
  <c r="P7" i="11"/>
  <c r="Q7" i="11"/>
  <c r="S7" i="11" s="1"/>
  <c r="P8" i="11"/>
  <c r="Q8" i="11"/>
  <c r="S8" i="11" s="1"/>
  <c r="P9" i="11"/>
  <c r="Q9" i="11"/>
  <c r="S9" i="11" s="1"/>
  <c r="P10" i="11"/>
  <c r="Q10" i="11"/>
  <c r="S10" i="11" s="1"/>
  <c r="P12" i="11"/>
  <c r="Q12" i="11"/>
  <c r="P13" i="11"/>
  <c r="Q13" i="11"/>
  <c r="S13" i="11" s="1"/>
  <c r="P14" i="11"/>
  <c r="Q14" i="11"/>
  <c r="S14" i="11" s="1"/>
  <c r="P15" i="11"/>
  <c r="Q15" i="11"/>
  <c r="S15" i="11" s="1"/>
  <c r="P17" i="11"/>
  <c r="Q17" i="11"/>
  <c r="S17" i="11" s="1"/>
  <c r="P18" i="11"/>
  <c r="Q18" i="11"/>
  <c r="S18" i="11" s="1"/>
  <c r="P19" i="11"/>
  <c r="Q19" i="11"/>
  <c r="S19" i="11" s="1"/>
  <c r="P20" i="11"/>
  <c r="Q20" i="11"/>
  <c r="S20" i="11" s="1"/>
  <c r="P21" i="11"/>
  <c r="Q21" i="11"/>
  <c r="S21" i="11" s="1"/>
  <c r="P22" i="11"/>
  <c r="Q22" i="11"/>
  <c r="S22" i="11" s="1"/>
  <c r="P23" i="11"/>
  <c r="Q23" i="11"/>
  <c r="S23" i="11" s="1"/>
  <c r="P24" i="11"/>
  <c r="Q24" i="11"/>
  <c r="S24" i="11" s="1"/>
  <c r="P25" i="11"/>
  <c r="Q25" i="11"/>
  <c r="S25" i="11" s="1"/>
  <c r="P26" i="11"/>
  <c r="Q26" i="11"/>
  <c r="S26" i="11" s="1"/>
  <c r="P27" i="11"/>
  <c r="Q27" i="11"/>
  <c r="S27" i="11" s="1"/>
  <c r="P28" i="11"/>
  <c r="Q28" i="11"/>
  <c r="S28" i="11" s="1"/>
  <c r="P29" i="11"/>
  <c r="Q29" i="11"/>
  <c r="S29" i="11" s="1"/>
  <c r="P30" i="11"/>
  <c r="Q30" i="11"/>
  <c r="S30" i="11" s="1"/>
  <c r="P31" i="11"/>
  <c r="Q31" i="11"/>
  <c r="S31" i="11" s="1"/>
  <c r="P32" i="11"/>
  <c r="Q32" i="11"/>
  <c r="S32" i="11" s="1"/>
  <c r="P33" i="11"/>
  <c r="Q33" i="11"/>
  <c r="S33" i="11" s="1"/>
  <c r="P34" i="11"/>
  <c r="Q34" i="11"/>
  <c r="S34" i="11" s="1"/>
  <c r="L12" i="12" l="1"/>
  <c r="R12" i="12"/>
  <c r="H8" i="12"/>
  <c r="Z8" i="12" s="1"/>
  <c r="H5" i="12"/>
  <c r="Z5" i="12" s="1"/>
  <c r="Q4" i="11"/>
  <c r="S4" i="11" s="1"/>
  <c r="G4" i="12"/>
  <c r="G8" i="12"/>
  <c r="G12" i="12"/>
  <c r="G5" i="12"/>
  <c r="G9" i="12"/>
  <c r="G3" i="12"/>
  <c r="G6" i="12"/>
  <c r="G10" i="12"/>
  <c r="G7" i="12"/>
  <c r="G11" i="12"/>
  <c r="F6" i="12"/>
  <c r="F10" i="12"/>
  <c r="F9" i="12"/>
  <c r="F7" i="12"/>
  <c r="F11" i="12"/>
  <c r="F5" i="12"/>
  <c r="F4" i="12"/>
  <c r="F8" i="12"/>
  <c r="F12" i="12"/>
  <c r="P4" i="11"/>
  <c r="F3" i="12"/>
  <c r="L6" i="12"/>
  <c r="R6" i="12"/>
  <c r="Q3" i="12"/>
  <c r="R3" i="12"/>
  <c r="M8" i="12"/>
  <c r="R4" i="12"/>
  <c r="L4" i="12"/>
  <c r="L7" i="12"/>
  <c r="O7" i="12"/>
  <c r="Q7" i="12"/>
  <c r="L3" i="12"/>
  <c r="O3" i="12"/>
  <c r="M12" i="12"/>
  <c r="O12" i="12"/>
  <c r="Q12" i="12"/>
  <c r="M10" i="12"/>
  <c r="L10" i="12"/>
  <c r="N8" i="12"/>
  <c r="O8" i="12"/>
  <c r="N5" i="12"/>
  <c r="Q5" i="12"/>
  <c r="M9" i="12"/>
  <c r="L9" i="12"/>
  <c r="M7" i="12"/>
  <c r="N7" i="12"/>
  <c r="M6" i="12"/>
  <c r="N6" i="12"/>
  <c r="O4" i="12"/>
  <c r="Q4" i="12"/>
  <c r="M5" i="12"/>
  <c r="O5" i="12"/>
  <c r="M3" i="12"/>
  <c r="N3" i="12"/>
  <c r="N4" i="12"/>
  <c r="M4" i="12"/>
  <c r="V7" i="12" l="1"/>
  <c r="F13" i="10" s="1"/>
  <c r="AJ7" i="12"/>
  <c r="V3" i="12"/>
  <c r="F9" i="10" s="1"/>
  <c r="AJ3" i="12"/>
  <c r="V9" i="12"/>
  <c r="F15" i="10" s="1"/>
  <c r="AJ9" i="12"/>
  <c r="V10" i="12"/>
  <c r="F16" i="10" s="1"/>
  <c r="AJ10" i="12"/>
  <c r="V8" i="12"/>
  <c r="F14" i="10" s="1"/>
  <c r="AJ8" i="12"/>
  <c r="V4" i="12"/>
  <c r="F10" i="10" s="1"/>
  <c r="AJ4" i="12"/>
  <c r="V5" i="12"/>
  <c r="F11" i="10" s="1"/>
  <c r="AJ5" i="12"/>
  <c r="V12" i="12"/>
  <c r="F18" i="10" s="1"/>
  <c r="AJ12" i="12"/>
  <c r="V11" i="12"/>
  <c r="F17" i="10" s="1"/>
  <c r="AJ11" i="12"/>
  <c r="V6" i="12"/>
  <c r="F12" i="10" s="1"/>
  <c r="AJ6" i="12"/>
  <c r="W11" i="12"/>
  <c r="G17" i="10" s="1"/>
  <c r="AK11" i="12"/>
  <c r="W3" i="12"/>
  <c r="G9" i="10" s="1"/>
  <c r="AK3" i="12"/>
  <c r="W8" i="12"/>
  <c r="G14" i="10" s="1"/>
  <c r="AK8" i="12"/>
  <c r="W9" i="12"/>
  <c r="G15" i="10" s="1"/>
  <c r="AK9" i="12"/>
  <c r="W10" i="12"/>
  <c r="G16" i="10" s="1"/>
  <c r="AK10" i="12"/>
  <c r="W5" i="12"/>
  <c r="G11" i="10" s="1"/>
  <c r="AK5" i="12"/>
  <c r="W7" i="12"/>
  <c r="G13" i="10" s="1"/>
  <c r="AK7" i="12"/>
  <c r="W4" i="12"/>
  <c r="G10" i="10" s="1"/>
  <c r="AK4" i="12"/>
  <c r="W6" i="12"/>
  <c r="G12" i="10" s="1"/>
  <c r="AK6" i="12"/>
  <c r="W12" i="12"/>
  <c r="G18" i="10" s="1"/>
  <c r="AK12" i="12"/>
  <c r="H16" i="12"/>
  <c r="Z16" i="12" s="1"/>
  <c r="AI16" i="12" s="1"/>
  <c r="H15" i="12"/>
  <c r="Z15" i="12" s="1"/>
  <c r="J21" i="10" s="1"/>
  <c r="H14" i="12"/>
  <c r="Z14" i="12" s="1"/>
  <c r="J20" i="10" s="1"/>
  <c r="H12" i="12"/>
  <c r="Z12" i="12" s="1"/>
  <c r="AH12" i="12" s="1"/>
  <c r="H13" i="12"/>
  <c r="Z13" i="12" s="1"/>
  <c r="J19" i="10" s="1"/>
  <c r="H11" i="12"/>
  <c r="Z11" i="12" s="1"/>
  <c r="J17" i="10" s="1"/>
  <c r="H10" i="12"/>
  <c r="Z10" i="12" s="1"/>
  <c r="J16" i="10" s="1"/>
  <c r="H9" i="12"/>
  <c r="Z9" i="12" s="1"/>
  <c r="J15" i="10" s="1"/>
  <c r="AI8" i="12"/>
  <c r="AH8" i="12"/>
  <c r="H7" i="12"/>
  <c r="Z7" i="12" s="1"/>
  <c r="J13" i="10" s="1"/>
  <c r="H6" i="12"/>
  <c r="Z6" i="12" s="1"/>
  <c r="J12" i="10" s="1"/>
  <c r="AI5" i="12"/>
  <c r="AH5" i="12"/>
  <c r="H4" i="12"/>
  <c r="Z4" i="12" s="1"/>
  <c r="H17" i="12"/>
  <c r="Z17" i="12" s="1"/>
  <c r="J14" i="10"/>
  <c r="R23" i="12"/>
  <c r="Q23" i="12"/>
  <c r="V3" i="14"/>
  <c r="AC3" i="14" s="1"/>
  <c r="V4" i="14"/>
  <c r="AC4" i="14" s="1"/>
  <c r="V5" i="14"/>
  <c r="AC5" i="14" s="1"/>
  <c r="V6" i="14"/>
  <c r="AC6" i="14" s="1"/>
  <c r="V7" i="14"/>
  <c r="AC7" i="14" s="1"/>
  <c r="V8" i="14"/>
  <c r="AC8" i="14" s="1"/>
  <c r="V9" i="14"/>
  <c r="AC9" i="14" s="1"/>
  <c r="V10" i="14"/>
  <c r="AC10" i="14" s="1"/>
  <c r="V11" i="14"/>
  <c r="AC11" i="14" s="1"/>
  <c r="V12" i="14"/>
  <c r="AC12" i="14" s="1"/>
  <c r="V13" i="14"/>
  <c r="AC13" i="14" s="1"/>
  <c r="V14" i="14"/>
  <c r="AC14" i="14" s="1"/>
  <c r="V15" i="14"/>
  <c r="AC15" i="14" s="1"/>
  <c r="V16" i="14"/>
  <c r="AC16" i="14" s="1"/>
  <c r="V17" i="14"/>
  <c r="AC17" i="14" s="1"/>
  <c r="V18" i="14"/>
  <c r="AC18" i="14" s="1"/>
  <c r="V19" i="14"/>
  <c r="AC19" i="14" s="1"/>
  <c r="V20" i="14"/>
  <c r="AC20" i="14" s="1"/>
  <c r="V21" i="14"/>
  <c r="AC21" i="14" s="1"/>
  <c r="V2" i="14"/>
  <c r="T3" i="12" l="1"/>
  <c r="C9" i="10" s="1"/>
  <c r="J22" i="10"/>
  <c r="AH16" i="12"/>
  <c r="AI17" i="12"/>
  <c r="AH17" i="12"/>
  <c r="AI12" i="12"/>
  <c r="AH15" i="12"/>
  <c r="AI15" i="12"/>
  <c r="AI14" i="12"/>
  <c r="AH14" i="12"/>
  <c r="AI13" i="12"/>
  <c r="AH13" i="12"/>
  <c r="AI11" i="12"/>
  <c r="AH11" i="12"/>
  <c r="AI10" i="12"/>
  <c r="AH10" i="12"/>
  <c r="AI9" i="12"/>
  <c r="AH9" i="12"/>
  <c r="AI7" i="12"/>
  <c r="AH7" i="12"/>
  <c r="AI6" i="12"/>
  <c r="AH6" i="12"/>
  <c r="AI4" i="12"/>
  <c r="AH4" i="12"/>
  <c r="J10" i="10"/>
  <c r="H3" i="12"/>
  <c r="Z3" i="12" s="1"/>
  <c r="J11" i="10"/>
  <c r="J23" i="10"/>
  <c r="J18" i="10"/>
  <c r="F100" i="5"/>
  <c r="F99" i="5"/>
  <c r="D99" i="5"/>
  <c r="F35" i="5"/>
  <c r="F34" i="5"/>
  <c r="D34" i="5"/>
  <c r="F3" i="5"/>
  <c r="F2" i="5"/>
  <c r="D2" i="5"/>
  <c r="J9" i="10" l="1"/>
  <c r="AH3" i="12"/>
  <c r="AI3" i="12"/>
  <c r="C1" i="9"/>
  <c r="D35" i="5"/>
  <c r="D100" i="5"/>
  <c r="Y3" i="14"/>
  <c r="Y4" i="14"/>
  <c r="Y5" i="14"/>
  <c r="Y6" i="14"/>
  <c r="Y7" i="14"/>
  <c r="Y8" i="14"/>
  <c r="Y9" i="14"/>
  <c r="Y10" i="14"/>
  <c r="Y11" i="14"/>
  <c r="Y12" i="14"/>
  <c r="Y13" i="14"/>
  <c r="Y14" i="14"/>
  <c r="Y15" i="14"/>
  <c r="Y16" i="14"/>
  <c r="Y17" i="14"/>
  <c r="Y18" i="14"/>
  <c r="Y19" i="14"/>
  <c r="Y20" i="14"/>
  <c r="Y21" i="14"/>
  <c r="Y2" i="14"/>
  <c r="F23" i="20" l="1"/>
  <c r="F8" i="21"/>
  <c r="F7" i="21"/>
  <c r="E3" i="21"/>
  <c r="B20" i="28"/>
  <c r="C4" i="9"/>
  <c r="E39" i="20"/>
  <c r="B39" i="20" s="1"/>
  <c r="D22" i="21"/>
  <c r="D21" i="21"/>
  <c r="E19" i="21"/>
  <c r="F19" i="21" s="1"/>
  <c r="C55" i="5"/>
  <c r="G55" i="5" s="1"/>
  <c r="H3" i="14"/>
  <c r="P3" i="14"/>
  <c r="H4" i="14"/>
  <c r="P4" i="14"/>
  <c r="H5" i="14"/>
  <c r="J12" i="13" s="1"/>
  <c r="H6" i="14"/>
  <c r="J13" i="13" s="1"/>
  <c r="H7" i="14"/>
  <c r="J14" i="13" s="1"/>
  <c r="H8" i="14"/>
  <c r="J15" i="13" s="1"/>
  <c r="H9" i="14"/>
  <c r="J16" i="13" s="1"/>
  <c r="H10" i="14"/>
  <c r="J17" i="13" s="1"/>
  <c r="H11" i="14"/>
  <c r="J18" i="13" s="1"/>
  <c r="H12" i="14"/>
  <c r="H13" i="14"/>
  <c r="H14" i="14"/>
  <c r="H15" i="14"/>
  <c r="H16" i="14"/>
  <c r="J23" i="13" s="1"/>
  <c r="H17" i="14"/>
  <c r="H18" i="14"/>
  <c r="J25" i="13" s="1"/>
  <c r="H19" i="14"/>
  <c r="H20" i="14"/>
  <c r="H21" i="14"/>
  <c r="H2" i="14"/>
  <c r="AN2" i="14" s="1"/>
  <c r="Q9" i="13" s="1"/>
  <c r="P2" i="14"/>
  <c r="C39" i="9"/>
  <c r="P5" i="14"/>
  <c r="P6" i="14"/>
  <c r="P7" i="14"/>
  <c r="P8" i="14"/>
  <c r="P9" i="14"/>
  <c r="P10" i="14"/>
  <c r="P11" i="14"/>
  <c r="P12" i="14"/>
  <c r="P13" i="14"/>
  <c r="P14" i="14"/>
  <c r="P15" i="14"/>
  <c r="P16" i="14"/>
  <c r="P17" i="14"/>
  <c r="P18" i="14"/>
  <c r="P19" i="14"/>
  <c r="P20" i="14"/>
  <c r="P21" i="14"/>
  <c r="D12" i="61"/>
  <c r="D9" i="61"/>
  <c r="D5" i="61"/>
  <c r="D4" i="61"/>
  <c r="D3" i="16"/>
  <c r="N9" i="13"/>
  <c r="D18" i="61"/>
  <c r="C5" i="9"/>
  <c r="C3" i="9"/>
  <c r="C2" i="9"/>
  <c r="D3" i="27"/>
  <c r="E3" i="27" s="1"/>
  <c r="D11" i="21"/>
  <c r="F11" i="21" s="1"/>
  <c r="D9" i="21"/>
  <c r="F9" i="21" s="1"/>
  <c r="D10" i="21"/>
  <c r="F30" i="20" s="1"/>
  <c r="F80" i="5" s="1"/>
  <c r="D80" i="5" s="1"/>
  <c r="L80" i="5" s="1"/>
  <c r="R11" i="14"/>
  <c r="R12" i="14"/>
  <c r="R13" i="14"/>
  <c r="R14" i="14"/>
  <c r="R15" i="14"/>
  <c r="R16" i="14"/>
  <c r="R17" i="14"/>
  <c r="R18" i="14"/>
  <c r="R19" i="14"/>
  <c r="R20" i="14"/>
  <c r="R21" i="14"/>
  <c r="R4" i="14"/>
  <c r="R5" i="14"/>
  <c r="R6" i="14"/>
  <c r="R7" i="14"/>
  <c r="R8" i="14"/>
  <c r="R9" i="14"/>
  <c r="R10" i="14"/>
  <c r="D15" i="21"/>
  <c r="F15" i="21" s="1"/>
  <c r="E12" i="21"/>
  <c r="F12" i="21" s="1"/>
  <c r="D14" i="21"/>
  <c r="F14" i="21" s="1"/>
  <c r="S11" i="14"/>
  <c r="T11" i="14"/>
  <c r="S12" i="14"/>
  <c r="T12" i="14"/>
  <c r="S13" i="14"/>
  <c r="T13" i="14"/>
  <c r="S14" i="14"/>
  <c r="T14" i="14"/>
  <c r="S15" i="14"/>
  <c r="T15" i="14"/>
  <c r="S16" i="14"/>
  <c r="T16" i="14"/>
  <c r="S17" i="14"/>
  <c r="T17" i="14"/>
  <c r="S18" i="14"/>
  <c r="T18" i="14"/>
  <c r="S19" i="14"/>
  <c r="T19" i="14"/>
  <c r="S20" i="14"/>
  <c r="T20" i="14"/>
  <c r="T3" i="14"/>
  <c r="S21" i="14"/>
  <c r="T21" i="14"/>
  <c r="T4" i="14"/>
  <c r="S5" i="14"/>
  <c r="T5" i="14"/>
  <c r="S6" i="14"/>
  <c r="T6" i="14"/>
  <c r="S7" i="14"/>
  <c r="T7" i="14"/>
  <c r="S8" i="14"/>
  <c r="T8" i="14"/>
  <c r="S9" i="14"/>
  <c r="T9" i="14"/>
  <c r="S10" i="14"/>
  <c r="T10" i="14"/>
  <c r="K21" i="12"/>
  <c r="M21" i="12" s="1"/>
  <c r="K22" i="12"/>
  <c r="D20" i="5"/>
  <c r="C77" i="9" s="1"/>
  <c r="E23" i="17"/>
  <c r="E28" i="17"/>
  <c r="E30" i="17"/>
  <c r="D12" i="5"/>
  <c r="C65" i="9" s="1"/>
  <c r="D67" i="5"/>
  <c r="C62" i="9" s="1"/>
  <c r="L40" i="5"/>
  <c r="C58" i="9"/>
  <c r="C59" i="9"/>
  <c r="L43" i="5"/>
  <c r="C61" i="9"/>
  <c r="C39" i="5"/>
  <c r="C56" i="9" s="1"/>
  <c r="L157" i="5"/>
  <c r="C21" i="9"/>
  <c r="D4" i="27"/>
  <c r="E4" i="27" s="1"/>
  <c r="D5" i="27"/>
  <c r="E5" i="27" s="1"/>
  <c r="D6" i="27"/>
  <c r="E6" i="27" s="1"/>
  <c r="E71" i="5"/>
  <c r="B3" i="3"/>
  <c r="C3" i="3"/>
  <c r="B2" i="3"/>
  <c r="D14" i="1"/>
  <c r="D22" i="1"/>
  <c r="T19" i="2"/>
  <c r="T27" i="2"/>
  <c r="F105" i="5"/>
  <c r="D92" i="5"/>
  <c r="D46" i="5"/>
  <c r="C96" i="5"/>
  <c r="C97" i="5"/>
  <c r="E96" i="5"/>
  <c r="E97" i="5"/>
  <c r="C98" i="5"/>
  <c r="G97" i="5"/>
  <c r="I96" i="5"/>
  <c r="I97" i="5"/>
  <c r="G96" i="5"/>
  <c r="B5" i="5"/>
  <c r="B69" i="5"/>
  <c r="F17" i="19"/>
  <c r="A21" i="19" s="1"/>
  <c r="D8" i="21"/>
  <c r="D7" i="21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8" i="1"/>
  <c r="D19" i="1"/>
  <c r="D20" i="1"/>
  <c r="D21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" i="1"/>
  <c r="K31" i="10"/>
  <c r="K32" i="10"/>
  <c r="L9" i="13"/>
  <c r="L10" i="13"/>
  <c r="L11" i="13"/>
  <c r="L12" i="13"/>
  <c r="L13" i="13"/>
  <c r="L14" i="13"/>
  <c r="L15" i="13"/>
  <c r="L16" i="13"/>
  <c r="L17" i="13"/>
  <c r="L18" i="13"/>
  <c r="L19" i="13"/>
  <c r="L20" i="13"/>
  <c r="L21" i="13"/>
  <c r="L22" i="13"/>
  <c r="L23" i="13"/>
  <c r="L24" i="13"/>
  <c r="L25" i="13"/>
  <c r="L26" i="13"/>
  <c r="L27" i="13"/>
  <c r="L28" i="13"/>
  <c r="K9" i="13"/>
  <c r="K10" i="13"/>
  <c r="K11" i="13"/>
  <c r="K12" i="13"/>
  <c r="K13" i="13"/>
  <c r="K14" i="13"/>
  <c r="K15" i="13"/>
  <c r="K16" i="13"/>
  <c r="K17" i="13"/>
  <c r="K18" i="13"/>
  <c r="K19" i="13"/>
  <c r="J19" i="13"/>
  <c r="K20" i="13"/>
  <c r="J20" i="13"/>
  <c r="K21" i="13"/>
  <c r="J21" i="13"/>
  <c r="K22" i="13"/>
  <c r="J22" i="13"/>
  <c r="K23" i="13"/>
  <c r="K24" i="13"/>
  <c r="J24" i="13"/>
  <c r="K25" i="13"/>
  <c r="K26" i="13"/>
  <c r="J26" i="13"/>
  <c r="K27" i="13"/>
  <c r="K28" i="13"/>
  <c r="B1" i="16"/>
  <c r="F1" i="16"/>
  <c r="D1" i="16"/>
  <c r="AB1" i="16"/>
  <c r="E31" i="10"/>
  <c r="I31" i="10"/>
  <c r="E32" i="10"/>
  <c r="I32" i="10"/>
  <c r="E33" i="10"/>
  <c r="G33" i="10"/>
  <c r="I33" i="10"/>
  <c r="K33" i="10"/>
  <c r="E34" i="10"/>
  <c r="G34" i="10"/>
  <c r="I34" i="10"/>
  <c r="K34" i="10"/>
  <c r="E35" i="10"/>
  <c r="G35" i="10"/>
  <c r="I35" i="10"/>
  <c r="K35" i="10"/>
  <c r="F37" i="10"/>
  <c r="B35" i="30"/>
  <c r="G18" i="30"/>
  <c r="G19" i="30"/>
  <c r="G20" i="30"/>
  <c r="B21" i="30"/>
  <c r="F3" i="30"/>
  <c r="F4" i="30"/>
  <c r="B3" i="30"/>
  <c r="F5" i="30"/>
  <c r="B34" i="28"/>
  <c r="F3" i="28"/>
  <c r="F4" i="28"/>
  <c r="B3" i="28"/>
  <c r="F5" i="28"/>
  <c r="B35" i="31"/>
  <c r="B21" i="31"/>
  <c r="G17" i="31"/>
  <c r="G18" i="31"/>
  <c r="G19" i="31"/>
  <c r="F3" i="31"/>
  <c r="F4" i="31"/>
  <c r="B3" i="31"/>
  <c r="F5" i="31"/>
  <c r="B35" i="29"/>
  <c r="G17" i="29"/>
  <c r="G18" i="29"/>
  <c r="B21" i="29"/>
  <c r="F3" i="29"/>
  <c r="F4" i="29"/>
  <c r="B3" i="29"/>
  <c r="F5" i="29"/>
  <c r="B32" i="32"/>
  <c r="F3" i="32"/>
  <c r="F4" i="32"/>
  <c r="B3" i="32"/>
  <c r="F5" i="3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20" i="2"/>
  <c r="T21" i="2"/>
  <c r="T22" i="2"/>
  <c r="T23" i="2"/>
  <c r="T24" i="2"/>
  <c r="T25" i="2"/>
  <c r="T26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2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3" i="2"/>
  <c r="I11" i="21" l="1"/>
  <c r="M11" i="21"/>
  <c r="Q11" i="21"/>
  <c r="K11" i="21"/>
  <c r="O11" i="21"/>
  <c r="S11" i="21"/>
  <c r="R11" i="21"/>
  <c r="L11" i="21"/>
  <c r="H11" i="21"/>
  <c r="J11" i="21"/>
  <c r="P11" i="21"/>
  <c r="N11" i="21"/>
  <c r="H14" i="21"/>
  <c r="L14" i="21"/>
  <c r="P14" i="21"/>
  <c r="J14" i="21"/>
  <c r="N14" i="21"/>
  <c r="R14" i="21"/>
  <c r="O14" i="21"/>
  <c r="Q14" i="21"/>
  <c r="K14" i="21"/>
  <c r="S14" i="21"/>
  <c r="M14" i="21"/>
  <c r="I14" i="21"/>
  <c r="H7" i="21"/>
  <c r="M7" i="21"/>
  <c r="R7" i="21"/>
  <c r="P7" i="21"/>
  <c r="J7" i="21"/>
  <c r="O7" i="21"/>
  <c r="Q7" i="21"/>
  <c r="K7" i="21"/>
  <c r="I7" i="21"/>
  <c r="N7" i="21"/>
  <c r="S7" i="21"/>
  <c r="L7" i="21"/>
  <c r="H34" i="20"/>
  <c r="H12" i="21"/>
  <c r="L12" i="21"/>
  <c r="P12" i="21"/>
  <c r="J12" i="21"/>
  <c r="N12" i="21"/>
  <c r="R12" i="21"/>
  <c r="O12" i="21"/>
  <c r="K12" i="21"/>
  <c r="S12" i="21"/>
  <c r="I12" i="21"/>
  <c r="Q12" i="21"/>
  <c r="M12" i="21"/>
  <c r="H19" i="21"/>
  <c r="L19" i="21"/>
  <c r="P19" i="21"/>
  <c r="J19" i="21"/>
  <c r="N19" i="21"/>
  <c r="R19" i="21"/>
  <c r="O19" i="21"/>
  <c r="I19" i="21"/>
  <c r="Q19" i="21"/>
  <c r="K19" i="21"/>
  <c r="S19" i="21"/>
  <c r="M19" i="21"/>
  <c r="F27" i="20"/>
  <c r="P8" i="21"/>
  <c r="J8" i="21"/>
  <c r="O8" i="21"/>
  <c r="S8" i="21"/>
  <c r="H8" i="21"/>
  <c r="M8" i="21"/>
  <c r="R8" i="21"/>
  <c r="N8" i="21"/>
  <c r="L8" i="21"/>
  <c r="Q8" i="21"/>
  <c r="K8" i="21"/>
  <c r="I8" i="21"/>
  <c r="K15" i="21"/>
  <c r="S15" i="21"/>
  <c r="M15" i="21"/>
  <c r="Q15" i="21"/>
  <c r="I15" i="21"/>
  <c r="J15" i="21"/>
  <c r="L15" i="21"/>
  <c r="R15" i="21"/>
  <c r="N15" i="21"/>
  <c r="P15" i="21"/>
  <c r="H15" i="21"/>
  <c r="O15" i="21"/>
  <c r="I9" i="21"/>
  <c r="M9" i="21"/>
  <c r="Q9" i="21"/>
  <c r="K9" i="21"/>
  <c r="O9" i="21"/>
  <c r="S9" i="21"/>
  <c r="N9" i="21"/>
  <c r="P9" i="21"/>
  <c r="L9" i="21"/>
  <c r="J9" i="21"/>
  <c r="H9" i="21"/>
  <c r="R9" i="21"/>
  <c r="L6" i="27"/>
  <c r="H16" i="20" s="1"/>
  <c r="J5" i="27"/>
  <c r="D15" i="20" s="1"/>
  <c r="L5" i="27"/>
  <c r="H15" i="20" s="1"/>
  <c r="J4" i="27"/>
  <c r="D14" i="20" s="1"/>
  <c r="L4" i="27"/>
  <c r="H14" i="20" s="1"/>
  <c r="J3" i="27"/>
  <c r="D12" i="20" s="1"/>
  <c r="L3" i="27"/>
  <c r="H12" i="20" s="1"/>
  <c r="K6" i="27"/>
  <c r="J6" i="27"/>
  <c r="D16" i="20" s="1"/>
  <c r="C71" i="9"/>
  <c r="G32" i="20"/>
  <c r="E32" i="20"/>
  <c r="B32" i="20" s="1"/>
  <c r="K3" i="27"/>
  <c r="K5" i="27"/>
  <c r="K4" i="27"/>
  <c r="E16" i="20"/>
  <c r="F18" i="21"/>
  <c r="F42" i="20"/>
  <c r="G32" i="10" s="1"/>
  <c r="M22" i="12"/>
  <c r="N22" i="12"/>
  <c r="G29" i="28"/>
  <c r="G27" i="32"/>
  <c r="H32" i="20"/>
  <c r="G30" i="28"/>
  <c r="G28" i="32"/>
  <c r="P33" i="14"/>
  <c r="G13" i="32"/>
  <c r="G15" i="32" s="1"/>
  <c r="A13" i="32" s="1"/>
  <c r="G15" i="31"/>
  <c r="G14" i="31" s="1"/>
  <c r="G16" i="30"/>
  <c r="G15" i="30" s="1"/>
  <c r="AC23" i="16"/>
  <c r="AA23" i="16"/>
  <c r="S23" i="16"/>
  <c r="K23" i="16"/>
  <c r="Z23" i="16"/>
  <c r="R23" i="16"/>
  <c r="J23" i="16"/>
  <c r="W23" i="16"/>
  <c r="O23" i="16"/>
  <c r="AD23" i="16"/>
  <c r="V23" i="16"/>
  <c r="N23" i="16"/>
  <c r="F23" i="16"/>
  <c r="T23" i="16"/>
  <c r="I23" i="16"/>
  <c r="Y23" i="16"/>
  <c r="H23" i="16"/>
  <c r="X23" i="16"/>
  <c r="M23" i="16"/>
  <c r="L23" i="16"/>
  <c r="AB23" i="16"/>
  <c r="Q23" i="16"/>
  <c r="P23" i="16"/>
  <c r="E23" i="16"/>
  <c r="U23" i="16"/>
  <c r="J28" i="13"/>
  <c r="J27" i="13"/>
  <c r="G26" i="30"/>
  <c r="F13" i="21"/>
  <c r="D24" i="3"/>
  <c r="E31" i="3"/>
  <c r="E34" i="20"/>
  <c r="Z2" i="14"/>
  <c r="AA2" i="14" s="1"/>
  <c r="Z10" i="14"/>
  <c r="AA10" i="14" s="1"/>
  <c r="Z9" i="14"/>
  <c r="AA9" i="14" s="1"/>
  <c r="Z8" i="14"/>
  <c r="AA8" i="14" s="1"/>
  <c r="Z7" i="14"/>
  <c r="AA7" i="14" s="1"/>
  <c r="Z6" i="14"/>
  <c r="AA6" i="14" s="1"/>
  <c r="Z5" i="14"/>
  <c r="AA5" i="14" s="1"/>
  <c r="Z4" i="14"/>
  <c r="AA4" i="14" s="1"/>
  <c r="Z21" i="14"/>
  <c r="AA21" i="14" s="1"/>
  <c r="S3" i="14"/>
  <c r="Z3" i="14"/>
  <c r="AA3" i="14" s="1"/>
  <c r="Z20" i="14"/>
  <c r="AA20" i="14" s="1"/>
  <c r="Z19" i="14"/>
  <c r="AA19" i="14" s="1"/>
  <c r="Z18" i="14"/>
  <c r="AA18" i="14" s="1"/>
  <c r="Z17" i="14"/>
  <c r="AA17" i="14" s="1"/>
  <c r="Z16" i="14"/>
  <c r="AA16" i="14" s="1"/>
  <c r="Z15" i="14"/>
  <c r="AA15" i="14" s="1"/>
  <c r="Z14" i="14"/>
  <c r="AA14" i="14" s="1"/>
  <c r="Z13" i="14"/>
  <c r="AA13" i="14" s="1"/>
  <c r="Z12" i="14"/>
  <c r="AA12" i="14" s="1"/>
  <c r="Z11" i="14"/>
  <c r="AA11" i="14" s="1"/>
  <c r="F26" i="20"/>
  <c r="E15" i="20"/>
  <c r="D9" i="5" s="1"/>
  <c r="S2" i="14"/>
  <c r="T2" i="14"/>
  <c r="I9" i="61"/>
  <c r="M9" i="61"/>
  <c r="Q9" i="61"/>
  <c r="U9" i="61"/>
  <c r="Y9" i="61"/>
  <c r="AC9" i="61"/>
  <c r="N9" i="61"/>
  <c r="V9" i="61"/>
  <c r="AD9" i="61"/>
  <c r="K9" i="61"/>
  <c r="O9" i="61"/>
  <c r="S9" i="61"/>
  <c r="W9" i="61"/>
  <c r="AA9" i="61"/>
  <c r="AE9" i="61"/>
  <c r="H9" i="61"/>
  <c r="L9" i="61"/>
  <c r="P9" i="61"/>
  <c r="T9" i="61"/>
  <c r="X9" i="61"/>
  <c r="AB9" i="61"/>
  <c r="J9" i="61"/>
  <c r="R9" i="61"/>
  <c r="Z9" i="61"/>
  <c r="H5" i="61"/>
  <c r="AB5" i="61"/>
  <c r="I5" i="61"/>
  <c r="M5" i="61"/>
  <c r="Q5" i="61"/>
  <c r="U5" i="61"/>
  <c r="Y5" i="61"/>
  <c r="AC5" i="61"/>
  <c r="J5" i="61"/>
  <c r="N5" i="61"/>
  <c r="R5" i="61"/>
  <c r="V5" i="61"/>
  <c r="Z5" i="61"/>
  <c r="AD5" i="61"/>
  <c r="K5" i="61"/>
  <c r="O5" i="61"/>
  <c r="S5" i="61"/>
  <c r="W5" i="61"/>
  <c r="AA5" i="61"/>
  <c r="AE5" i="61"/>
  <c r="L5" i="61"/>
  <c r="P5" i="61"/>
  <c r="T5" i="61"/>
  <c r="X5" i="61"/>
  <c r="H4" i="61"/>
  <c r="L4" i="61"/>
  <c r="P4" i="61"/>
  <c r="T4" i="61"/>
  <c r="X4" i="61"/>
  <c r="AB4" i="61"/>
  <c r="N4" i="61"/>
  <c r="Z4" i="61"/>
  <c r="I4" i="61"/>
  <c r="K4" i="61"/>
  <c r="O4" i="61"/>
  <c r="S4" i="61"/>
  <c r="W4" i="61"/>
  <c r="AA4" i="61"/>
  <c r="AE4" i="61"/>
  <c r="M4" i="61"/>
  <c r="Q4" i="61"/>
  <c r="U4" i="61"/>
  <c r="Y4" i="61"/>
  <c r="AC4" i="61"/>
  <c r="J4" i="61"/>
  <c r="R4" i="61"/>
  <c r="V4" i="61"/>
  <c r="AD4" i="61"/>
  <c r="H12" i="61"/>
  <c r="I12" i="61"/>
  <c r="M12" i="61"/>
  <c r="Q12" i="61"/>
  <c r="U12" i="61"/>
  <c r="Y12" i="61"/>
  <c r="AC12" i="61"/>
  <c r="R12" i="61"/>
  <c r="AD12" i="61"/>
  <c r="J12" i="61"/>
  <c r="V12" i="61"/>
  <c r="K12" i="61"/>
  <c r="O12" i="61"/>
  <c r="S12" i="61"/>
  <c r="W12" i="61"/>
  <c r="AA12" i="61"/>
  <c r="AE12" i="61"/>
  <c r="L12" i="61"/>
  <c r="P12" i="61"/>
  <c r="T12" i="61"/>
  <c r="X12" i="61"/>
  <c r="AB12" i="61"/>
  <c r="N12" i="61"/>
  <c r="Z12" i="61"/>
  <c r="D22" i="16"/>
  <c r="E22" i="16" s="1"/>
  <c r="D22" i="61"/>
  <c r="D21" i="16"/>
  <c r="W21" i="16" s="1"/>
  <c r="D21" i="61"/>
  <c r="D20" i="16"/>
  <c r="F20" i="16" s="1"/>
  <c r="D20" i="61"/>
  <c r="D19" i="16"/>
  <c r="S19" i="16" s="1"/>
  <c r="D19" i="61"/>
  <c r="Z18" i="61"/>
  <c r="AD18" i="61"/>
  <c r="V18" i="61"/>
  <c r="N18" i="61"/>
  <c r="Y18" i="61"/>
  <c r="I18" i="61"/>
  <c r="S18" i="61"/>
  <c r="T18" i="61"/>
  <c r="P18" i="61"/>
  <c r="M18" i="61"/>
  <c r="U18" i="61"/>
  <c r="E18" i="61"/>
  <c r="O18" i="61"/>
  <c r="L18" i="61"/>
  <c r="H18" i="61"/>
  <c r="AC18" i="61"/>
  <c r="X18" i="61"/>
  <c r="J18" i="61"/>
  <c r="Q18" i="61"/>
  <c r="AA18" i="61"/>
  <c r="K18" i="61"/>
  <c r="F18" i="61"/>
  <c r="R18" i="61"/>
  <c r="W18" i="61"/>
  <c r="AB18" i="61"/>
  <c r="D17" i="16"/>
  <c r="Q17" i="16" s="1"/>
  <c r="D17" i="61"/>
  <c r="D16" i="61"/>
  <c r="D15" i="61"/>
  <c r="D14" i="61"/>
  <c r="G20" i="16"/>
  <c r="G20" i="61"/>
  <c r="G19" i="16"/>
  <c r="G19" i="61"/>
  <c r="G18" i="16"/>
  <c r="G18" i="61"/>
  <c r="J9" i="13"/>
  <c r="E3" i="61"/>
  <c r="D13" i="61"/>
  <c r="F12" i="61"/>
  <c r="E12" i="61"/>
  <c r="D11" i="61"/>
  <c r="D10" i="16"/>
  <c r="Z10" i="16" s="1"/>
  <c r="D10" i="61"/>
  <c r="F9" i="61"/>
  <c r="E9" i="61"/>
  <c r="D8" i="16"/>
  <c r="W8" i="16" s="1"/>
  <c r="D8" i="61"/>
  <c r="D7" i="16"/>
  <c r="Q7" i="16" s="1"/>
  <c r="D7" i="61"/>
  <c r="D6" i="16"/>
  <c r="X6" i="16" s="1"/>
  <c r="D6" i="61"/>
  <c r="E5" i="61"/>
  <c r="F5" i="61"/>
  <c r="F4" i="61"/>
  <c r="E4" i="61"/>
  <c r="D18" i="16"/>
  <c r="F18" i="16" s="1"/>
  <c r="R2" i="14"/>
  <c r="G24" i="28"/>
  <c r="F36" i="20"/>
  <c r="F89" i="5" s="1"/>
  <c r="D89" i="5" s="1"/>
  <c r="L89" i="5" s="1"/>
  <c r="F37" i="20"/>
  <c r="F90" i="5" s="1"/>
  <c r="D90" i="5" s="1"/>
  <c r="L90" i="5" s="1"/>
  <c r="F32" i="20"/>
  <c r="G16" i="29"/>
  <c r="G15" i="29" s="1"/>
  <c r="F10" i="21"/>
  <c r="F29" i="20"/>
  <c r="F79" i="5" s="1"/>
  <c r="D79" i="5" s="1"/>
  <c r="L79" i="5" s="1"/>
  <c r="J22" i="20"/>
  <c r="G18" i="32"/>
  <c r="G19" i="32" s="1"/>
  <c r="A17" i="32" s="1"/>
  <c r="G16" i="31"/>
  <c r="G16" i="28"/>
  <c r="E14" i="20"/>
  <c r="S4" i="14"/>
  <c r="E55" i="5"/>
  <c r="R3" i="14"/>
  <c r="K18" i="12"/>
  <c r="L18" i="12" s="1"/>
  <c r="L23" i="12" s="1"/>
  <c r="K20" i="12"/>
  <c r="K19" i="12"/>
  <c r="M19" i="12" s="1"/>
  <c r="J11" i="13"/>
  <c r="AE14" i="10"/>
  <c r="J10" i="13"/>
  <c r="AE18" i="10"/>
  <c r="J57" i="5"/>
  <c r="E20" i="3"/>
  <c r="D16" i="3"/>
  <c r="D14" i="3"/>
  <c r="D15" i="3"/>
  <c r="D28" i="3"/>
  <c r="E15" i="3"/>
  <c r="G5" i="3"/>
  <c r="D20" i="3"/>
  <c r="E33" i="3"/>
  <c r="D36" i="3"/>
  <c r="D33" i="3"/>
  <c r="E9" i="3"/>
  <c r="D19" i="3"/>
  <c r="D12" i="3"/>
  <c r="E36" i="3"/>
  <c r="D35" i="3"/>
  <c r="E19" i="3"/>
  <c r="E16" i="3"/>
  <c r="E11" i="3"/>
  <c r="E30" i="3"/>
  <c r="D11" i="3"/>
  <c r="E27" i="3"/>
  <c r="D10" i="3"/>
  <c r="C5" i="3"/>
  <c r="B3" i="24"/>
  <c r="C63" i="5"/>
  <c r="C60" i="9"/>
  <c r="D14" i="16"/>
  <c r="R14" i="16" s="1"/>
  <c r="L158" i="5"/>
  <c r="D12" i="16"/>
  <c r="V12" i="16" s="1"/>
  <c r="L42" i="5"/>
  <c r="E14" i="3"/>
  <c r="D27" i="3"/>
  <c r="D30" i="3"/>
  <c r="L160" i="5"/>
  <c r="AA3" i="16"/>
  <c r="J3" i="16"/>
  <c r="X3" i="16"/>
  <c r="AB3" i="16"/>
  <c r="L3" i="16"/>
  <c r="C62" i="5"/>
  <c r="G62" i="5" s="1"/>
  <c r="AE11" i="10"/>
  <c r="G23" i="32"/>
  <c r="G30" i="30"/>
  <c r="G30" i="29"/>
  <c r="G30" i="31"/>
  <c r="T3" i="16"/>
  <c r="P3" i="16"/>
  <c r="C35" i="9"/>
  <c r="B26" i="24"/>
  <c r="C26" i="24" s="1"/>
  <c r="G31" i="29"/>
  <c r="L44" i="5"/>
  <c r="L41" i="5"/>
  <c r="L39" i="5"/>
  <c r="G26" i="31"/>
  <c r="G26" i="29"/>
  <c r="D31" i="3"/>
  <c r="G25" i="31"/>
  <c r="G25" i="30"/>
  <c r="G22" i="32"/>
  <c r="G25" i="29"/>
  <c r="D4" i="21"/>
  <c r="C34" i="9"/>
  <c r="L159" i="5"/>
  <c r="K9" i="14"/>
  <c r="K7" i="14"/>
  <c r="K5" i="14"/>
  <c r="K21" i="14"/>
  <c r="K3" i="14"/>
  <c r="K19" i="14"/>
  <c r="K17" i="14"/>
  <c r="K15" i="14"/>
  <c r="K13" i="14"/>
  <c r="K11" i="14"/>
  <c r="H3" i="16"/>
  <c r="M3" i="16"/>
  <c r="Q3" i="16"/>
  <c r="U3" i="16"/>
  <c r="Y3" i="16"/>
  <c r="AC3" i="16"/>
  <c r="I3" i="16"/>
  <c r="N3" i="16"/>
  <c r="R3" i="16"/>
  <c r="V3" i="16"/>
  <c r="Z3" i="16"/>
  <c r="AD3" i="16"/>
  <c r="K3" i="16"/>
  <c r="O3" i="16"/>
  <c r="S3" i="16"/>
  <c r="W3" i="16"/>
  <c r="C38" i="9"/>
  <c r="G31" i="30"/>
  <c r="G31" i="31"/>
  <c r="C57" i="9"/>
  <c r="D72" i="5"/>
  <c r="G17" i="30"/>
  <c r="G32" i="29"/>
  <c r="G32" i="30"/>
  <c r="G31" i="28"/>
  <c r="G32" i="31"/>
  <c r="K8" i="14"/>
  <c r="K6" i="14"/>
  <c r="K20" i="14"/>
  <c r="K18" i="14"/>
  <c r="K16" i="14"/>
  <c r="K14" i="14"/>
  <c r="K12" i="14"/>
  <c r="K2" i="14"/>
  <c r="K10" i="14"/>
  <c r="K4" i="14"/>
  <c r="G29" i="32"/>
  <c r="AE10" i="10"/>
  <c r="J52" i="5"/>
  <c r="J53" i="5"/>
  <c r="C52" i="5"/>
  <c r="G52" i="5" s="1"/>
  <c r="C53" i="5"/>
  <c r="C56" i="5"/>
  <c r="J51" i="5"/>
  <c r="C51" i="5"/>
  <c r="C60" i="5"/>
  <c r="B12" i="24"/>
  <c r="C54" i="5"/>
  <c r="L55" i="5"/>
  <c r="C59" i="5"/>
  <c r="C58" i="5"/>
  <c r="A18" i="19"/>
  <c r="F41" i="20" s="1"/>
  <c r="G31" i="10" s="1"/>
  <c r="D5" i="3"/>
  <c r="D3" i="5"/>
  <c r="C61" i="5"/>
  <c r="G5" i="61"/>
  <c r="D5" i="16"/>
  <c r="D11" i="16"/>
  <c r="G11" i="61"/>
  <c r="B16" i="24"/>
  <c r="D16" i="24" s="1"/>
  <c r="G21" i="16"/>
  <c r="C65" i="5"/>
  <c r="D15" i="16"/>
  <c r="G15" i="61"/>
  <c r="O9" i="13"/>
  <c r="R9" i="13"/>
  <c r="F22" i="21"/>
  <c r="F87" i="5"/>
  <c r="E12" i="20"/>
  <c r="G16" i="61"/>
  <c r="D16" i="16"/>
  <c r="G13" i="61"/>
  <c r="D13" i="16"/>
  <c r="C57" i="5"/>
  <c r="C64" i="5"/>
  <c r="D4" i="16"/>
  <c r="F71" i="5"/>
  <c r="D71" i="5" s="1"/>
  <c r="G9" i="61"/>
  <c r="D9" i="16"/>
  <c r="F3" i="16"/>
  <c r="E3" i="16"/>
  <c r="F21" i="21"/>
  <c r="G33" i="29" l="1"/>
  <c r="I10" i="21"/>
  <c r="N10" i="21"/>
  <c r="S10" i="21"/>
  <c r="M10" i="21"/>
  <c r="L10" i="21"/>
  <c r="Q10" i="21"/>
  <c r="K10" i="21"/>
  <c r="R10" i="21"/>
  <c r="P10" i="21"/>
  <c r="J10" i="21"/>
  <c r="O10" i="21"/>
  <c r="H10" i="21"/>
  <c r="K13" i="21"/>
  <c r="S13" i="21"/>
  <c r="O13" i="21"/>
  <c r="M13" i="21"/>
  <c r="I13" i="21"/>
  <c r="Q13" i="21"/>
  <c r="R13" i="21"/>
  <c r="N13" i="21"/>
  <c r="L13" i="21"/>
  <c r="P13" i="21"/>
  <c r="H13" i="21"/>
  <c r="J13" i="21"/>
  <c r="I22" i="21"/>
  <c r="Q22" i="21"/>
  <c r="O22" i="21"/>
  <c r="H22" i="21"/>
  <c r="N22" i="21"/>
  <c r="M22" i="21"/>
  <c r="K22" i="21"/>
  <c r="P22" i="21"/>
  <c r="R22" i="21"/>
  <c r="J22" i="21"/>
  <c r="S22" i="21"/>
  <c r="L22" i="21"/>
  <c r="H18" i="21"/>
  <c r="L18" i="21"/>
  <c r="P18" i="21"/>
  <c r="J18" i="21"/>
  <c r="N18" i="21"/>
  <c r="R18" i="21"/>
  <c r="O18" i="21"/>
  <c r="K18" i="21"/>
  <c r="S18" i="21"/>
  <c r="I18" i="21"/>
  <c r="Q18" i="21"/>
  <c r="M18" i="21"/>
  <c r="K21" i="21"/>
  <c r="O21" i="21"/>
  <c r="I21" i="21"/>
  <c r="S21" i="21"/>
  <c r="Q21" i="21"/>
  <c r="M21" i="21"/>
  <c r="N21" i="21"/>
  <c r="H21" i="21"/>
  <c r="L21" i="21"/>
  <c r="J21" i="21"/>
  <c r="R21" i="21"/>
  <c r="P21" i="21"/>
  <c r="B14" i="24"/>
  <c r="C14" i="24" s="1"/>
  <c r="B24" i="24"/>
  <c r="C24" i="24" s="1"/>
  <c r="B41" i="24"/>
  <c r="C41" i="24" s="1"/>
  <c r="B10" i="24"/>
  <c r="B9" i="24" s="1"/>
  <c r="C9" i="24" s="1"/>
  <c r="D8" i="5"/>
  <c r="E87" i="5"/>
  <c r="D87" i="5" s="1"/>
  <c r="B34" i="20"/>
  <c r="I70" i="5"/>
  <c r="H70" i="5" s="1"/>
  <c r="L22" i="20"/>
  <c r="J70" i="5" s="1"/>
  <c r="D10" i="5"/>
  <c r="F17" i="21"/>
  <c r="M21" i="14"/>
  <c r="AE21" i="14"/>
  <c r="AD21" i="14" s="1"/>
  <c r="AE20" i="14"/>
  <c r="AD20" i="14" s="1"/>
  <c r="C40" i="9" s="1"/>
  <c r="M20" i="14"/>
  <c r="AE19" i="14"/>
  <c r="AD19" i="14" s="1"/>
  <c r="M19" i="14"/>
  <c r="AE18" i="14"/>
  <c r="AD18" i="14" s="1"/>
  <c r="M18" i="14"/>
  <c r="M17" i="14"/>
  <c r="AE17" i="14"/>
  <c r="AD17" i="14" s="1"/>
  <c r="C37" i="9" s="1"/>
  <c r="AE16" i="14"/>
  <c r="AD16" i="14" s="1"/>
  <c r="C36" i="9" s="1"/>
  <c r="M16" i="14"/>
  <c r="AE15" i="14"/>
  <c r="AD15" i="14" s="1"/>
  <c r="M15" i="14"/>
  <c r="AE14" i="14"/>
  <c r="AD14" i="14" s="1"/>
  <c r="M14" i="14"/>
  <c r="M13" i="14"/>
  <c r="AE13" i="14"/>
  <c r="AD13" i="14" s="1"/>
  <c r="C33" i="9" s="1"/>
  <c r="AE12" i="14"/>
  <c r="AD12" i="14" s="1"/>
  <c r="C32" i="9" s="1"/>
  <c r="M12" i="14"/>
  <c r="AE11" i="14"/>
  <c r="AD11" i="14" s="1"/>
  <c r="C31" i="9" s="1"/>
  <c r="M11" i="14"/>
  <c r="AE10" i="14"/>
  <c r="AD10" i="14" s="1"/>
  <c r="C30" i="9" s="1"/>
  <c r="M10" i="14"/>
  <c r="M9" i="14"/>
  <c r="AE9" i="14"/>
  <c r="AD9" i="14" s="1"/>
  <c r="AE8" i="14"/>
  <c r="AD8" i="14" s="1"/>
  <c r="C28" i="9" s="1"/>
  <c r="M8" i="14"/>
  <c r="AE7" i="14"/>
  <c r="AD7" i="14" s="1"/>
  <c r="C27" i="9" s="1"/>
  <c r="M7" i="14"/>
  <c r="AE6" i="14"/>
  <c r="AD6" i="14" s="1"/>
  <c r="C26" i="9" s="1"/>
  <c r="M6" i="14"/>
  <c r="M5" i="14"/>
  <c r="AE5" i="14"/>
  <c r="AD5" i="14" s="1"/>
  <c r="AE4" i="14"/>
  <c r="AD4" i="14" s="1"/>
  <c r="M4" i="14"/>
  <c r="M3" i="14"/>
  <c r="AE3" i="14"/>
  <c r="AD3" i="14" s="1"/>
  <c r="M2" i="14"/>
  <c r="AE2" i="14"/>
  <c r="AD2" i="14" s="1"/>
  <c r="X2" i="14" s="1"/>
  <c r="AC2" i="14" s="1"/>
  <c r="G63" i="5"/>
  <c r="F81" i="5"/>
  <c r="D81" i="5" s="1"/>
  <c r="L81" i="5" s="1"/>
  <c r="F82" i="5"/>
  <c r="D82" i="5" s="1"/>
  <c r="L82" i="5" s="1"/>
  <c r="F3" i="21"/>
  <c r="C12" i="61"/>
  <c r="C8" i="61"/>
  <c r="C7" i="61"/>
  <c r="C5" i="61"/>
  <c r="C4" i="61"/>
  <c r="G14" i="28"/>
  <c r="G15" i="28"/>
  <c r="F75" i="5" s="1"/>
  <c r="D75" i="5" s="1"/>
  <c r="L75" i="5" s="1"/>
  <c r="R33" i="14"/>
  <c r="B20" i="24" s="1"/>
  <c r="C20" i="24" s="1"/>
  <c r="G13" i="31"/>
  <c r="S33" i="14"/>
  <c r="G14" i="30"/>
  <c r="G22" i="61"/>
  <c r="G32" i="16"/>
  <c r="G22" i="16"/>
  <c r="G12" i="61"/>
  <c r="C41" i="9"/>
  <c r="G21" i="61"/>
  <c r="D7" i="3"/>
  <c r="D23" i="3"/>
  <c r="C19" i="61"/>
  <c r="C19" i="16"/>
  <c r="C14" i="61"/>
  <c r="C14" i="16"/>
  <c r="C13" i="61"/>
  <c r="C13" i="16"/>
  <c r="R19" i="16"/>
  <c r="C21" i="61"/>
  <c r="C21" i="16"/>
  <c r="B39" i="24"/>
  <c r="C39" i="24" s="1"/>
  <c r="B37" i="24"/>
  <c r="C37" i="24" s="1"/>
  <c r="AC19" i="16"/>
  <c r="H19" i="16"/>
  <c r="V19" i="16"/>
  <c r="L19" i="16"/>
  <c r="Y19" i="16"/>
  <c r="F19" i="16"/>
  <c r="X19" i="16"/>
  <c r="U19" i="16"/>
  <c r="AB19" i="16"/>
  <c r="K19" i="16"/>
  <c r="AD19" i="16"/>
  <c r="N19" i="16"/>
  <c r="T19" i="16"/>
  <c r="O19" i="16"/>
  <c r="E19" i="16"/>
  <c r="Z19" i="16"/>
  <c r="J19" i="16"/>
  <c r="P19" i="16"/>
  <c r="M19" i="16"/>
  <c r="W19" i="16"/>
  <c r="U22" i="16"/>
  <c r="O22" i="16"/>
  <c r="V20" i="16"/>
  <c r="X20" i="16"/>
  <c r="U20" i="16"/>
  <c r="H20" i="16"/>
  <c r="AB22" i="16"/>
  <c r="L22" i="16"/>
  <c r="V22" i="16"/>
  <c r="Q20" i="16"/>
  <c r="L20" i="16"/>
  <c r="K20" i="16"/>
  <c r="Z20" i="16"/>
  <c r="AC20" i="16"/>
  <c r="W20" i="16"/>
  <c r="O20" i="16"/>
  <c r="N20" i="16"/>
  <c r="AD20" i="16"/>
  <c r="J20" i="16"/>
  <c r="M20" i="16"/>
  <c r="AB20" i="16"/>
  <c r="Y22" i="16"/>
  <c r="I22" i="16"/>
  <c r="P22" i="16"/>
  <c r="S22" i="16"/>
  <c r="N22" i="16"/>
  <c r="F22" i="16"/>
  <c r="Q22" i="16"/>
  <c r="X22" i="16"/>
  <c r="H22" i="16"/>
  <c r="R22" i="16"/>
  <c r="W22" i="16"/>
  <c r="AD22" i="16"/>
  <c r="AC22" i="16"/>
  <c r="M22" i="16"/>
  <c r="T22" i="16"/>
  <c r="K22" i="16"/>
  <c r="J22" i="16"/>
  <c r="E20" i="16"/>
  <c r="U8" i="16"/>
  <c r="H10" i="16"/>
  <c r="N10" i="16"/>
  <c r="K10" i="16"/>
  <c r="E10" i="16"/>
  <c r="S8" i="16"/>
  <c r="AA22" i="16"/>
  <c r="Z22" i="16"/>
  <c r="AD17" i="16"/>
  <c r="E17" i="16"/>
  <c r="AB17" i="16"/>
  <c r="S20" i="16"/>
  <c r="AA20" i="16"/>
  <c r="P8" i="16"/>
  <c r="N8" i="16"/>
  <c r="X8" i="16"/>
  <c r="AD8" i="16"/>
  <c r="H17" i="16"/>
  <c r="N17" i="16"/>
  <c r="L17" i="16"/>
  <c r="O17" i="16"/>
  <c r="F17" i="16"/>
  <c r="R17" i="16"/>
  <c r="X17" i="16"/>
  <c r="M17" i="16"/>
  <c r="G3" i="61"/>
  <c r="V17" i="16"/>
  <c r="P17" i="16"/>
  <c r="K17" i="16"/>
  <c r="AC17" i="16"/>
  <c r="I17" i="16"/>
  <c r="R20" i="16"/>
  <c r="Y20" i="16"/>
  <c r="I20" i="16"/>
  <c r="T20" i="16"/>
  <c r="P20" i="16"/>
  <c r="U10" i="16"/>
  <c r="AA10" i="16"/>
  <c r="T10" i="16"/>
  <c r="L10" i="16"/>
  <c r="O10" i="16"/>
  <c r="I10" i="16"/>
  <c r="AD10" i="16"/>
  <c r="S10" i="16"/>
  <c r="M10" i="16"/>
  <c r="AC10" i="16"/>
  <c r="R10" i="16"/>
  <c r="V10" i="16"/>
  <c r="W10" i="16"/>
  <c r="Q10" i="16"/>
  <c r="F10" i="16"/>
  <c r="J10" i="16"/>
  <c r="P10" i="16"/>
  <c r="AB10" i="16"/>
  <c r="Y10" i="16"/>
  <c r="X10" i="16"/>
  <c r="M8" i="16"/>
  <c r="AC8" i="16"/>
  <c r="AB8" i="16"/>
  <c r="V8" i="16"/>
  <c r="K8" i="16"/>
  <c r="AA8" i="16"/>
  <c r="H8" i="16"/>
  <c r="Q8" i="16"/>
  <c r="L8" i="16"/>
  <c r="J8" i="16"/>
  <c r="Z8" i="16"/>
  <c r="O8" i="16"/>
  <c r="E8" i="16"/>
  <c r="I8" i="16"/>
  <c r="Y8" i="16"/>
  <c r="T8" i="16"/>
  <c r="R8" i="16"/>
  <c r="F8" i="16"/>
  <c r="J17" i="16"/>
  <c r="S17" i="16"/>
  <c r="T17" i="16"/>
  <c r="Z17" i="16"/>
  <c r="AA17" i="16"/>
  <c r="U17" i="16"/>
  <c r="Y17" i="16"/>
  <c r="W17" i="16"/>
  <c r="T21" i="16"/>
  <c r="M21" i="16"/>
  <c r="AC21" i="16"/>
  <c r="V21" i="16"/>
  <c r="O21" i="16"/>
  <c r="E21" i="16"/>
  <c r="F21" i="16"/>
  <c r="P21" i="16"/>
  <c r="I21" i="16"/>
  <c r="Y21" i="16"/>
  <c r="R21" i="16"/>
  <c r="K21" i="16"/>
  <c r="AA21" i="16"/>
  <c r="H21" i="16"/>
  <c r="X21" i="16"/>
  <c r="Q21" i="16"/>
  <c r="J21" i="16"/>
  <c r="Z21" i="16"/>
  <c r="S21" i="16"/>
  <c r="L21" i="16"/>
  <c r="AB21" i="16"/>
  <c r="U21" i="16"/>
  <c r="N21" i="16"/>
  <c r="AD21" i="16"/>
  <c r="H7" i="16"/>
  <c r="P18" i="16"/>
  <c r="S18" i="16"/>
  <c r="E18" i="16"/>
  <c r="Y18" i="16"/>
  <c r="T7" i="16"/>
  <c r="AB7" i="16"/>
  <c r="V7" i="16"/>
  <c r="U7" i="16"/>
  <c r="F7" i="16"/>
  <c r="O7" i="16"/>
  <c r="I11" i="61"/>
  <c r="M11" i="61"/>
  <c r="Q11" i="61"/>
  <c r="U11" i="61"/>
  <c r="Y11" i="61"/>
  <c r="AC11" i="61"/>
  <c r="N11" i="61"/>
  <c r="V11" i="61"/>
  <c r="AD11" i="61"/>
  <c r="K11" i="61"/>
  <c r="O11" i="61"/>
  <c r="S11" i="61"/>
  <c r="W11" i="61"/>
  <c r="AA11" i="61"/>
  <c r="AE11" i="61"/>
  <c r="H11" i="61"/>
  <c r="L11" i="61"/>
  <c r="P11" i="61"/>
  <c r="T11" i="61"/>
  <c r="X11" i="61"/>
  <c r="AB11" i="61"/>
  <c r="J11" i="61"/>
  <c r="R11" i="61"/>
  <c r="Z11" i="61"/>
  <c r="H10" i="61"/>
  <c r="I10" i="61"/>
  <c r="M10" i="61"/>
  <c r="Q10" i="61"/>
  <c r="U10" i="61"/>
  <c r="Y10" i="61"/>
  <c r="AC10" i="61"/>
  <c r="J10" i="61"/>
  <c r="N10" i="61"/>
  <c r="R10" i="61"/>
  <c r="V10" i="61"/>
  <c r="Z10" i="61"/>
  <c r="AD10" i="61"/>
  <c r="O10" i="61"/>
  <c r="S10" i="61"/>
  <c r="W10" i="61"/>
  <c r="AA10" i="61"/>
  <c r="AE10" i="61"/>
  <c r="L10" i="61"/>
  <c r="P10" i="61"/>
  <c r="T10" i="61"/>
  <c r="X10" i="61"/>
  <c r="AB10" i="61"/>
  <c r="K10" i="61"/>
  <c r="I8" i="61"/>
  <c r="M8" i="61"/>
  <c r="Q8" i="61"/>
  <c r="U8" i="61"/>
  <c r="Y8" i="61"/>
  <c r="AC8" i="61"/>
  <c r="N8" i="61"/>
  <c r="V8" i="61"/>
  <c r="AD8" i="61"/>
  <c r="K8" i="61"/>
  <c r="O8" i="61"/>
  <c r="S8" i="61"/>
  <c r="W8" i="61"/>
  <c r="AA8" i="61"/>
  <c r="AE8" i="61"/>
  <c r="H8" i="61"/>
  <c r="L8" i="61"/>
  <c r="P8" i="61"/>
  <c r="T8" i="61"/>
  <c r="X8" i="61"/>
  <c r="AB8" i="61"/>
  <c r="J8" i="61"/>
  <c r="R8" i="61"/>
  <c r="Z8" i="61"/>
  <c r="J7" i="16"/>
  <c r="Z7" i="16"/>
  <c r="S7" i="16"/>
  <c r="L7" i="16"/>
  <c r="I7" i="16"/>
  <c r="Y7" i="16"/>
  <c r="E7" i="16"/>
  <c r="N7" i="16"/>
  <c r="AD7" i="16"/>
  <c r="W7" i="16"/>
  <c r="P7" i="16"/>
  <c r="M7" i="16"/>
  <c r="AC7" i="16"/>
  <c r="R7" i="16"/>
  <c r="K7" i="16"/>
  <c r="AA7" i="16"/>
  <c r="X7" i="16"/>
  <c r="H7" i="61"/>
  <c r="I7" i="61"/>
  <c r="M7" i="61"/>
  <c r="Q7" i="61"/>
  <c r="U7" i="61"/>
  <c r="Y7" i="61"/>
  <c r="AC7" i="61"/>
  <c r="AD7" i="61"/>
  <c r="J7" i="61"/>
  <c r="N7" i="61"/>
  <c r="R7" i="61"/>
  <c r="V7" i="61"/>
  <c r="K7" i="61"/>
  <c r="O7" i="61"/>
  <c r="S7" i="61"/>
  <c r="W7" i="61"/>
  <c r="AA7" i="61"/>
  <c r="AE7" i="61"/>
  <c r="L7" i="61"/>
  <c r="P7" i="61"/>
  <c r="T7" i="61"/>
  <c r="X7" i="61"/>
  <c r="AB7" i="61"/>
  <c r="Z7" i="61"/>
  <c r="I6" i="61"/>
  <c r="M6" i="61"/>
  <c r="Q6" i="61"/>
  <c r="U6" i="61"/>
  <c r="Y6" i="61"/>
  <c r="AC6" i="61"/>
  <c r="J6" i="61"/>
  <c r="V6" i="61"/>
  <c r="AD6" i="61"/>
  <c r="K6" i="61"/>
  <c r="O6" i="61"/>
  <c r="S6" i="61"/>
  <c r="W6" i="61"/>
  <c r="AA6" i="61"/>
  <c r="AE6" i="61"/>
  <c r="H6" i="61"/>
  <c r="L6" i="61"/>
  <c r="P6" i="61"/>
  <c r="T6" i="61"/>
  <c r="X6" i="61"/>
  <c r="AB6" i="61"/>
  <c r="N6" i="61"/>
  <c r="R6" i="61"/>
  <c r="Z6" i="61"/>
  <c r="Q19" i="16"/>
  <c r="AA19" i="16"/>
  <c r="I19" i="16"/>
  <c r="Y13" i="61"/>
  <c r="N13" i="61"/>
  <c r="R13" i="61"/>
  <c r="Z13" i="61"/>
  <c r="K13" i="61"/>
  <c r="O13" i="61"/>
  <c r="S13" i="61"/>
  <c r="W13" i="61"/>
  <c r="AA13" i="61"/>
  <c r="AE13" i="61"/>
  <c r="H13" i="61"/>
  <c r="L13" i="61"/>
  <c r="P13" i="61"/>
  <c r="T13" i="61"/>
  <c r="X13" i="61"/>
  <c r="AB13" i="61"/>
  <c r="I13" i="61"/>
  <c r="M13" i="61"/>
  <c r="Q13" i="61"/>
  <c r="U13" i="61"/>
  <c r="AC13" i="61"/>
  <c r="J13" i="61"/>
  <c r="V13" i="61"/>
  <c r="AD13" i="61"/>
  <c r="E6" i="16"/>
  <c r="M6" i="16"/>
  <c r="J6" i="16"/>
  <c r="Z6" i="16"/>
  <c r="S6" i="16"/>
  <c r="L6" i="16"/>
  <c r="AB6" i="16"/>
  <c r="U6" i="16"/>
  <c r="N6" i="16"/>
  <c r="AD6" i="16"/>
  <c r="W6" i="16"/>
  <c r="P6" i="16"/>
  <c r="Q6" i="16"/>
  <c r="F6" i="16"/>
  <c r="Y6" i="16"/>
  <c r="R6" i="16"/>
  <c r="K6" i="16"/>
  <c r="AA6" i="16"/>
  <c r="T6" i="16"/>
  <c r="I6" i="16"/>
  <c r="AC6" i="16"/>
  <c r="V6" i="16"/>
  <c r="O6" i="16"/>
  <c r="H6" i="16"/>
  <c r="X22" i="61"/>
  <c r="AD22" i="61"/>
  <c r="V22" i="61"/>
  <c r="N22" i="61"/>
  <c r="H22" i="61"/>
  <c r="U22" i="61"/>
  <c r="E22" i="61"/>
  <c r="O22" i="61"/>
  <c r="Z22" i="61"/>
  <c r="AB22" i="61"/>
  <c r="P22" i="61"/>
  <c r="Q22" i="61"/>
  <c r="AA22" i="61"/>
  <c r="K22" i="61"/>
  <c r="F22" i="61"/>
  <c r="M22" i="61"/>
  <c r="J22" i="61"/>
  <c r="L22" i="61"/>
  <c r="I22" i="61"/>
  <c r="R22" i="61"/>
  <c r="AC22" i="61"/>
  <c r="W22" i="61"/>
  <c r="S22" i="61"/>
  <c r="Y22" i="61"/>
  <c r="T22" i="61"/>
  <c r="AD21" i="61"/>
  <c r="J21" i="61"/>
  <c r="Y21" i="61"/>
  <c r="I21" i="61"/>
  <c r="S21" i="61"/>
  <c r="T21" i="61"/>
  <c r="P21" i="61"/>
  <c r="Z21" i="61"/>
  <c r="U21" i="61"/>
  <c r="E21" i="61"/>
  <c r="O21" i="61"/>
  <c r="L21" i="61"/>
  <c r="H21" i="61"/>
  <c r="W21" i="61"/>
  <c r="V21" i="61"/>
  <c r="N21" i="61"/>
  <c r="Q21" i="61"/>
  <c r="AA21" i="61"/>
  <c r="K21" i="61"/>
  <c r="F21" i="61"/>
  <c r="R21" i="61"/>
  <c r="AB21" i="61"/>
  <c r="AC21" i="61"/>
  <c r="M21" i="61"/>
  <c r="X21" i="61"/>
  <c r="Z20" i="61"/>
  <c r="V20" i="61"/>
  <c r="AD20" i="61"/>
  <c r="J20" i="61"/>
  <c r="N20" i="61"/>
  <c r="U20" i="61"/>
  <c r="E20" i="61"/>
  <c r="O20" i="61"/>
  <c r="L20" i="61"/>
  <c r="H20" i="61"/>
  <c r="Q20" i="61"/>
  <c r="AA20" i="61"/>
  <c r="K20" i="61"/>
  <c r="F20" i="61"/>
  <c r="R20" i="61"/>
  <c r="I20" i="61"/>
  <c r="T20" i="61"/>
  <c r="AC20" i="61"/>
  <c r="M20" i="61"/>
  <c r="W20" i="61"/>
  <c r="AB20" i="61"/>
  <c r="X20" i="61"/>
  <c r="Y20" i="61"/>
  <c r="S20" i="61"/>
  <c r="P20" i="61"/>
  <c r="AC19" i="61"/>
  <c r="M19" i="61"/>
  <c r="W19" i="61"/>
  <c r="AB19" i="61"/>
  <c r="X19" i="61"/>
  <c r="J19" i="61"/>
  <c r="Y19" i="61"/>
  <c r="I19" i="61"/>
  <c r="S19" i="61"/>
  <c r="T19" i="61"/>
  <c r="P19" i="61"/>
  <c r="Z19" i="61"/>
  <c r="U19" i="61"/>
  <c r="E19" i="61"/>
  <c r="O19" i="61"/>
  <c r="L19" i="61"/>
  <c r="H19" i="61"/>
  <c r="V19" i="61"/>
  <c r="N19" i="61"/>
  <c r="Q19" i="61"/>
  <c r="AA19" i="61"/>
  <c r="K19" i="61"/>
  <c r="F19" i="61"/>
  <c r="R19" i="61"/>
  <c r="AD19" i="61"/>
  <c r="AC17" i="61"/>
  <c r="M17" i="61"/>
  <c r="AB17" i="61"/>
  <c r="F17" i="61"/>
  <c r="H17" i="61"/>
  <c r="Y17" i="61"/>
  <c r="I17" i="61"/>
  <c r="V17" i="61"/>
  <c r="X17" i="61"/>
  <c r="O17" i="61"/>
  <c r="R17" i="61"/>
  <c r="U17" i="61"/>
  <c r="E17" i="61"/>
  <c r="P17" i="61"/>
  <c r="S17" i="61"/>
  <c r="Z17" i="61"/>
  <c r="AD17" i="61"/>
  <c r="J17" i="61"/>
  <c r="L17" i="61"/>
  <c r="Q17" i="61"/>
  <c r="AA17" i="61"/>
  <c r="K17" i="61"/>
  <c r="N17" i="61"/>
  <c r="T17" i="61"/>
  <c r="W17" i="61"/>
  <c r="AA16" i="61"/>
  <c r="X16" i="61"/>
  <c r="N16" i="61"/>
  <c r="K16" i="61"/>
  <c r="V16" i="61"/>
  <c r="AD16" i="61"/>
  <c r="S16" i="61"/>
  <c r="H16" i="61"/>
  <c r="P16" i="61"/>
  <c r="F16" i="61"/>
  <c r="Y16" i="61"/>
  <c r="I16" i="61"/>
  <c r="T16" i="61"/>
  <c r="R16" i="61"/>
  <c r="Z16" i="61"/>
  <c r="W16" i="61"/>
  <c r="O16" i="61"/>
  <c r="U16" i="61"/>
  <c r="E16" i="61"/>
  <c r="M16" i="61"/>
  <c r="L16" i="61"/>
  <c r="Q16" i="61"/>
  <c r="J16" i="61"/>
  <c r="AB16" i="61"/>
  <c r="AC16" i="61"/>
  <c r="AD15" i="61"/>
  <c r="X15" i="61"/>
  <c r="T15" i="61"/>
  <c r="R15" i="61"/>
  <c r="AB15" i="61"/>
  <c r="N15" i="61"/>
  <c r="J15" i="61"/>
  <c r="Q15" i="61"/>
  <c r="AA15" i="61"/>
  <c r="F15" i="61"/>
  <c r="U15" i="61"/>
  <c r="Z15" i="61"/>
  <c r="H15" i="61"/>
  <c r="AC15" i="61"/>
  <c r="M15" i="61"/>
  <c r="V15" i="61"/>
  <c r="L15" i="61"/>
  <c r="W15" i="61"/>
  <c r="E15" i="61"/>
  <c r="O15" i="61"/>
  <c r="Y15" i="61"/>
  <c r="I15" i="61"/>
  <c r="P15" i="61"/>
  <c r="S15" i="61"/>
  <c r="K15" i="61"/>
  <c r="AD14" i="61"/>
  <c r="N14" i="61"/>
  <c r="T14" i="61"/>
  <c r="AA14" i="61"/>
  <c r="AC14" i="61"/>
  <c r="M14" i="61"/>
  <c r="W14" i="61"/>
  <c r="P14" i="61"/>
  <c r="S14" i="61"/>
  <c r="H14" i="61"/>
  <c r="Y14" i="61"/>
  <c r="I14" i="61"/>
  <c r="R14" i="61"/>
  <c r="X14" i="61"/>
  <c r="Z14" i="61"/>
  <c r="O14" i="61"/>
  <c r="U14" i="61"/>
  <c r="E14" i="61"/>
  <c r="L14" i="61"/>
  <c r="F14" i="61"/>
  <c r="V14" i="61"/>
  <c r="Q14" i="61"/>
  <c r="AB14" i="61"/>
  <c r="J14" i="61"/>
  <c r="K14" i="61"/>
  <c r="G17" i="16"/>
  <c r="G17" i="61"/>
  <c r="G14" i="61"/>
  <c r="E13" i="61"/>
  <c r="F13" i="61"/>
  <c r="F11" i="61"/>
  <c r="E11" i="61"/>
  <c r="E10" i="61"/>
  <c r="F10" i="61"/>
  <c r="G10" i="16"/>
  <c r="G10" i="61"/>
  <c r="G8" i="61"/>
  <c r="F8" i="61"/>
  <c r="E8" i="61"/>
  <c r="E7" i="61"/>
  <c r="F7" i="61"/>
  <c r="G7" i="61"/>
  <c r="F6" i="61"/>
  <c r="E6" i="61"/>
  <c r="G6" i="61"/>
  <c r="V18" i="16"/>
  <c r="Q18" i="16"/>
  <c r="L18" i="16"/>
  <c r="AA18" i="16"/>
  <c r="R18" i="16"/>
  <c r="M18" i="16"/>
  <c r="J18" i="16"/>
  <c r="T18" i="16"/>
  <c r="X18" i="16"/>
  <c r="Z18" i="16"/>
  <c r="AC18" i="16"/>
  <c r="I18" i="16"/>
  <c r="K18" i="16"/>
  <c r="AD18" i="16"/>
  <c r="N18" i="16"/>
  <c r="U18" i="16"/>
  <c r="AB18" i="16"/>
  <c r="H18" i="16"/>
  <c r="O18" i="16"/>
  <c r="W18" i="16"/>
  <c r="G64" i="5"/>
  <c r="C23" i="3"/>
  <c r="G61" i="5"/>
  <c r="E63" i="5"/>
  <c r="E65" i="5"/>
  <c r="G65" i="5"/>
  <c r="E62" i="5"/>
  <c r="G33" i="31"/>
  <c r="E64" i="5"/>
  <c r="E61" i="5"/>
  <c r="G33" i="30"/>
  <c r="G30" i="32"/>
  <c r="G32" i="28"/>
  <c r="G14" i="29"/>
  <c r="J27" i="20"/>
  <c r="J73" i="5" s="1"/>
  <c r="H73" i="5" s="1"/>
  <c r="J26" i="20"/>
  <c r="J72" i="5" s="1"/>
  <c r="H72" i="5" s="1"/>
  <c r="L72" i="5" s="1"/>
  <c r="L162" i="5"/>
  <c r="E57" i="5"/>
  <c r="G57" i="5"/>
  <c r="E60" i="5"/>
  <c r="G60" i="5"/>
  <c r="E58" i="5"/>
  <c r="G58" i="5"/>
  <c r="E59" i="5"/>
  <c r="G59" i="5"/>
  <c r="E54" i="5"/>
  <c r="G54" i="5"/>
  <c r="E51" i="5"/>
  <c r="G51" i="5"/>
  <c r="E56" i="5"/>
  <c r="G56" i="5"/>
  <c r="E53" i="5"/>
  <c r="G53" i="5"/>
  <c r="L52" i="5"/>
  <c r="E52" i="5"/>
  <c r="B31" i="24"/>
  <c r="C31" i="24" s="1"/>
  <c r="B18" i="24"/>
  <c r="C18" i="24" s="1"/>
  <c r="B34" i="24"/>
  <c r="C34" i="24" s="1"/>
  <c r="B28" i="24"/>
  <c r="C28" i="24" s="1"/>
  <c r="B6" i="24"/>
  <c r="L27" i="10"/>
  <c r="J63" i="5" s="1"/>
  <c r="M20" i="12"/>
  <c r="N18" i="12"/>
  <c r="O23" i="12" s="1"/>
  <c r="M18" i="12"/>
  <c r="K23" i="12"/>
  <c r="L26" i="10"/>
  <c r="J62" i="5" s="1"/>
  <c r="L29" i="10"/>
  <c r="J65" i="5" s="1"/>
  <c r="L28" i="10"/>
  <c r="J64" i="5" s="1"/>
  <c r="L25" i="10"/>
  <c r="J61" i="5" s="1"/>
  <c r="AF14" i="10"/>
  <c r="L161" i="5"/>
  <c r="AE12" i="10"/>
  <c r="AF12" i="10" s="1"/>
  <c r="AF11" i="10"/>
  <c r="AF18" i="10"/>
  <c r="C29" i="9"/>
  <c r="C25" i="9"/>
  <c r="C8" i="16"/>
  <c r="C7" i="16"/>
  <c r="C12" i="16"/>
  <c r="G3" i="16"/>
  <c r="O14" i="16"/>
  <c r="I14" i="16"/>
  <c r="L14" i="16"/>
  <c r="U14" i="16"/>
  <c r="H14" i="16"/>
  <c r="K14" i="16"/>
  <c r="Y14" i="16"/>
  <c r="AA14" i="16"/>
  <c r="E14" i="16"/>
  <c r="M14" i="16"/>
  <c r="AB14" i="16"/>
  <c r="X14" i="16"/>
  <c r="S14" i="16"/>
  <c r="AC14" i="16"/>
  <c r="T14" i="16"/>
  <c r="P14" i="16"/>
  <c r="W14" i="16"/>
  <c r="Q14" i="16"/>
  <c r="F14" i="16"/>
  <c r="L62" i="5"/>
  <c r="L63" i="5"/>
  <c r="Z14" i="16"/>
  <c r="Q12" i="16"/>
  <c r="J14" i="16"/>
  <c r="D9" i="3"/>
  <c r="O12" i="16"/>
  <c r="E3" i="3"/>
  <c r="D39" i="3"/>
  <c r="E23" i="3"/>
  <c r="D38" i="3"/>
  <c r="I12" i="16"/>
  <c r="H12" i="16"/>
  <c r="E12" i="16"/>
  <c r="Y12" i="16"/>
  <c r="AA12" i="16"/>
  <c r="F12" i="16"/>
  <c r="U12" i="16"/>
  <c r="W12" i="16"/>
  <c r="AD14" i="16"/>
  <c r="N14" i="16"/>
  <c r="M12" i="16"/>
  <c r="S12" i="16"/>
  <c r="K12" i="16"/>
  <c r="R12" i="16"/>
  <c r="X12" i="16"/>
  <c r="G8" i="16"/>
  <c r="AF10" i="10"/>
  <c r="C5" i="16"/>
  <c r="C4" i="16"/>
  <c r="Z12" i="16"/>
  <c r="J12" i="16"/>
  <c r="P12" i="16"/>
  <c r="AE9" i="10"/>
  <c r="AF9" i="10" s="1"/>
  <c r="T12" i="16"/>
  <c r="V14" i="16"/>
  <c r="AC12" i="16"/>
  <c r="AB12" i="16"/>
  <c r="N12" i="16"/>
  <c r="AD12" i="16"/>
  <c r="L12" i="16"/>
  <c r="G6" i="16"/>
  <c r="G7" i="16"/>
  <c r="C6" i="61"/>
  <c r="C18" i="61"/>
  <c r="H8" i="5"/>
  <c r="H10" i="5"/>
  <c r="H9" i="5"/>
  <c r="C10" i="61"/>
  <c r="G14" i="16"/>
  <c r="F20" i="21"/>
  <c r="C9" i="61"/>
  <c r="L53" i="5"/>
  <c r="L56" i="5"/>
  <c r="J54" i="5"/>
  <c r="J58" i="5"/>
  <c r="L51" i="5"/>
  <c r="J55" i="5"/>
  <c r="C10" i="9" s="1"/>
  <c r="J56" i="5"/>
  <c r="L60" i="5"/>
  <c r="L54" i="5"/>
  <c r="J60" i="5"/>
  <c r="L58" i="5"/>
  <c r="AE17" i="10"/>
  <c r="AF17" i="10" s="1"/>
  <c r="AE16" i="10"/>
  <c r="AF16" i="10" s="1"/>
  <c r="L59" i="5"/>
  <c r="J59" i="5"/>
  <c r="E2" i="3"/>
  <c r="G16" i="16"/>
  <c r="G7" i="5"/>
  <c r="C7" i="5" s="1"/>
  <c r="F9" i="16"/>
  <c r="E9" i="16"/>
  <c r="AB9" i="16"/>
  <c r="X9" i="16"/>
  <c r="T9" i="16"/>
  <c r="P9" i="16"/>
  <c r="L9" i="16"/>
  <c r="H9" i="16"/>
  <c r="AD9" i="16"/>
  <c r="Z9" i="16"/>
  <c r="V9" i="16"/>
  <c r="R9" i="16"/>
  <c r="N9" i="16"/>
  <c r="J9" i="16"/>
  <c r="AC9" i="16"/>
  <c r="U9" i="16"/>
  <c r="M9" i="16"/>
  <c r="AA9" i="16"/>
  <c r="S9" i="16"/>
  <c r="K9" i="16"/>
  <c r="Y9" i="16"/>
  <c r="Q9" i="16"/>
  <c r="I9" i="16"/>
  <c r="W9" i="16"/>
  <c r="O9" i="16"/>
  <c r="F13" i="16"/>
  <c r="E13" i="16"/>
  <c r="AB13" i="16"/>
  <c r="X13" i="16"/>
  <c r="T13" i="16"/>
  <c r="P13" i="16"/>
  <c r="L13" i="16"/>
  <c r="H13" i="16"/>
  <c r="AD13" i="16"/>
  <c r="Z13" i="16"/>
  <c r="V13" i="16"/>
  <c r="R13" i="16"/>
  <c r="N13" i="16"/>
  <c r="J13" i="16"/>
  <c r="AA13" i="16"/>
  <c r="S13" i="16"/>
  <c r="K13" i="16"/>
  <c r="Y13" i="16"/>
  <c r="Q13" i="16"/>
  <c r="I13" i="16"/>
  <c r="W13" i="16"/>
  <c r="O13" i="16"/>
  <c r="AC13" i="16"/>
  <c r="U13" i="16"/>
  <c r="M13" i="16"/>
  <c r="F35" i="20"/>
  <c r="G24" i="30"/>
  <c r="G27" i="30" s="1"/>
  <c r="A24" i="30" s="1"/>
  <c r="G24" i="29"/>
  <c r="G27" i="29" s="1"/>
  <c r="A24" i="29" s="1"/>
  <c r="G21" i="32"/>
  <c r="G24" i="32" s="1"/>
  <c r="A21" i="32" s="1"/>
  <c r="G23" i="28"/>
  <c r="G26" i="28" s="1"/>
  <c r="A23" i="28" s="1"/>
  <c r="G24" i="31"/>
  <c r="G27" i="31" s="1"/>
  <c r="A24" i="31" s="1"/>
  <c r="G15" i="16"/>
  <c r="G11" i="16"/>
  <c r="L64" i="5"/>
  <c r="L65" i="5"/>
  <c r="L61" i="5"/>
  <c r="AE13" i="10"/>
  <c r="AF13" i="10" s="1"/>
  <c r="AE15" i="10"/>
  <c r="AF15" i="10" s="1"/>
  <c r="E85" i="5"/>
  <c r="G9" i="16"/>
  <c r="F4" i="16"/>
  <c r="AB4" i="16"/>
  <c r="X4" i="16"/>
  <c r="T4" i="16"/>
  <c r="P4" i="16"/>
  <c r="L4" i="16"/>
  <c r="H4" i="16"/>
  <c r="AA4" i="16"/>
  <c r="W4" i="16"/>
  <c r="S4" i="16"/>
  <c r="O4" i="16"/>
  <c r="K4" i="16"/>
  <c r="E4" i="16"/>
  <c r="AD4" i="16"/>
  <c r="Z4" i="16"/>
  <c r="V4" i="16"/>
  <c r="R4" i="16"/>
  <c r="N4" i="16"/>
  <c r="J4" i="16"/>
  <c r="AC4" i="16"/>
  <c r="Y4" i="16"/>
  <c r="U4" i="16"/>
  <c r="Q4" i="16"/>
  <c r="M4" i="16"/>
  <c r="I4" i="16"/>
  <c r="L57" i="5"/>
  <c r="G13" i="16"/>
  <c r="F16" i="16"/>
  <c r="E16" i="16"/>
  <c r="AA16" i="16"/>
  <c r="W16" i="16"/>
  <c r="S16" i="16"/>
  <c r="O16" i="16"/>
  <c r="K16" i="16"/>
  <c r="AC16" i="16"/>
  <c r="Y16" i="16"/>
  <c r="U16" i="16"/>
  <c r="Q16" i="16"/>
  <c r="M16" i="16"/>
  <c r="I16" i="16"/>
  <c r="AD16" i="16"/>
  <c r="V16" i="16"/>
  <c r="N16" i="16"/>
  <c r="AB16" i="16"/>
  <c r="T16" i="16"/>
  <c r="L16" i="16"/>
  <c r="Z16" i="16"/>
  <c r="R16" i="16"/>
  <c r="J16" i="16"/>
  <c r="X16" i="16"/>
  <c r="P16" i="16"/>
  <c r="H16" i="16"/>
  <c r="E15" i="16"/>
  <c r="AD15" i="16"/>
  <c r="Z15" i="16"/>
  <c r="V15" i="16"/>
  <c r="R15" i="16"/>
  <c r="N15" i="16"/>
  <c r="J15" i="16"/>
  <c r="F15" i="16"/>
  <c r="AB15" i="16"/>
  <c r="X15" i="16"/>
  <c r="T15" i="16"/>
  <c r="P15" i="16"/>
  <c r="L15" i="16"/>
  <c r="H15" i="16"/>
  <c r="AC15" i="16"/>
  <c r="U15" i="16"/>
  <c r="M15" i="16"/>
  <c r="AA15" i="16"/>
  <c r="S15" i="16"/>
  <c r="K15" i="16"/>
  <c r="Y15" i="16"/>
  <c r="Q15" i="16"/>
  <c r="I15" i="16"/>
  <c r="W15" i="16"/>
  <c r="O15" i="16"/>
  <c r="F11" i="16"/>
  <c r="E11" i="16"/>
  <c r="AD11" i="16"/>
  <c r="Z11" i="16"/>
  <c r="V11" i="16"/>
  <c r="R11" i="16"/>
  <c r="N11" i="16"/>
  <c r="J11" i="16"/>
  <c r="AB11" i="16"/>
  <c r="X11" i="16"/>
  <c r="T11" i="16"/>
  <c r="P11" i="16"/>
  <c r="L11" i="16"/>
  <c r="H11" i="16"/>
  <c r="W11" i="16"/>
  <c r="O11" i="16"/>
  <c r="AC11" i="16"/>
  <c r="U11" i="16"/>
  <c r="M11" i="16"/>
  <c r="AA11" i="16"/>
  <c r="S11" i="16"/>
  <c r="K11" i="16"/>
  <c r="Y11" i="16"/>
  <c r="Q11" i="16"/>
  <c r="I11" i="16"/>
  <c r="F5" i="16"/>
  <c r="E5" i="16"/>
  <c r="AD5" i="16"/>
  <c r="Z5" i="16"/>
  <c r="V5" i="16"/>
  <c r="R5" i="16"/>
  <c r="N5" i="16"/>
  <c r="AC5" i="16"/>
  <c r="X5" i="16"/>
  <c r="S5" i="16"/>
  <c r="M5" i="16"/>
  <c r="I5" i="16"/>
  <c r="AB5" i="16"/>
  <c r="W5" i="16"/>
  <c r="Q5" i="16"/>
  <c r="L5" i="16"/>
  <c r="H5" i="16"/>
  <c r="AA5" i="16"/>
  <c r="U5" i="16"/>
  <c r="P5" i="16"/>
  <c r="K5" i="16"/>
  <c r="Y5" i="16"/>
  <c r="T5" i="16"/>
  <c r="O5" i="16"/>
  <c r="J5" i="16"/>
  <c r="H17" i="21" l="1"/>
  <c r="L17" i="21"/>
  <c r="P17" i="21"/>
  <c r="J17" i="21"/>
  <c r="N17" i="21"/>
  <c r="R17" i="21"/>
  <c r="K17" i="21"/>
  <c r="S17" i="21"/>
  <c r="O17" i="21"/>
  <c r="Q17" i="21"/>
  <c r="I17" i="21"/>
  <c r="M17" i="21"/>
  <c r="O20" i="21"/>
  <c r="K20" i="21"/>
  <c r="S20" i="21"/>
  <c r="M20" i="21"/>
  <c r="I20" i="21"/>
  <c r="Q20" i="21"/>
  <c r="J20" i="21"/>
  <c r="L20" i="21"/>
  <c r="H20" i="21"/>
  <c r="R20" i="21"/>
  <c r="N20" i="21"/>
  <c r="P20" i="21"/>
  <c r="I3" i="21"/>
  <c r="M3" i="21"/>
  <c r="Q3" i="21"/>
  <c r="K3" i="21"/>
  <c r="O3" i="21"/>
  <c r="S3" i="21"/>
  <c r="P3" i="21"/>
  <c r="J3" i="21"/>
  <c r="R3" i="21"/>
  <c r="L3" i="21"/>
  <c r="N3" i="21"/>
  <c r="H3" i="21"/>
  <c r="C64" i="9"/>
  <c r="G29" i="20"/>
  <c r="E29" i="20"/>
  <c r="B29" i="20" s="1"/>
  <c r="E72" i="5"/>
  <c r="E24" i="20"/>
  <c r="B24" i="20" s="1"/>
  <c r="G31" i="32"/>
  <c r="G33" i="28"/>
  <c r="C19" i="9"/>
  <c r="C3" i="61"/>
  <c r="AM2" i="14"/>
  <c r="M9" i="13" s="1"/>
  <c r="C22" i="9"/>
  <c r="F24" i="21"/>
  <c r="B4" i="24" s="1"/>
  <c r="F6" i="21"/>
  <c r="J41" i="20"/>
  <c r="F74" i="5"/>
  <c r="D74" i="5" s="1"/>
  <c r="L74" i="5" s="1"/>
  <c r="G12" i="16"/>
  <c r="C9" i="9"/>
  <c r="C11" i="61"/>
  <c r="C11" i="16"/>
  <c r="C22" i="61"/>
  <c r="C22" i="16"/>
  <c r="C20" i="61"/>
  <c r="C20" i="16"/>
  <c r="C17" i="61"/>
  <c r="C16" i="61"/>
  <c r="C16" i="16"/>
  <c r="C15" i="61"/>
  <c r="C15" i="16"/>
  <c r="B38" i="24"/>
  <c r="C38" i="24"/>
  <c r="B36" i="24"/>
  <c r="C36" i="24"/>
  <c r="B40" i="24"/>
  <c r="C40" i="24" s="1"/>
  <c r="G4" i="61"/>
  <c r="C14" i="9"/>
  <c r="C17" i="16"/>
  <c r="C18" i="16"/>
  <c r="C13" i="9"/>
  <c r="E22" i="20"/>
  <c r="B22" i="20" s="1"/>
  <c r="G34" i="29"/>
  <c r="G34" i="31"/>
  <c r="G34" i="30"/>
  <c r="C12" i="9"/>
  <c r="C17" i="9"/>
  <c r="C20" i="9"/>
  <c r="C18" i="9"/>
  <c r="G5" i="16"/>
  <c r="G4" i="16"/>
  <c r="M23" i="12"/>
  <c r="C16" i="9"/>
  <c r="B21" i="24"/>
  <c r="C21" i="24" s="1"/>
  <c r="C24" i="9"/>
  <c r="C11" i="9"/>
  <c r="C10" i="16"/>
  <c r="C9" i="16"/>
  <c r="C6" i="16"/>
  <c r="C8" i="9"/>
  <c r="C15" i="9"/>
  <c r="C7" i="9"/>
  <c r="B27" i="24"/>
  <c r="C3" i="16"/>
  <c r="C6" i="9"/>
  <c r="B30" i="24"/>
  <c r="K25" i="20"/>
  <c r="B33" i="24"/>
  <c r="D85" i="5"/>
  <c r="L85" i="5" s="1"/>
  <c r="F7" i="5"/>
  <c r="F88" i="5"/>
  <c r="G21" i="31" l="1"/>
  <c r="I6" i="21"/>
  <c r="N6" i="21"/>
  <c r="M24" i="21" s="1"/>
  <c r="B32" i="24" s="1"/>
  <c r="C32" i="24" s="1"/>
  <c r="C30" i="24" s="1"/>
  <c r="J45" i="20" s="1"/>
  <c r="S6" i="21"/>
  <c r="R24" i="21" s="1"/>
  <c r="L6" i="21"/>
  <c r="K24" i="21" s="1"/>
  <c r="B29" i="24" s="1"/>
  <c r="C29" i="24" s="1"/>
  <c r="C27" i="24" s="1"/>
  <c r="J43" i="20" s="1"/>
  <c r="Q6" i="21"/>
  <c r="P24" i="21" s="1"/>
  <c r="K6" i="21"/>
  <c r="J24" i="21" s="1"/>
  <c r="B25" i="24" s="1"/>
  <c r="P6" i="21"/>
  <c r="J6" i="21"/>
  <c r="I24" i="21" s="1"/>
  <c r="B22" i="24" s="1"/>
  <c r="C22" i="24" s="1"/>
  <c r="O6" i="21"/>
  <c r="H6" i="21"/>
  <c r="M6" i="21"/>
  <c r="L24" i="21" s="1"/>
  <c r="B35" i="24" s="1"/>
  <c r="C35" i="24" s="1"/>
  <c r="C33" i="24" s="1"/>
  <c r="J44" i="20" s="1"/>
  <c r="R6" i="21"/>
  <c r="O24" i="21"/>
  <c r="B15" i="24" s="1"/>
  <c r="C15" i="24" s="1"/>
  <c r="Q24" i="21"/>
  <c r="N24" i="21"/>
  <c r="H24" i="21"/>
  <c r="B11" i="24" s="1"/>
  <c r="G33" i="32"/>
  <c r="G36" i="31"/>
  <c r="G37" i="29"/>
  <c r="G36" i="30"/>
  <c r="G20" i="31"/>
  <c r="G38" i="29"/>
  <c r="G34" i="32"/>
  <c r="G37" i="30"/>
  <c r="G37" i="31"/>
  <c r="H22" i="20"/>
  <c r="G21" i="29"/>
  <c r="G22" i="29" s="1"/>
  <c r="A14" i="29" s="1"/>
  <c r="G35" i="28"/>
  <c r="G36" i="29"/>
  <c r="F83" i="5"/>
  <c r="D83" i="5" s="1"/>
  <c r="L83" i="5" s="1"/>
  <c r="G21" i="30"/>
  <c r="G22" i="30" s="1"/>
  <c r="A14" i="30" s="1"/>
  <c r="F73" i="5"/>
  <c r="D73" i="5" s="1"/>
  <c r="L73" i="5" s="1"/>
  <c r="G20" i="28"/>
  <c r="G21" i="28" s="1"/>
  <c r="A14" i="28" s="1"/>
  <c r="G35" i="30"/>
  <c r="G32" i="32"/>
  <c r="F78" i="5"/>
  <c r="D78" i="5" s="1"/>
  <c r="L78" i="5" s="1"/>
  <c r="G34" i="28"/>
  <c r="G35" i="29"/>
  <c r="F25" i="20"/>
  <c r="G35" i="31"/>
  <c r="J31" i="10"/>
  <c r="D97" i="5"/>
  <c r="C79" i="9" s="1"/>
  <c r="C23" i="9"/>
  <c r="B7" i="24"/>
  <c r="D7" i="24" s="1"/>
  <c r="D5" i="24" s="1"/>
  <c r="E5" i="24" s="1"/>
  <c r="C10" i="28"/>
  <c r="B2" i="24"/>
  <c r="C10" i="30"/>
  <c r="C9" i="31"/>
  <c r="C9" i="32"/>
  <c r="C10" i="29"/>
  <c r="C68" i="9"/>
  <c r="J71" i="5"/>
  <c r="H71" i="5" s="1"/>
  <c r="L71" i="5" s="1"/>
  <c r="D88" i="5"/>
  <c r="L88" i="5" s="1"/>
  <c r="C13" i="24"/>
  <c r="J42" i="20" s="1"/>
  <c r="B13" i="24"/>
  <c r="J34" i="10" l="1"/>
  <c r="H98" i="5"/>
  <c r="C85" i="9" s="1"/>
  <c r="J97" i="5"/>
  <c r="C87" i="9" s="1"/>
  <c r="J35" i="10"/>
  <c r="J33" i="10"/>
  <c r="H97" i="5"/>
  <c r="C84" i="9" s="1"/>
  <c r="G22" i="31"/>
  <c r="A13" i="31" s="1"/>
  <c r="G38" i="31"/>
  <c r="A30" i="31" s="1"/>
  <c r="G39" i="29"/>
  <c r="A30" i="29" s="1"/>
  <c r="G35" i="32"/>
  <c r="A27" i="32" s="1"/>
  <c r="G38" i="30"/>
  <c r="A30" i="30" s="1"/>
  <c r="G36" i="28"/>
  <c r="A29" i="28" s="1"/>
  <c r="C2" i="24"/>
  <c r="G41" i="20" s="1"/>
  <c r="C25" i="24"/>
  <c r="C23" i="24" s="1"/>
  <c r="E45" i="20" s="1"/>
  <c r="B8" i="24"/>
  <c r="B5" i="24" s="1"/>
  <c r="C5" i="24" s="1"/>
  <c r="F70" i="5"/>
  <c r="E70" i="5"/>
  <c r="D70" i="5" s="1"/>
  <c r="C66" i="9" s="1"/>
  <c r="B23" i="24"/>
  <c r="C17" i="24"/>
  <c r="E44" i="20" s="1"/>
  <c r="B17" i="24"/>
  <c r="C69" i="9"/>
  <c r="D42" i="24"/>
  <c r="E42" i="24" s="1"/>
  <c r="C70" i="9"/>
  <c r="F97" i="5"/>
  <c r="C82" i="9" s="1"/>
  <c r="J32" i="10"/>
  <c r="F77" i="5" l="1"/>
  <c r="D77" i="5" s="1"/>
  <c r="E77" i="5"/>
  <c r="E41" i="20"/>
  <c r="F31" i="10" s="1"/>
  <c r="H96" i="5"/>
  <c r="C83" i="9" s="1"/>
  <c r="F35" i="10"/>
  <c r="F34" i="10"/>
  <c r="J96" i="5"/>
  <c r="C86" i="9" s="1"/>
  <c r="E44" i="24"/>
  <c r="E42" i="20" s="1"/>
  <c r="E43" i="20"/>
  <c r="C67" i="9" l="1"/>
  <c r="D96" i="5"/>
  <c r="C78" i="9" s="1"/>
  <c r="D98" i="5"/>
  <c r="C80" i="9" s="1"/>
  <c r="F33" i="10"/>
  <c r="F96" i="5"/>
  <c r="C81" i="9" s="1"/>
  <c r="F32" i="10"/>
  <c r="G43" i="20"/>
</calcChain>
</file>

<file path=xl/sharedStrings.xml><?xml version="1.0" encoding="utf-8"?>
<sst xmlns="http://schemas.openxmlformats.org/spreadsheetml/2006/main" count="10957" uniqueCount="5441">
  <si>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</si>
  <si>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</si>
  <si>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</si>
  <si>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</si>
  <si>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</si>
  <si>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</si>
  <si>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</si>
  <si>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</si>
  <si>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</si>
  <si>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</si>
  <si>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</si>
  <si>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</si>
  <si>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</si>
  <si>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</si>
  <si>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</si>
  <si>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</si>
  <si>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INTRAVENEUZE VOEDING</t>
  </si>
  <si>
    <t>Infatrini</t>
  </si>
  <si>
    <t>06:00 uur</t>
  </si>
  <si>
    <t>X-thorax</t>
  </si>
  <si>
    <t>Pacemaker</t>
  </si>
  <si>
    <t>Leeftijd (jaren)</t>
  </si>
  <si>
    <t>Leeftijd (maanden)</t>
  </si>
  <si>
    <t>Man</t>
  </si>
  <si>
    <t>Vrouw</t>
  </si>
  <si>
    <t>Intravasale toegang</t>
  </si>
  <si>
    <t>24 dd</t>
  </si>
  <si>
    <t>salbutamol</t>
  </si>
  <si>
    <t>Naam:</t>
  </si>
  <si>
    <t>20 mg/kg, max 1500 mg</t>
  </si>
  <si>
    <t>Gebruik algoritme?</t>
  </si>
  <si>
    <t>gram</t>
  </si>
  <si>
    <t>X-BOZ</t>
  </si>
  <si>
    <t>ECG</t>
  </si>
  <si>
    <t>NaCl 2,9% (0,5 mmol/ml)</t>
  </si>
  <si>
    <t>Gluc/zout 2/3 – 1/3  (3,3% / 0,3% Na 51 mmol/l)</t>
  </si>
  <si>
    <t>Gluc/zout 2/3 – 1/3  (3,3% / 0,3% Na 51 mmol/l)  met  KCl 30 mmol/l</t>
  </si>
  <si>
    <t>Nutramigen 2 LGG pdr</t>
  </si>
  <si>
    <t>im</t>
  </si>
  <si>
    <t>rect</t>
  </si>
  <si>
    <t>clonidine</t>
  </si>
  <si>
    <t>Samenstelling D</t>
  </si>
  <si>
    <t>Samenstelling E</t>
  </si>
  <si>
    <t>1,5 ml</t>
  </si>
  <si>
    <t>25 ml</t>
  </si>
  <si>
    <t>35 ml</t>
  </si>
  <si>
    <t>120 ml</t>
  </si>
  <si>
    <t>2-6 kg</t>
  </si>
  <si>
    <t>105 ml</t>
  </si>
  <si>
    <t>90 ml</t>
  </si>
  <si>
    <t>oculair</t>
  </si>
  <si>
    <t>Stand</t>
  </si>
  <si>
    <t>Oppervlak</t>
  </si>
  <si>
    <t>Tube</t>
  </si>
  <si>
    <t>Defribilleren</t>
  </si>
  <si>
    <t>NaBic 8,4%</t>
  </si>
  <si>
    <t>vullen</t>
  </si>
  <si>
    <t>nitroprusside</t>
  </si>
  <si>
    <t>5-30 nanogram/kg/min (moet in zout!)</t>
  </si>
  <si>
    <t>albumine</t>
  </si>
  <si>
    <t>Modus:</t>
  </si>
  <si>
    <t>Atriale output:</t>
  </si>
  <si>
    <t>AV interval:</t>
  </si>
  <si>
    <t>Atriale sens.:</t>
  </si>
  <si>
    <t>PM_Mod</t>
  </si>
  <si>
    <t>intake IV</t>
  </si>
  <si>
    <t>E/kg/uur</t>
  </si>
  <si>
    <t>E</t>
  </si>
  <si>
    <t>g</t>
  </si>
  <si>
    <t>Aanvullende afspraken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</si>
  <si>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</si>
  <si>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</si>
  <si>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</si>
  <si>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</si>
  <si>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</si>
  <si>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</si>
  <si>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</si>
  <si>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</si>
  <si>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</si>
  <si>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</si>
  <si>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</si>
  <si>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</si>
  <si>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CVL lijn lumen I: medicatie</t>
  </si>
  <si>
    <t>Verwijzing</t>
  </si>
  <si>
    <t>Glucose 17,5%</t>
  </si>
  <si>
    <t>Glucose 12,5 %</t>
  </si>
  <si>
    <t>Anti-convulsiva</t>
  </si>
  <si>
    <t>Diversen</t>
  </si>
  <si>
    <t>hoeveelheid</t>
  </si>
  <si>
    <t>sterkte</t>
  </si>
  <si>
    <t>iv</t>
  </si>
  <si>
    <t>or</t>
  </si>
  <si>
    <t>flumazenil</t>
  </si>
  <si>
    <t>epoprostenol</t>
  </si>
  <si>
    <t>Glucose 20%</t>
  </si>
  <si>
    <t>Glucose 50%</t>
  </si>
  <si>
    <t>Glucose 15%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</si>
  <si>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</si>
  <si>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</si>
  <si>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</si>
  <si>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</si>
  <si>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</si>
  <si>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</si>
  <si>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</si>
  <si>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</si>
  <si>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7-15 kg</t>
  </si>
  <si>
    <t>16-30 kg</t>
  </si>
  <si>
    <t>31-50 kg</t>
  </si>
  <si>
    <t>Infusen</t>
  </si>
  <si>
    <t>Volume stand</t>
  </si>
  <si>
    <t>extra glucose 5%</t>
  </si>
  <si>
    <t>calorieen</t>
  </si>
  <si>
    <t>Totaal</t>
  </si>
  <si>
    <t>frequentie</t>
  </si>
  <si>
    <t>Wel/niet</t>
  </si>
  <si>
    <t>ELECTROLYT/GLUCOSE MENGSEL</t>
  </si>
  <si>
    <t>Lab</t>
  </si>
  <si>
    <t>0,05-0,5 mg/kg/uur</t>
  </si>
  <si>
    <t>morfine</t>
  </si>
  <si>
    <t>albumine 20%</t>
  </si>
  <si>
    <t>Adrenaline</t>
  </si>
  <si>
    <t>CVL lijn lumen II:</t>
  </si>
  <si>
    <t>zout</t>
  </si>
  <si>
    <t>Score</t>
  </si>
  <si>
    <t>Datum en tijd</t>
  </si>
  <si>
    <t>Morfine</t>
  </si>
  <si>
    <t>Bolus (mg)</t>
  </si>
  <si>
    <t>Pompstand (ml/u) + dosering (mg/kg/dag)</t>
  </si>
  <si>
    <t>Pompstand (ml/u) + dosering (mg/kg/uur)</t>
  </si>
  <si>
    <t>Score: Getal is CS/VAS anders "V" verpleegkundig of "M" medische handeling</t>
  </si>
  <si>
    <t>Lengte</t>
  </si>
  <si>
    <t>Oppervlak:</t>
  </si>
  <si>
    <t>1 ml/kg;      max 15 ml</t>
  </si>
  <si>
    <t>60-50 ml</t>
  </si>
  <si>
    <t>50-40 ml</t>
  </si>
  <si>
    <t>40-30 ml</t>
  </si>
  <si>
    <t>Samenstelling E (z.o.z.)</t>
  </si>
  <si>
    <t xml:space="preserve"> 8 ml</t>
  </si>
  <si>
    <t>55-35 ml</t>
  </si>
  <si>
    <t>50-30 ml</t>
  </si>
  <si>
    <t>Glucose 25% (31 – 35 kg)</t>
  </si>
  <si>
    <t>Glucose 40% (36 – 50 kg)</t>
  </si>
  <si>
    <t>12 ml</t>
  </si>
  <si>
    <t>esketamine</t>
  </si>
  <si>
    <t>DosHoev</t>
  </si>
  <si>
    <t>DosTot</t>
  </si>
  <si>
    <t>Toed</t>
  </si>
  <si>
    <t>Laboratorium</t>
  </si>
  <si>
    <t>24:00 uur</t>
  </si>
  <si>
    <t>intake PO</t>
  </si>
  <si>
    <t>1-4 mg/kg/dag</t>
  </si>
  <si>
    <t>lokaal</t>
  </si>
  <si>
    <t>alprostadil</t>
  </si>
  <si>
    <t>Oplossing</t>
  </si>
  <si>
    <t>Perifeer infuus 1: medicatie</t>
  </si>
  <si>
    <t>Arterielijn:</t>
  </si>
  <si>
    <t>extra glucose 10%</t>
  </si>
  <si>
    <t>Sonde:</t>
  </si>
  <si>
    <t>Range</t>
  </si>
  <si>
    <t>Waarde</t>
  </si>
  <si>
    <t>StandDos</t>
  </si>
  <si>
    <t>DosEenh</t>
  </si>
  <si>
    <t>mg</t>
  </si>
  <si>
    <t>ml</t>
  </si>
  <si>
    <t>microg</t>
  </si>
  <si>
    <t>MM</t>
  </si>
  <si>
    <t>Speciale voeding</t>
  </si>
  <si>
    <t>Calorien</t>
  </si>
  <si>
    <t>Koolhydraten</t>
  </si>
  <si>
    <t>Natrium</t>
  </si>
  <si>
    <t>Phosfaat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</si>
  <si>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</si>
  <si>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</si>
  <si>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</si>
  <si>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</si>
  <si>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</si>
  <si>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</si>
  <si>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</si>
  <si>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</si>
  <si>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</si>
  <si>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</si>
  <si>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</si>
  <si>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6 dd</t>
  </si>
  <si>
    <t>8 dd</t>
  </si>
  <si>
    <t>12 dd</t>
  </si>
  <si>
    <t>x</t>
  </si>
  <si>
    <t>Arts:</t>
  </si>
  <si>
    <t>CVL lijn lumen II: medicatie</t>
  </si>
  <si>
    <t>volume</t>
  </si>
  <si>
    <t>heparine</t>
  </si>
  <si>
    <t>IE/kg/uur</t>
  </si>
  <si>
    <t>mcg/kg/uur</t>
  </si>
  <si>
    <t>glucose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</si>
  <si>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</si>
  <si>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</si>
  <si>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</si>
  <si>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</si>
  <si>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</si>
  <si>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</si>
  <si>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</si>
  <si>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</si>
  <si>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</si>
  <si>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</si>
  <si>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propofol</t>
  </si>
  <si>
    <t>PO</t>
  </si>
  <si>
    <t>ICU-dag</t>
  </si>
  <si>
    <t>Sterkte</t>
  </si>
  <si>
    <t>inh</t>
  </si>
  <si>
    <t>overig</t>
  </si>
  <si>
    <t>X</t>
  </si>
  <si>
    <t>Freq</t>
  </si>
  <si>
    <t>Sonde</t>
  </si>
  <si>
    <t>AfspraakDatum</t>
  </si>
  <si>
    <t>AchterNaam</t>
  </si>
  <si>
    <t>VoorNaam</t>
  </si>
  <si>
    <t>adrenaline</t>
  </si>
  <si>
    <t>Soluvit N</t>
  </si>
  <si>
    <t>Glucose 30%</t>
  </si>
  <si>
    <t>Glucose 25%</t>
  </si>
  <si>
    <t>Totaal :</t>
  </si>
  <si>
    <t>**   Toevoegen bij infusiesnelheid £ 5 ml/uur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</si>
  <si>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</si>
  <si>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</si>
  <si>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</si>
  <si>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</si>
  <si>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</si>
  <si>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</si>
  <si>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</si>
  <si>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</si>
  <si>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Na</t>
  </si>
  <si>
    <t>K</t>
  </si>
  <si>
    <t>Ca</t>
  </si>
  <si>
    <t>Mg</t>
  </si>
  <si>
    <t>TPN</t>
  </si>
  <si>
    <t>energy</t>
  </si>
  <si>
    <t>KH</t>
  </si>
  <si>
    <t>P</t>
  </si>
  <si>
    <t xml:space="preserve"> </t>
  </si>
  <si>
    <t>langzaam iv, cave bradycardie</t>
  </si>
  <si>
    <t>Glucose/KH</t>
  </si>
  <si>
    <t>Oraal of per sonde</t>
  </si>
  <si>
    <t>Keuze</t>
  </si>
  <si>
    <t>flush</t>
  </si>
  <si>
    <t>Paraaf</t>
  </si>
  <si>
    <t>Opmerking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</si>
  <si>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</si>
  <si>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</si>
  <si>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</si>
  <si>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</si>
  <si>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</si>
  <si>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*     Vochtbehoefte neemt af bij toename gewicht</t>
  </si>
  <si>
    <t>Origineel voor 11.00 uur bij apotheek inleveren</t>
  </si>
  <si>
    <t>INFUUS AFSPRAKEN CENTRAAL VENEUZE CATHETERS</t>
  </si>
  <si>
    <t>D.D.</t>
  </si>
  <si>
    <t>Afdeling</t>
  </si>
  <si>
    <t>: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</si>
  <si>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</si>
  <si>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</si>
  <si>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</si>
  <si>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</si>
  <si>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</si>
  <si>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</si>
  <si>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</si>
  <si>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</si>
  <si>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</si>
  <si>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</si>
  <si>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</si>
  <si>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Glucose 40%</t>
  </si>
  <si>
    <t>Antidota</t>
  </si>
  <si>
    <t>Inotropica</t>
  </si>
  <si>
    <t>Anti-arrythmica</t>
  </si>
  <si>
    <t>Midazolam</t>
  </si>
  <si>
    <t xml:space="preserve">fenytoïne </t>
  </si>
  <si>
    <t>rocuronium</t>
  </si>
  <si>
    <t>Gewicht</t>
  </si>
  <si>
    <t>Leeftijd:</t>
  </si>
  <si>
    <t>Vocht</t>
  </si>
  <si>
    <t>Calorieen</t>
  </si>
  <si>
    <t xml:space="preserve">Natrium </t>
  </si>
  <si>
    <t>Kalium</t>
  </si>
  <si>
    <t>FZ</t>
  </si>
  <si>
    <t>gluc 5%</t>
  </si>
  <si>
    <t>gluc 10%</t>
  </si>
  <si>
    <t>totaal</t>
  </si>
  <si>
    <t>Voeding</t>
  </si>
  <si>
    <t>Infuus</t>
  </si>
  <si>
    <t>1.</t>
  </si>
  <si>
    <t>2.</t>
  </si>
  <si>
    <t>3.</t>
  </si>
  <si>
    <t>4.</t>
  </si>
  <si>
    <t>zoemer</t>
  </si>
  <si>
    <t>1 ml (max 10 ml)</t>
  </si>
  <si>
    <t>Opmerking:</t>
  </si>
  <si>
    <t>Medicatie continu intraveneus</t>
  </si>
  <si>
    <t>SSTglucose</t>
  </si>
  <si>
    <t>Frequentie:</t>
  </si>
  <si>
    <t>Patient</t>
  </si>
  <si>
    <t>PRVC</t>
  </si>
  <si>
    <t>VS</t>
  </si>
  <si>
    <t>medicament</t>
  </si>
  <si>
    <t>dosering</t>
  </si>
  <si>
    <t>dopamine</t>
  </si>
  <si>
    <t>Glucose 5%</t>
  </si>
  <si>
    <t>Glucose 10%</t>
  </si>
  <si>
    <t>Datum:</t>
  </si>
  <si>
    <t>Opnamedatum:</t>
  </si>
  <si>
    <t>Perifeer infuus 1: SST 2</t>
  </si>
  <si>
    <t>sc</t>
  </si>
  <si>
    <t>Pomp-snelh.</t>
  </si>
  <si>
    <t>NaCl 0,9%</t>
  </si>
  <si>
    <t>Peditrace</t>
  </si>
  <si>
    <t>Volume</t>
  </si>
  <si>
    <t>Geboorte datum:</t>
  </si>
  <si>
    <t>calciumchloride 10%</t>
  </si>
  <si>
    <t>Acuut</t>
  </si>
  <si>
    <t>KNaFosfaat</t>
  </si>
  <si>
    <t>Magnesium</t>
  </si>
  <si>
    <t>MgCl 10%</t>
  </si>
  <si>
    <t>25-100 ng/kg/min</t>
  </si>
  <si>
    <t>CVL lijn lumen II: medicatie + SST 2</t>
  </si>
  <si>
    <t>Perifeer infuus 1: SST 1</t>
  </si>
  <si>
    <t>Arts</t>
  </si>
  <si>
    <t>ml/24uur</t>
  </si>
  <si>
    <t>etomidaat</t>
  </si>
  <si>
    <t>atropine</t>
  </si>
  <si>
    <t>naloxon</t>
  </si>
  <si>
    <t>propofol 1%</t>
  </si>
  <si>
    <t>propofol 2%</t>
  </si>
  <si>
    <t>Adviesdosering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</si>
  <si>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</si>
  <si>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</si>
  <si>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</si>
  <si>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</si>
  <si>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</si>
  <si>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</si>
  <si>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</si>
  <si>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</si>
  <si>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</si>
  <si>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</si>
  <si>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</si>
  <si>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SST_1</t>
  </si>
  <si>
    <t>SST_2</t>
  </si>
  <si>
    <t>CVL lijn lumen I: medicatie + SST 1</t>
  </si>
  <si>
    <t>CVL lijn lumen I: medicatie + SST 2</t>
  </si>
  <si>
    <t>CVL lijn lumen II: medicatie + SST 1</t>
  </si>
  <si>
    <t>Patient nummer: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</si>
  <si>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</si>
  <si>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</si>
  <si>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</si>
  <si>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</si>
  <si>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</si>
  <si>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</si>
  <si>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</si>
  <si>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3,6 g/kg</t>
  </si>
  <si>
    <t>thiopental</t>
  </si>
  <si>
    <t>Intake</t>
  </si>
  <si>
    <t>midazolam</t>
  </si>
  <si>
    <t>Stof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</si>
  <si>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</si>
  <si>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</si>
  <si>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</si>
  <si>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</si>
  <si>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</si>
  <si>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</si>
  <si>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Intern</t>
  </si>
  <si>
    <t>trach</t>
  </si>
  <si>
    <t>epid</t>
  </si>
  <si>
    <t>nasaal</t>
  </si>
  <si>
    <t>Opl</t>
  </si>
  <si>
    <t>OplVl</t>
  </si>
  <si>
    <t>TotOpl</t>
  </si>
  <si>
    <t>1 ml/kg;    max 10 ml</t>
  </si>
  <si>
    <t>Gluc5</t>
  </si>
  <si>
    <t>Gluc10</t>
  </si>
  <si>
    <t>an</t>
  </si>
  <si>
    <t>Tijden</t>
  </si>
  <si>
    <t>Inloop</t>
  </si>
  <si>
    <t>PatNummer</t>
  </si>
  <si>
    <t>Opname</t>
  </si>
  <si>
    <t>: Pelikaan</t>
  </si>
  <si>
    <t>Intubatie</t>
  </si>
  <si>
    <t>Perifeer infuus 2: SST 1</t>
  </si>
  <si>
    <t>Perifeer infuus 2: SST 2</t>
  </si>
  <si>
    <t>Perifeer infuus 2: medicatie</t>
  </si>
  <si>
    <t>AN</t>
  </si>
  <si>
    <t>boven 50 kg</t>
  </si>
  <si>
    <t>5 ml</t>
  </si>
  <si>
    <t>10 ml</t>
  </si>
  <si>
    <t>noradrenaline</t>
  </si>
  <si>
    <t>0,05-2 mcg/kg/min</t>
  </si>
  <si>
    <t>mmol/kg/dag</t>
  </si>
  <si>
    <t>EW</t>
  </si>
  <si>
    <t>isoprenaline</t>
  </si>
  <si>
    <t>Tabel medicijn verdeelsysteem</t>
  </si>
  <si>
    <t>1 dd</t>
  </si>
  <si>
    <t>2 dd</t>
  </si>
  <si>
    <t>3 dd</t>
  </si>
  <si>
    <t>4 dd</t>
  </si>
  <si>
    <t>RS-diagnostiek</t>
  </si>
  <si>
    <t>CT scan</t>
  </si>
  <si>
    <t>MRI</t>
  </si>
  <si>
    <t>prednisolon</t>
  </si>
  <si>
    <t>CVL lijn lumen I: SST 1</t>
  </si>
  <si>
    <t>CVL lijn lumen I: SST 2</t>
  </si>
  <si>
    <t>KCl 7,4 % (1 mmol/ml)</t>
  </si>
  <si>
    <t>Samenstelling B (z.o.z.)</t>
  </si>
  <si>
    <t>Glucose 12,5%</t>
  </si>
  <si>
    <t>KCl  (7,4%) (1 mmol/ml)</t>
  </si>
  <si>
    <t>Gluc / zout ¾ - ¼ (7,5%  gluc / 0,225 % Na 38 mmol/l)</t>
  </si>
  <si>
    <t>2 ml</t>
  </si>
  <si>
    <t>Samenstelling C (z.o.z.)</t>
  </si>
  <si>
    <t>20 ml</t>
  </si>
  <si>
    <t>80-65 ml</t>
  </si>
  <si>
    <t>65-50 ml</t>
  </si>
  <si>
    <t>Glucose 30% (7 – 10 kg)</t>
  </si>
  <si>
    <t>55 ml</t>
  </si>
  <si>
    <t>Glucose 30% (11 – 15 kg)</t>
  </si>
  <si>
    <t>40 ml</t>
  </si>
  <si>
    <t>Samenstelling D (z.o.z.)</t>
  </si>
  <si>
    <t>risetime 5%</t>
  </si>
  <si>
    <t>drukbegrenzing 30 cmH2O</t>
  </si>
  <si>
    <t>mcg/kg/min</t>
  </si>
  <si>
    <t>nanog/kg/min</t>
  </si>
  <si>
    <t>Jaren</t>
  </si>
  <si>
    <t>Maanden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</si>
  <si>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</si>
  <si>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</si>
  <si>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</si>
  <si>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</si>
  <si>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0,2-0,8 mmol/kg (3-10 kg:0,8; 10-20 kg:0,5; &gt; 20 kg:0,2 mmol/kg)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</si>
  <si>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</si>
  <si>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</si>
  <si>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</si>
  <si>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</si>
  <si>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</si>
  <si>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</si>
  <si>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</si>
  <si>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</si>
  <si>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</si>
  <si>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</si>
  <si>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</si>
  <si>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</si>
  <si>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Op geleide van spiegels</t>
  </si>
  <si>
    <t>5 dd</t>
  </si>
  <si>
    <t>zn</t>
  </si>
  <si>
    <t>ml/u</t>
  </si>
  <si>
    <t>AfsprakenVersie</t>
  </si>
  <si>
    <t>Frequentie</t>
  </si>
  <si>
    <t>Route</t>
  </si>
  <si>
    <t>Opm</t>
  </si>
  <si>
    <t>Paraaf gezien door verpleegkundige:</t>
  </si>
  <si>
    <t>14:00 uur</t>
  </si>
  <si>
    <t>19:00 uur</t>
  </si>
  <si>
    <t>MedicatieContinu</t>
  </si>
  <si>
    <t>MedicatieDiscontinu</t>
  </si>
  <si>
    <t>IntravasaleToegang</t>
  </si>
  <si>
    <t>VoedingEnTPN</t>
  </si>
  <si>
    <t>Glucose 5% + NaCl 0,45%</t>
  </si>
  <si>
    <t>Glucose 5% + NaCl 0,9%</t>
  </si>
  <si>
    <t>Ringer lactaat</t>
  </si>
  <si>
    <t>Geboortedatum</t>
  </si>
  <si>
    <t>Datum</t>
  </si>
  <si>
    <t>Naam</t>
  </si>
  <si>
    <t>Generiek</t>
  </si>
  <si>
    <t>2 tot 6</t>
  </si>
  <si>
    <t>6 tot 11</t>
  </si>
  <si>
    <t>vanaf 11</t>
  </si>
  <si>
    <t>generic</t>
  </si>
  <si>
    <t>doseUnit</t>
  </si>
  <si>
    <t>advice</t>
  </si>
  <si>
    <t>unit</t>
  </si>
  <si>
    <t>strength</t>
  </si>
  <si>
    <t>sol</t>
  </si>
  <si>
    <t>esmolol</t>
  </si>
  <si>
    <t>fenylefrine</t>
  </si>
  <si>
    <t>EH</t>
  </si>
  <si>
    <t>insuline</t>
  </si>
  <si>
    <t>labetalol</t>
  </si>
  <si>
    <t>magnesiumsulfaat</t>
  </si>
  <si>
    <t>milrinone</t>
  </si>
  <si>
    <t>rate</t>
  </si>
  <si>
    <t>dose</t>
  </si>
  <si>
    <t>Standard</t>
  </si>
  <si>
    <t>Set</t>
  </si>
  <si>
    <t>Calculated</t>
  </si>
  <si>
    <t>0,1-1 mg/kg/min</t>
  </si>
  <si>
    <t>mg/kg/min</t>
  </si>
  <si>
    <t>Row</t>
  </si>
  <si>
    <t>Opl Vlstf</t>
  </si>
  <si>
    <t>Vol</t>
  </si>
  <si>
    <t>Gluc 5</t>
  </si>
  <si>
    <t>Gluc 10</t>
  </si>
  <si>
    <t>No</t>
  </si>
  <si>
    <t>3-20 mg/kg/uur (=0,01-0,08 mmol/kg/uur)</t>
  </si>
  <si>
    <t>mmol</t>
  </si>
  <si>
    <t>fentanyl</t>
  </si>
  <si>
    <t>epi bupi 2,5mg, sufenta 1 mcg /ml</t>
  </si>
  <si>
    <t>epi bupi 2,5mg /ml</t>
  </si>
  <si>
    <t>N.B. Epiduraal, bereiden en voorschrijven volgens protocol en/of voorschrift anesthesist!</t>
  </si>
  <si>
    <t>3,5-10 kg</t>
  </si>
  <si>
    <t>ingredienten per 100 mL</t>
  </si>
  <si>
    <t>10-20 kg</t>
  </si>
  <si>
    <t>Nutrini Multi Fibre</t>
  </si>
  <si>
    <t>Nutrini Energy Multi Fibre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</si>
  <si>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</si>
  <si>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</si>
  <si>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</si>
  <si>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</si>
  <si>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</si>
  <si>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</si>
  <si>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SpecVoed</t>
  </si>
  <si>
    <t>Enteraal voeding</t>
  </si>
  <si>
    <t>Maagsonde voeding</t>
  </si>
  <si>
    <t>Maagsonde hevelen</t>
  </si>
  <si>
    <t>Duodenumsonde voeding</t>
  </si>
  <si>
    <t>Sonde keuze</t>
  </si>
  <si>
    <t>AdviseMinimum</t>
  </si>
  <si>
    <t>AdviseMaximum</t>
  </si>
  <si>
    <t>Bed</t>
  </si>
  <si>
    <t>Bed:</t>
  </si>
  <si>
    <t>Bednummer:</t>
  </si>
  <si>
    <t>Print:</t>
  </si>
  <si>
    <t>AD:</t>
  </si>
  <si>
    <t xml:space="preserve">Paraaf </t>
  </si>
  <si>
    <t>Verpleging</t>
  </si>
  <si>
    <t>Handtekening supervisor:</t>
  </si>
  <si>
    <t>Extra?</t>
  </si>
  <si>
    <t>Keuze 1</t>
  </si>
  <si>
    <t>Keuze 2</t>
  </si>
  <si>
    <t>Keuze 3</t>
  </si>
  <si>
    <t>Dag 1 tot en met 3</t>
  </si>
  <si>
    <t>Dag 4 en verder</t>
  </si>
  <si>
    <t>WERKBRIEF INFUUSSAMENSTELLING NEONATOLOGIE</t>
  </si>
  <si>
    <t>patient:</t>
  </si>
  <si>
    <t>datum:</t>
  </si>
  <si>
    <t>tijd:</t>
  </si>
  <si>
    <t>Gewicht:</t>
  </si>
  <si>
    <t>naam arts:</t>
  </si>
  <si>
    <t>Paraaf:</t>
  </si>
  <si>
    <t>Totale vochtintake per 24 uur:</t>
  </si>
  <si>
    <t>hoeveelheid in ml</t>
  </si>
  <si>
    <t>correctie</t>
  </si>
  <si>
    <t>Kacetaat (1 mmol/ml)</t>
  </si>
  <si>
    <t>Primene</t>
  </si>
  <si>
    <t>NICU-mix</t>
  </si>
  <si>
    <t>(</t>
  </si>
  <si>
    <t>mg=</t>
  </si>
  <si>
    <t>ml)</t>
  </si>
  <si>
    <t>in</t>
  </si>
  <si>
    <t>PO4</t>
  </si>
  <si>
    <t>Gluc</t>
  </si>
  <si>
    <t>Lip</t>
  </si>
  <si>
    <t>Energie</t>
  </si>
  <si>
    <t>Fantomalt</t>
  </si>
  <si>
    <t>WERKBRIEF APOTHEEK</t>
  </si>
  <si>
    <t>pieper:</t>
  </si>
  <si>
    <t>advies:</t>
  </si>
  <si>
    <t>Intraveneus</t>
  </si>
  <si>
    <t>Oraal</t>
  </si>
  <si>
    <t>Glucose</t>
  </si>
  <si>
    <t>Chloor</t>
  </si>
  <si>
    <t>Vit D</t>
  </si>
  <si>
    <t>Medische Afspraken</t>
  </si>
  <si>
    <t>Afdeling Neonatologie (IC-HC-MC)</t>
  </si>
  <si>
    <t>Divisie Obstetrie Neonatologie en Gynaecologie</t>
  </si>
  <si>
    <t>Geboortedatum:</t>
  </si>
  <si>
    <t>weken</t>
  </si>
  <si>
    <t>dag(-en)</t>
  </si>
  <si>
    <t>Advies</t>
  </si>
  <si>
    <t>Totale vochtintake</t>
  </si>
  <si>
    <t>ml/ kg/ 24 uur</t>
  </si>
  <si>
    <t>Fototherapie</t>
  </si>
  <si>
    <t>Hoeveelheid:</t>
  </si>
  <si>
    <t>maal</t>
  </si>
  <si>
    <t>Voeding:</t>
  </si>
  <si>
    <t>en</t>
  </si>
  <si>
    <t>Infuus/parenterale voeding:</t>
  </si>
  <si>
    <t>ml/ 24 uur</t>
  </si>
  <si>
    <t>Medicatie dosis/ kg /…</t>
  </si>
  <si>
    <t>Normaal waarden</t>
  </si>
  <si>
    <t>Inlooptijd</t>
  </si>
  <si>
    <t>Zijlijn 1</t>
  </si>
  <si>
    <t>Zijlijn 2</t>
  </si>
  <si>
    <t>Zijlijn 3</t>
  </si>
  <si>
    <t>Intralipid 20% (incl vitintra)</t>
  </si>
  <si>
    <t>Samenstelling</t>
  </si>
  <si>
    <t>Kacetaat</t>
  </si>
  <si>
    <t>CaCl2</t>
  </si>
  <si>
    <t>MgCl2</t>
  </si>
  <si>
    <t>Totale vochtintake (ml/kg/24 uur):</t>
  </si>
  <si>
    <t>prematuur/dysmatuur</t>
  </si>
  <si>
    <t>voldragen</t>
  </si>
  <si>
    <t>Samenstelling (ml/kg/24 uur):</t>
  </si>
  <si>
    <t>NICU-mix WKZ</t>
  </si>
  <si>
    <t>3</t>
  </si>
  <si>
    <t>1,5</t>
  </si>
  <si>
    <r>
      <t>Cacl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(0,225 mmol/ml)</t>
    </r>
  </si>
  <si>
    <r>
      <t>MgCl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10% (0,5 mmol/ml)</t>
    </r>
  </si>
  <si>
    <t>Primene 10%</t>
  </si>
  <si>
    <t>Intralipid-20% incl. Vitintra (2 ml per 12 ml)</t>
  </si>
  <si>
    <t>Medicamenten</t>
  </si>
  <si>
    <t>Normaal Waarden</t>
  </si>
  <si>
    <t>Faktor</t>
  </si>
  <si>
    <t>Cl</t>
  </si>
  <si>
    <t>vit D</t>
  </si>
  <si>
    <t>0,1- 0,5 mg/kg/dag</t>
  </si>
  <si>
    <t>glucose 5%</t>
  </si>
  <si>
    <t>microg/kg/min</t>
  </si>
  <si>
    <t>Nutrilon Standaard 1</t>
  </si>
  <si>
    <t>Nutrilon 1 poeder</t>
  </si>
  <si>
    <t>2,5-20 microg/kg/min</t>
  </si>
  <si>
    <t>glucose 10%</t>
  </si>
  <si>
    <t>Nenatal Start poeder</t>
  </si>
  <si>
    <t>1-20 microg/kg/min</t>
  </si>
  <si>
    <t>glucose 15%</t>
  </si>
  <si>
    <t>Nutrilon Nenatal BMF</t>
  </si>
  <si>
    <t>glucose 20%</t>
  </si>
  <si>
    <t>Nenatal Protein Fortifier</t>
  </si>
  <si>
    <t>glucose 25%</t>
  </si>
  <si>
    <t>Solagen/Colagen</t>
  </si>
  <si>
    <t>glucose 30%</t>
  </si>
  <si>
    <t>0,01-1,5 microg/kg/min</t>
  </si>
  <si>
    <t>glucose 35%</t>
  </si>
  <si>
    <t>glucose 40%</t>
  </si>
  <si>
    <t>glucose 45%</t>
  </si>
  <si>
    <t>glucose 50%</t>
  </si>
  <si>
    <t>0,125-0,5 mg/kg/dag</t>
  </si>
  <si>
    <t>0,05-2 microg/kg/min</t>
  </si>
  <si>
    <t>NaBic 4,2%</t>
  </si>
  <si>
    <t>NICU mix</t>
  </si>
  <si>
    <t>Nieuwe</t>
  </si>
  <si>
    <t>Uren*10</t>
  </si>
  <si>
    <t>PatNum:</t>
  </si>
  <si>
    <t>Weken:</t>
  </si>
  <si>
    <t>Dagen:</t>
  </si>
  <si>
    <t>Dag:</t>
  </si>
  <si>
    <t>Voeding per os:</t>
  </si>
  <si>
    <t>Totale intake per kg</t>
  </si>
  <si>
    <t>Parenteraal</t>
  </si>
  <si>
    <t>Hoeveelheid</t>
  </si>
  <si>
    <t>Opl hoeveelh</t>
  </si>
  <si>
    <t>Berekening</t>
  </si>
  <si>
    <t>Medicament 1</t>
  </si>
  <si>
    <t>Medicament 2</t>
  </si>
  <si>
    <t>Medicament 3</t>
  </si>
  <si>
    <t>Medicament 4</t>
  </si>
  <si>
    <t>Medicament 5</t>
  </si>
  <si>
    <t>Medicament 6</t>
  </si>
  <si>
    <t>Medicament 7</t>
  </si>
  <si>
    <t>Medicament 8</t>
  </si>
  <si>
    <t>Medicament 9</t>
  </si>
  <si>
    <t>Aanbevolen</t>
  </si>
  <si>
    <t>Aangepast</t>
  </si>
  <si>
    <t>Tellerstand</t>
  </si>
  <si>
    <t>GLUCOSE</t>
  </si>
  <si>
    <t>Supervisor</t>
  </si>
  <si>
    <t>(gew. &lt;1 kg)</t>
  </si>
  <si>
    <t>kg</t>
  </si>
  <si>
    <t>NeoPatient</t>
  </si>
  <si>
    <t>NeoLaboratorium</t>
  </si>
  <si>
    <t>NeoIntake</t>
  </si>
  <si>
    <t>10</t>
  </si>
  <si>
    <t>11</t>
  </si>
  <si>
    <t>12</t>
  </si>
  <si>
    <t>Weken</t>
  </si>
  <si>
    <t>Dagen</t>
  </si>
  <si>
    <t>Gewicht (Kg)</t>
  </si>
  <si>
    <t>1 mg/kg, max 2 mg/kg</t>
  </si>
  <si>
    <t>10-100 ng/kg/min</t>
  </si>
  <si>
    <t>Monitor</t>
  </si>
  <si>
    <t>Saturatie meting, pre ductaal</t>
  </si>
  <si>
    <t>Saturatie meting, post ductaal</t>
  </si>
  <si>
    <t>Vochtbalans MC</t>
  </si>
  <si>
    <t>NIRS, nier</t>
  </si>
  <si>
    <t>Schedel</t>
  </si>
  <si>
    <t>Ontslag, in overleg</t>
  </si>
  <si>
    <t>Ontslag, na visite</t>
  </si>
  <si>
    <t>Ontslag, voor 10 uur akkoord</t>
  </si>
  <si>
    <t>Finnigan score</t>
  </si>
  <si>
    <t>Infuus, op slot</t>
  </si>
  <si>
    <t>Brainz</t>
  </si>
  <si>
    <t>Nicoh Coden</t>
  </si>
  <si>
    <t>Nicolet one</t>
  </si>
  <si>
    <t>Kweken</t>
  </si>
  <si>
    <t>aEEG</t>
  </si>
  <si>
    <t>Bloed kweek</t>
  </si>
  <si>
    <t>Faeces kweek</t>
  </si>
  <si>
    <t>Faeces kweek, Bacterieel</t>
  </si>
  <si>
    <t>Faeces kweek, Rota / Adeno</t>
  </si>
  <si>
    <t>Faeces kweek, Schimmel / Gist</t>
  </si>
  <si>
    <t>Faeces kweek, Viraal</t>
  </si>
  <si>
    <t>Keel kweek</t>
  </si>
  <si>
    <t>Neusspoelsel</t>
  </si>
  <si>
    <t>Opname kweken</t>
  </si>
  <si>
    <t>Oppervlakte kweken</t>
  </si>
  <si>
    <t>Sputum kweek</t>
  </si>
  <si>
    <t>Uitzuig kweek</t>
  </si>
  <si>
    <t>Urine kweek</t>
  </si>
  <si>
    <t>Urine</t>
  </si>
  <si>
    <t>Neusspoelsel, Viraal</t>
  </si>
  <si>
    <t>Oppervlakte kweken, Opname</t>
  </si>
  <si>
    <t>Oppervlakte kweken, Gist / Schimmel</t>
  </si>
  <si>
    <t>Sputum kweek, Bacterieel</t>
  </si>
  <si>
    <t>Sputum kweek, Ureaplasma / Mycoplasma</t>
  </si>
  <si>
    <t>Sputum kweek, Viraal</t>
  </si>
  <si>
    <t>Urine kweek, Bacterieel</t>
  </si>
  <si>
    <t>Urine, Natrium / Kalium</t>
  </si>
  <si>
    <t>Urine, Sediment</t>
  </si>
  <si>
    <t>Urine, Sediment en Kweek</t>
  </si>
  <si>
    <t>Urine, Sediment ma-wo-vr</t>
  </si>
  <si>
    <t>Urine, 24 uur</t>
  </si>
  <si>
    <t>Urine, CMV</t>
  </si>
  <si>
    <t>Urine, Metabool</t>
  </si>
  <si>
    <t>Urine, Rchitis screen</t>
  </si>
  <si>
    <t>Wond kweek</t>
  </si>
  <si>
    <t>Catheter a demeure</t>
  </si>
  <si>
    <t>Samenvatting</t>
  </si>
  <si>
    <t>-10 cmH2O</t>
  </si>
  <si>
    <t>-15 cmH2O</t>
  </si>
  <si>
    <t>Thorax drain sub 1</t>
  </si>
  <si>
    <t>Thorax drain sub 2</t>
  </si>
  <si>
    <t>Echo buik</t>
  </si>
  <si>
    <t>Echo hart</t>
  </si>
  <si>
    <t>Gastrostoma</t>
  </si>
  <si>
    <t>Maagsonde open en hoog</t>
  </si>
  <si>
    <t>Urostoma</t>
  </si>
  <si>
    <t>Redon drain</t>
  </si>
  <si>
    <t>Peritoneaal drain</t>
  </si>
  <si>
    <t>Pacemakerdraden</t>
  </si>
  <si>
    <t>Overig</t>
  </si>
  <si>
    <t>NeoAanvullendeAfspraken</t>
  </si>
  <si>
    <t>Nieuw</t>
  </si>
  <si>
    <t>Opname:</t>
  </si>
  <si>
    <t>06:00 uur dag 1</t>
  </si>
  <si>
    <t>N.B. De roodomlijnde labbepalingen alleen op stricte indicatie aanvragen (kunnen niet via de POC)</t>
  </si>
  <si>
    <t>12:00 uur</t>
  </si>
  <si>
    <t>16:00 uur</t>
  </si>
  <si>
    <t>20:00 uur</t>
  </si>
  <si>
    <t>04:00 uur</t>
  </si>
  <si>
    <t>08:00 uur dag 1</t>
  </si>
  <si>
    <t>08:00 uur dag 2</t>
  </si>
  <si>
    <t>08:00 uur dag 3</t>
  </si>
  <si>
    <t>08:00 uur</t>
  </si>
  <si>
    <t>10-100 nanogram/kg/min</t>
  </si>
  <si>
    <t>Arterielijn: 12 ml NaCl 0,45% + hep. (5EH/ml)</t>
  </si>
  <si>
    <t>Controles</t>
  </si>
  <si>
    <t>NIBD</t>
  </si>
  <si>
    <t>Arm links</t>
  </si>
  <si>
    <t>Arm rechts</t>
  </si>
  <si>
    <t>Been links</t>
  </si>
  <si>
    <t>Been rechts</t>
  </si>
  <si>
    <t>Onderzoek</t>
  </si>
  <si>
    <t>Overige</t>
  </si>
  <si>
    <t>Verwijderen</t>
  </si>
  <si>
    <t>CAD</t>
  </si>
  <si>
    <t>NVL</t>
  </si>
  <si>
    <t>PAL</t>
  </si>
  <si>
    <t>Silastic</t>
  </si>
  <si>
    <t>vertrek afdeling</t>
  </si>
  <si>
    <t>13</t>
  </si>
  <si>
    <t>14</t>
  </si>
  <si>
    <t>0,05-0,1 microg/kg/min</t>
  </si>
  <si>
    <t>Albumine 20%</t>
  </si>
  <si>
    <t>Alprostadil (Prostin)</t>
  </si>
  <si>
    <t>Amiodarone</t>
  </si>
  <si>
    <t>5-15 microg/kg/min</t>
  </si>
  <si>
    <t>Clonidine</t>
  </si>
  <si>
    <t>microg/kg/uur</t>
  </si>
  <si>
    <t>Dobutamine</t>
  </si>
  <si>
    <t>Dopamine</t>
  </si>
  <si>
    <t>Epi bupi 2,5 mg/ml</t>
  </si>
  <si>
    <t>Epoprostenol (Flolan)</t>
  </si>
  <si>
    <t>Esmolol</t>
  </si>
  <si>
    <t>Epi bupi 2,5 mg, sufenta 1 mcg /ml</t>
  </si>
  <si>
    <t>Furosemide</t>
  </si>
  <si>
    <t>Insuline</t>
  </si>
  <si>
    <t>Isoprenaline</t>
  </si>
  <si>
    <t>Labetalol</t>
  </si>
  <si>
    <t>0,25-3 mg/kg/uur</t>
  </si>
  <si>
    <t>Milrinone</t>
  </si>
  <si>
    <t>Nitroprusside</t>
  </si>
  <si>
    <t>Noradrenaline</t>
  </si>
  <si>
    <t>0,25-0,75 microg/kg/min</t>
  </si>
  <si>
    <t>0,5-8 microg/kg/min</t>
  </si>
  <si>
    <t>Rocuronium</t>
  </si>
  <si>
    <t>0,3-1,2 mg/kg/uur</t>
  </si>
  <si>
    <t>Clonazepam</t>
  </si>
  <si>
    <t>Lidocaine</t>
  </si>
  <si>
    <t>4-7 mg/kg/uur (volgens protocol, let op hypothermie)</t>
  </si>
  <si>
    <t>Nicardipine</t>
  </si>
  <si>
    <t>0,5 -2 microg/kg/min</t>
  </si>
  <si>
    <t>0,25-2 microg/kg/uur</t>
  </si>
  <si>
    <t>Leeftijd jr</t>
  </si>
  <si>
    <t>Tube maat</t>
  </si>
  <si>
    <t>Vullen</t>
  </si>
  <si>
    <t>Propofol</t>
  </si>
  <si>
    <t>Fumazenil</t>
  </si>
  <si>
    <t>Naloxon</t>
  </si>
  <si>
    <t>Dopa(Dobuta-)mine</t>
  </si>
  <si>
    <t>(Nor)Adrenaline</t>
  </si>
  <si>
    <t>Ademfreq</t>
  </si>
  <si>
    <t>Joule berekend</t>
  </si>
  <si>
    <t>Joule afgerond</t>
  </si>
  <si>
    <t>NIBD meting</t>
  </si>
  <si>
    <t>NIBD alle ledematen, eenmalig</t>
  </si>
  <si>
    <t>dd</t>
  </si>
  <si>
    <t>NIRS, cerebraal eenzijdig</t>
  </si>
  <si>
    <t>NIRS, cerebraal tweezijdig</t>
  </si>
  <si>
    <t>Thorax drain 1</t>
  </si>
  <si>
    <t>Vertrek</t>
  </si>
  <si>
    <t>'00:00</t>
  </si>
  <si>
    <t>'00:15</t>
  </si>
  <si>
    <t>'00:30</t>
  </si>
  <si>
    <t>'00:45</t>
  </si>
  <si>
    <t>'01:00</t>
  </si>
  <si>
    <t>'01:15</t>
  </si>
  <si>
    <t>'01:30</t>
  </si>
  <si>
    <t>'01:45</t>
  </si>
  <si>
    <t>'02:00</t>
  </si>
  <si>
    <t>'02:15</t>
  </si>
  <si>
    <t>'02:30</t>
  </si>
  <si>
    <t>'02:45</t>
  </si>
  <si>
    <t>'03:00</t>
  </si>
  <si>
    <t>'03:15</t>
  </si>
  <si>
    <t>'03:30</t>
  </si>
  <si>
    <t>'03:45</t>
  </si>
  <si>
    <t>'04:00</t>
  </si>
  <si>
    <t>'04:15</t>
  </si>
  <si>
    <t>'04:30</t>
  </si>
  <si>
    <t>'04:45</t>
  </si>
  <si>
    <t>'05:00</t>
  </si>
  <si>
    <t>'05:15</t>
  </si>
  <si>
    <t>'05:30</t>
  </si>
  <si>
    <t>'05:45</t>
  </si>
  <si>
    <t>'06:00</t>
  </si>
  <si>
    <t>'06:15</t>
  </si>
  <si>
    <t>'06:30</t>
  </si>
  <si>
    <t>'06:45</t>
  </si>
  <si>
    <t>'07:00</t>
  </si>
  <si>
    <t>'07:15</t>
  </si>
  <si>
    <t>'07:30</t>
  </si>
  <si>
    <t>'07:45</t>
  </si>
  <si>
    <t>'08:00</t>
  </si>
  <si>
    <t>'08:15</t>
  </si>
  <si>
    <t>'08:30</t>
  </si>
  <si>
    <t>'08:45</t>
  </si>
  <si>
    <t>'09:00</t>
  </si>
  <si>
    <t>'09:15</t>
  </si>
  <si>
    <t>'09:30</t>
  </si>
  <si>
    <t>'09:45</t>
  </si>
  <si>
    <t>'10:00</t>
  </si>
  <si>
    <t>'10:15</t>
  </si>
  <si>
    <t>'10:30</t>
  </si>
  <si>
    <t>'10:45</t>
  </si>
  <si>
    <t>'11:00</t>
  </si>
  <si>
    <t>'11:15</t>
  </si>
  <si>
    <t>'11:30</t>
  </si>
  <si>
    <t>'11:45</t>
  </si>
  <si>
    <t>'12:00</t>
  </si>
  <si>
    <t>'12:15</t>
  </si>
  <si>
    <t>'12:30</t>
  </si>
  <si>
    <t>'12:45</t>
  </si>
  <si>
    <t>'13:00</t>
  </si>
  <si>
    <t>'13:15</t>
  </si>
  <si>
    <t>'13:30</t>
  </si>
  <si>
    <t>'13:45</t>
  </si>
  <si>
    <t>'14:00</t>
  </si>
  <si>
    <t>'14:15</t>
  </si>
  <si>
    <t>'14:30</t>
  </si>
  <si>
    <t>'14:45</t>
  </si>
  <si>
    <t>'15:00</t>
  </si>
  <si>
    <t>'15:15</t>
  </si>
  <si>
    <t>'15:30</t>
  </si>
  <si>
    <t>'15:45</t>
  </si>
  <si>
    <t>'16:00</t>
  </si>
  <si>
    <t>'16:15</t>
  </si>
  <si>
    <t>'16:30</t>
  </si>
  <si>
    <t>'16:45</t>
  </si>
  <si>
    <t>'17:00</t>
  </si>
  <si>
    <t>'17:15</t>
  </si>
  <si>
    <t>'17:30</t>
  </si>
  <si>
    <t>'17:45</t>
  </si>
  <si>
    <t>'18:00</t>
  </si>
  <si>
    <t>'18:15</t>
  </si>
  <si>
    <t>'18:30</t>
  </si>
  <si>
    <t>'18:45</t>
  </si>
  <si>
    <t>'19:00</t>
  </si>
  <si>
    <t>'19:15</t>
  </si>
  <si>
    <t>'19:30</t>
  </si>
  <si>
    <t>'19:45</t>
  </si>
  <si>
    <t>'20:00</t>
  </si>
  <si>
    <t>'20:15</t>
  </si>
  <si>
    <t>'20:30</t>
  </si>
  <si>
    <t>'20:45</t>
  </si>
  <si>
    <t>'21:00</t>
  </si>
  <si>
    <t>'21:15</t>
  </si>
  <si>
    <t>'21:30</t>
  </si>
  <si>
    <t>'21:45</t>
  </si>
  <si>
    <t>'22:00</t>
  </si>
  <si>
    <t>'22:15</t>
  </si>
  <si>
    <t>'22:30</t>
  </si>
  <si>
    <t>'22:45</t>
  </si>
  <si>
    <t>'23:00</t>
  </si>
  <si>
    <t>'23:15</t>
  </si>
  <si>
    <t>'23:30</t>
  </si>
  <si>
    <t>'23:45</t>
  </si>
  <si>
    <t>Thorax drain 2</t>
  </si>
  <si>
    <t>Fototherapie, stop per 17:00 uur</t>
  </si>
  <si>
    <t>Rickham punctie</t>
  </si>
  <si>
    <t>Verliezen compenseren</t>
  </si>
  <si>
    <t>Ringerslactaat</t>
  </si>
  <si>
    <t>FFP</t>
  </si>
  <si>
    <t>Opmerkingen</t>
  </si>
  <si>
    <t>Voeding 1</t>
  </si>
  <si>
    <t>Voeding 2</t>
  </si>
  <si>
    <t>Voeding 3</t>
  </si>
  <si>
    <t>Voeding 4</t>
  </si>
  <si>
    <t>Voeding 5</t>
  </si>
  <si>
    <t>Voeding 6</t>
  </si>
  <si>
    <t>Voeding 7</t>
  </si>
  <si>
    <t>Voeding 8</t>
  </si>
  <si>
    <t>Voeding 9</t>
  </si>
  <si>
    <t>Voeding 10</t>
  </si>
  <si>
    <t>Schedelomvang</t>
  </si>
  <si>
    <t>-20 cmH2O</t>
  </si>
  <si>
    <t>Pigtail drain</t>
  </si>
  <si>
    <t>Overige (vrije tekst)</t>
  </si>
  <si>
    <t>AanvullendeAfspraken</t>
  </si>
  <si>
    <t>Toevoegingen in MOEDERMELK</t>
  </si>
  <si>
    <t>Toevoegingen in KUNSTVOEDING</t>
  </si>
  <si>
    <t>BMF Waarden</t>
  </si>
  <si>
    <t>Toevoegingen waarden</t>
  </si>
  <si>
    <t>Toevoegingen MOEDERMELK</t>
  </si>
  <si>
    <t>Toevoegingen KUNSTVOEDING</t>
  </si>
  <si>
    <t>Calogen in KV</t>
  </si>
  <si>
    <t>Fantomalt in KV</t>
  </si>
  <si>
    <t>Nenatal Start Pdr in KV</t>
  </si>
  <si>
    <t>Nutriton in KV</t>
  </si>
  <si>
    <t>Toevoeging MM 1</t>
  </si>
  <si>
    <t>Toevoeging MM 2</t>
  </si>
  <si>
    <t>Toevoeging MM 3</t>
  </si>
  <si>
    <t>Toevoeging MM 4</t>
  </si>
  <si>
    <t>Toevoeging KV 1</t>
  </si>
  <si>
    <t>Toevoeging KV 2</t>
  </si>
  <si>
    <t>Toevoeging KV 3</t>
  </si>
  <si>
    <t>Toevoeging KV 4</t>
  </si>
  <si>
    <t>BMF in MM</t>
  </si>
  <si>
    <t>Toevoeging MM BMF</t>
  </si>
  <si>
    <t>Fe</t>
  </si>
  <si>
    <t>VitD</t>
  </si>
  <si>
    <t>ug</t>
  </si>
  <si>
    <t>&lt;10 kg</t>
  </si>
  <si>
    <t>&lt;3,5 kg</t>
  </si>
  <si>
    <t>Nutrilon Nenatal Start</t>
  </si>
  <si>
    <t>Nutrilon Nenatal 1</t>
  </si>
  <si>
    <t>Nutrilon Hypoallergeen 1</t>
  </si>
  <si>
    <t>Nutrilon Neocate</t>
  </si>
  <si>
    <t>Nutrilon Pepti Junior</t>
  </si>
  <si>
    <t>Hero Baby 1 NS Standaard</t>
  </si>
  <si>
    <t>Hero Baby 2 NS Standaard</t>
  </si>
  <si>
    <t>Hero Baby 1 NS Comfort</t>
  </si>
  <si>
    <t>Hero Baby 2 NS Comfort</t>
  </si>
  <si>
    <t>Hero Baby 1 NS Pep</t>
  </si>
  <si>
    <t>Hero Baby 2 NS Pep</t>
  </si>
  <si>
    <t>Nutramigen 1 LGG pdr</t>
  </si>
  <si>
    <t>Nutrison Advanced Peptisorb Powder</t>
  </si>
  <si>
    <t>Nutrilon Pepti Junior pdr</t>
  </si>
  <si>
    <t>Nutrilon Nenatal Start pdr</t>
  </si>
  <si>
    <t>Nutrilon Nenatal Protein Fortifier</t>
  </si>
  <si>
    <t>Calogen neutraal</t>
  </si>
  <si>
    <t>Liquigen</t>
  </si>
  <si>
    <t>Nutrilon Pepti 1 pdr</t>
  </si>
  <si>
    <t>Nutrilon Hypoallergeen 1 pdr</t>
  </si>
  <si>
    <t>Neocate LCP</t>
  </si>
  <si>
    <t>Neocate Junior</t>
  </si>
  <si>
    <t>CFM</t>
  </si>
  <si>
    <t>ControlePerPeriode</t>
  </si>
  <si>
    <t>Buikomvang</t>
  </si>
  <si>
    <t>-5 cmH2O</t>
  </si>
  <si>
    <t>-25 cmH2O</t>
  </si>
  <si>
    <t>-30 cmH2O</t>
  </si>
  <si>
    <t>Pleura li</t>
  </si>
  <si>
    <t>Pleura re</t>
  </si>
  <si>
    <t>Mediast/Pericard</t>
  </si>
  <si>
    <t>Gecombineerd</t>
  </si>
  <si>
    <t>Thorax drain sub 3</t>
  </si>
  <si>
    <t xml:space="preserve">hevelen </t>
  </si>
  <si>
    <t>afgeklemd</t>
  </si>
  <si>
    <t>waterslot</t>
  </si>
  <si>
    <t>Instellingen</t>
  </si>
  <si>
    <t>Liquor drain</t>
  </si>
  <si>
    <t>cm hoogte tov Monroe</t>
  </si>
  <si>
    <t>Thorax drain 3</t>
  </si>
  <si>
    <t>Vacuum</t>
  </si>
  <si>
    <t>Liquor drain sub 1</t>
  </si>
  <si>
    <t>EVD li</t>
  </si>
  <si>
    <t>EVD re</t>
  </si>
  <si>
    <t>LD</t>
  </si>
  <si>
    <t>Maagsonde</t>
  </si>
  <si>
    <t>Duodenumsonde</t>
  </si>
  <si>
    <t>PEG</t>
  </si>
  <si>
    <t>Headblocks</t>
  </si>
  <si>
    <t>Zachte kraag</t>
  </si>
  <si>
    <t>Harde kraag</t>
  </si>
  <si>
    <t>ICP meting</t>
  </si>
  <si>
    <t>TOSCA meting</t>
  </si>
  <si>
    <t>dag</t>
  </si>
  <si>
    <t>week</t>
  </si>
  <si>
    <t>maand</t>
  </si>
  <si>
    <t>Toevoeging in MM</t>
  </si>
  <si>
    <t>Toevoeging in KV</t>
  </si>
  <si>
    <t>Toevoeging Voeding</t>
  </si>
  <si>
    <t>Maagretentie</t>
  </si>
  <si>
    <t>met</t>
  </si>
  <si>
    <t>GCS</t>
  </si>
  <si>
    <t>Pupil controles</t>
  </si>
  <si>
    <t>Sedatie vlg Comfort Score</t>
  </si>
  <si>
    <t>CVL lijn lumen I:</t>
  </si>
  <si>
    <t>Nutrilon Standaard 2</t>
  </si>
  <si>
    <t>MM of Nenatal 1</t>
  </si>
  <si>
    <t>MM of Nenatal Start</t>
  </si>
  <si>
    <t>MM of Nutrilon Standaard 1</t>
  </si>
  <si>
    <t>MM of Nutrilon Standaard 2</t>
  </si>
  <si>
    <t>MM of Hypoallergeen</t>
  </si>
  <si>
    <t>MM of Neocate</t>
  </si>
  <si>
    <t>ingredienten per 100 gram</t>
  </si>
  <si>
    <t xml:space="preserve">Nutrilon 1 </t>
  </si>
  <si>
    <t>Nutriton</t>
  </si>
  <si>
    <t>Nutrilon Caprilon</t>
  </si>
  <si>
    <t>Hero Baby 1 NS Prematuur</t>
  </si>
  <si>
    <t>Hero Baby Prematuur Start</t>
  </si>
  <si>
    <t>Nutrilon Pepti 1</t>
  </si>
  <si>
    <t>Totalen MM</t>
  </si>
  <si>
    <t>Totalen KV</t>
  </si>
  <si>
    <t>MM/KV</t>
  </si>
  <si>
    <t>KV</t>
  </si>
  <si>
    <t>opm</t>
  </si>
  <si>
    <t>chloor</t>
  </si>
  <si>
    <t>vitamine D</t>
  </si>
  <si>
    <t>ijzer</t>
  </si>
  <si>
    <t>Infatrini Peptisorb</t>
  </si>
  <si>
    <t>Nutrini Peptisorb</t>
  </si>
  <si>
    <t>Nutrison Adv Peptisorb</t>
  </si>
  <si>
    <t>tblMedDiscToed</t>
  </si>
  <si>
    <t>tblMedDiscOplVl</t>
  </si>
  <si>
    <t>tblMedDiscTijdenIndex</t>
  </si>
  <si>
    <t>tblMedDiscTijden</t>
  </si>
  <si>
    <t>tblMedDiscEenh</t>
  </si>
  <si>
    <t>tblInfusen</t>
  </si>
  <si>
    <t>Zout</t>
  </si>
  <si>
    <t>Infuus nummer</t>
  </si>
  <si>
    <t>Infuus keuze</t>
  </si>
  <si>
    <t>Pacemaker Positie</t>
  </si>
  <si>
    <t>Pacemaker Modus</t>
  </si>
  <si>
    <t>Nutrilon Pepti 2</t>
  </si>
  <si>
    <t>Nutrilon 1</t>
  </si>
  <si>
    <t>Voeding lijst</t>
  </si>
  <si>
    <t>Voeding 11</t>
  </si>
  <si>
    <t>Voeding 12</t>
  </si>
  <si>
    <t>Voeding 13</t>
  </si>
  <si>
    <t>Voeding 14</t>
  </si>
  <si>
    <t>Voeding 15</t>
  </si>
  <si>
    <t>15</t>
  </si>
  <si>
    <t>NaCl 0.9%</t>
  </si>
  <si>
    <t>Arterielijn: (&lt; 15 kg) flush 1E heparine/ml NaCl 0.9%: 2 ml/uur</t>
  </si>
  <si>
    <t>Arterielijn: (&gt; 15 kg) flush via drukzak NaCl 0.9%: 3 ml/uur</t>
  </si>
  <si>
    <t>CVL lijn lumen I: meting + (&lt; 15 kg) flush NaCl 0.9%: 2 ml/uur</t>
  </si>
  <si>
    <t>CVL lijn lumen I: meting + (&gt; 15 kg) flush via drukzak NaCl 0.9%: 3 ml/uur</t>
  </si>
  <si>
    <t>CVL lijn lumen II: meting + (&lt; 15 kg) flush NaCl 0.9%: 2 ml/uur</t>
  </si>
  <si>
    <t>CVL lijn lumen II: meting + (&gt; 15 kg) flush via drukzak NaCl 0.9%: 3 ml/uur</t>
  </si>
  <si>
    <t xml:space="preserve">Perifeer infuus 1: lock 4 dd 3 ml NaCl 0.9%  </t>
  </si>
  <si>
    <t>Perifeer infuus 2: lock 4 dd 3 ml NaCl 0.9%</t>
  </si>
  <si>
    <t>Diurese compenseren om de 1 uur met NaCl 0.9%</t>
  </si>
  <si>
    <t>Absoluut Maximum</t>
  </si>
  <si>
    <t>Advies Minimum</t>
  </si>
  <si>
    <t>Advies Maximum</t>
  </si>
  <si>
    <t>Infuusbrief keuzelijst infuusvloeistof (Opl)</t>
  </si>
  <si>
    <t>Infuusbrief keuzelijst dosering (Dos)</t>
  </si>
  <si>
    <t>Infuusbrief keuzelijst Voeding inclusief berekeningen obv basislijst voeding (tblVoeding)</t>
  </si>
  <si>
    <t>Infuusbrief keuzelijst Toevoeging KV inclusief berekeningen obv basislijst voeding (tblVoeding)</t>
  </si>
  <si>
    <t>Infuusbrief keuzelijst Toevoeging MM inclusief berekeningen obv basislijst voeding (tblVoeding)</t>
  </si>
  <si>
    <t>Infuusbrief samenstelling TPN inclusief berekeningen</t>
  </si>
  <si>
    <t>Infuusbrief Toevoeging BMF in MM inclusief berekeningen obv basislijst voeding (tblVoeding)</t>
  </si>
  <si>
    <t>Infuusbrief</t>
  </si>
  <si>
    <t>Advise Opl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</si>
  <si>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</si>
  <si>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</si>
  <si>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</si>
  <si>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</si>
  <si>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</si>
  <si>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</si>
  <si>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</si>
  <si>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</si>
  <si>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</si>
  <si>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</si>
  <si>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</si>
  <si>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</si>
  <si>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NeoInfuusContinu</t>
  </si>
  <si>
    <t>NeoVoeding</t>
  </si>
  <si>
    <t>Medicament 13</t>
  </si>
  <si>
    <t>Medicament 14</t>
  </si>
  <si>
    <t>Doxapram (Dopram)</t>
  </si>
  <si>
    <t>0,5-2 mg/kg/uur</t>
  </si>
  <si>
    <t>Voeding via gastrostoma</t>
  </si>
  <si>
    <t>Silastic: NaCl 0.9%: 2 ml/uur</t>
  </si>
  <si>
    <t>SMOF</t>
  </si>
  <si>
    <t>0,01-0,1 E/kg/uur (in NaCl 0,9%, met 0,1 ml Albumine 20%)</t>
  </si>
  <si>
    <t>Zondag</t>
  </si>
  <si>
    <t>Lijsten/Factor</t>
  </si>
  <si>
    <t xml:space="preserve">Zaterdag </t>
  </si>
  <si>
    <t>Maandag</t>
  </si>
  <si>
    <t>Selectie</t>
  </si>
  <si>
    <t>PICC</t>
  </si>
  <si>
    <t>Zaterdag 08:00 uur</t>
  </si>
  <si>
    <t>Maandag 08:00 uur</t>
  </si>
  <si>
    <t>Zondag 08:00 uur</t>
  </si>
  <si>
    <t>SMOF 20% (incl vitintra)</t>
  </si>
  <si>
    <t>Gewicht min(Kg)</t>
  </si>
  <si>
    <t>Gewicht max(Kg)</t>
  </si>
  <si>
    <t>Navelvenelijn</t>
  </si>
  <si>
    <t>Navelarterielijn</t>
  </si>
  <si>
    <t>0,5ml/uur = 10 nanog/kg/min</t>
  </si>
  <si>
    <t>0,5ml/uur = 5 mcg/kg/min</t>
  </si>
  <si>
    <t>0,5ml/uur = 0,05 mcg/kg/min</t>
  </si>
  <si>
    <t>Fenobarbital</t>
  </si>
  <si>
    <t>CalciumGluconaat</t>
  </si>
  <si>
    <t>Dose</t>
  </si>
  <si>
    <t>GPK</t>
  </si>
  <si>
    <t>Indicatie</t>
  </si>
  <si>
    <t>ATC</t>
  </si>
  <si>
    <t>SterkteEenheid</t>
  </si>
  <si>
    <t>Etiket</t>
  </si>
  <si>
    <t>DevMode</t>
  </si>
  <si>
    <t>Logging</t>
  </si>
  <si>
    <t>NeoDir</t>
  </si>
  <si>
    <t>PedDir</t>
  </si>
  <si>
    <t>Neo</t>
  </si>
  <si>
    <t>Pelikaan</t>
  </si>
  <si>
    <t>DevDir</t>
  </si>
  <si>
    <t>TestLogDir</t>
  </si>
  <si>
    <t>\logs\TestLog.txt</t>
  </si>
  <si>
    <t>LogDir</t>
  </si>
  <si>
    <t>\logs\LogText</t>
  </si>
  <si>
    <t>DataDir</t>
  </si>
  <si>
    <t>\..\ICAP Data\</t>
  </si>
  <si>
    <t>Setting</t>
  </si>
  <si>
    <t>Value</t>
  </si>
  <si>
    <t>DbDir</t>
  </si>
  <si>
    <t>\..\..\db</t>
  </si>
  <si>
    <t>Name</t>
  </si>
  <si>
    <t>ReplaceWith</t>
  </si>
  <si>
    <t>RefersTo</t>
  </si>
  <si>
    <t>__0_PatNum</t>
  </si>
  <si>
    <t>__1_Bed</t>
  </si>
  <si>
    <t>__2_AchterNaam</t>
  </si>
  <si>
    <t>__3_VoorNaam</t>
  </si>
  <si>
    <t>__4_GebDatum</t>
  </si>
  <si>
    <t>GlobTemp!_FilterDatabase</t>
  </si>
  <si>
    <t>PatData!_FilterDatabase</t>
  </si>
  <si>
    <t>_Ped_IVLijn_1</t>
  </si>
  <si>
    <t>_Ped_IVLijn_2</t>
  </si>
  <si>
    <t>_Ped_IVLijn_3</t>
  </si>
  <si>
    <t>_Ped_IVLijn_4</t>
  </si>
  <si>
    <t>_Ped_IVLijn_5</t>
  </si>
  <si>
    <t>_Ped_IVLijn_6</t>
  </si>
  <si>
    <t>_xlfn.IFERROR</t>
  </si>
  <si>
    <t>NeoGuiAcuut!Print_Area</t>
  </si>
  <si>
    <t>NeoPrtAfspr!Print_Area</t>
  </si>
  <si>
    <t>NeoPrtApoth!Print_Area</t>
  </si>
  <si>
    <t>NeoPrtMedDisc!Print_Area</t>
  </si>
  <si>
    <t>PedGuiAcuut!Print_Area</t>
  </si>
  <si>
    <t>PedPrtAfspr!Print_Area</t>
  </si>
  <si>
    <t>PedPrtMedDisc!Print_Area</t>
  </si>
  <si>
    <t>PedPrtTPN16tot30!Print_Area</t>
  </si>
  <si>
    <t>PedPrtTPN2tot6!Print_Area</t>
  </si>
  <si>
    <t>PedPrtTPN50!Print_Area</t>
  </si>
  <si>
    <t>PedPrtTPN7tot15!Print_Area</t>
  </si>
  <si>
    <t>PedTPN31tot50!Print_Area</t>
  </si>
  <si>
    <t>rngNeoAfsprBlns</t>
  </si>
  <si>
    <t>rngNeoAfsprData</t>
  </si>
  <si>
    <t>rngNeoLabData</t>
  </si>
  <si>
    <t>rngPedAfsprBlns</t>
  </si>
  <si>
    <t>rngPedAfsprData</t>
  </si>
  <si>
    <t>rngPedLabData</t>
  </si>
  <si>
    <t>SettingDataDir</t>
  </si>
  <si>
    <t>SettingDevDir</t>
  </si>
  <si>
    <t>SettingDevMode</t>
  </si>
  <si>
    <t>SettingLogDir</t>
  </si>
  <si>
    <t>SettingLogging</t>
  </si>
  <si>
    <t>SettingNeoDir</t>
  </si>
  <si>
    <t>SettingPedDir</t>
  </si>
  <si>
    <t>SettingTestLogDir</t>
  </si>
  <si>
    <t>tblBerMedContIV</t>
  </si>
  <si>
    <t>tblInfusenBer</t>
  </si>
  <si>
    <t>tblMedDiscTijdenValues</t>
  </si>
  <si>
    <t>tblMedicationContIV</t>
  </si>
  <si>
    <t>tblOmrekenCa</t>
  </si>
  <si>
    <t>tblOmrekenCl</t>
  </si>
  <si>
    <t>tblOmrekenFe</t>
  </si>
  <si>
    <t>tblOmrekenK</t>
  </si>
  <si>
    <t>tblOmrekenMg</t>
  </si>
  <si>
    <t>tblOmrekenNA</t>
  </si>
  <si>
    <t>tblOmrekenP</t>
  </si>
  <si>
    <t>tblOmrekenVitD</t>
  </si>
  <si>
    <t>tblOplossing</t>
  </si>
  <si>
    <t>tblOpzoekenMedicatieIV</t>
  </si>
  <si>
    <t>tblPacemakerModus</t>
  </si>
  <si>
    <t>tblPacemakerPositie</t>
  </si>
  <si>
    <t>tblPerOs</t>
  </si>
  <si>
    <t>tblPO_poederlijst</t>
  </si>
  <si>
    <t>tblPoeder</t>
  </si>
  <si>
    <t>tblSonde</t>
  </si>
  <si>
    <t>tblSSTGlucose</t>
  </si>
  <si>
    <t>tblTijden</t>
  </si>
  <si>
    <t>tblTPN</t>
  </si>
  <si>
    <t>tblVoedingBasislijst</t>
  </si>
  <si>
    <t>tblVoedingPO</t>
  </si>
  <si>
    <t>tblVoedingPoeder</t>
  </si>
  <si>
    <t>GlobTemp!Z_33CCADFA_0D48_46A6_8927_2B2144029216_.wvu.FilterData</t>
  </si>
  <si>
    <t>PatData!Z_33CCADFA_0D48_46A6_8927_2B2144029216_.wvu.FilterData</t>
  </si>
  <si>
    <t>NeoGuiAcuut!Z_33CCADFA_0D48_46A6_8927_2B2144029216_.wvu.PrintArea</t>
  </si>
  <si>
    <t>NeoPrtMedDisc!Z_33CCADFA_0D48_46A6_8927_2B2144029216_.wvu.PrintArea</t>
  </si>
  <si>
    <t>PedGuiAcuut!Z_33CCADFA_0D48_46A6_8927_2B2144029216_.wvu.PrintArea</t>
  </si>
  <si>
    <t>PedPrtAfspr!Z_33CCADFA_0D48_46A6_8927_2B2144029216_.wvu.PrintArea</t>
  </si>
  <si>
    <t>PedPrtMedDisc!Z_33CCADFA_0D48_46A6_8927_2B2144029216_.wvu.PrintArea</t>
  </si>
  <si>
    <t>PedPrtTPN16tot30!Z_33CCADFA_0D48_46A6_8927_2B2144029216_.wvu.PrintArea</t>
  </si>
  <si>
    <t>PedPrtTPN2tot6!Z_33CCADFA_0D48_46A6_8927_2B2144029216_.wvu.PrintArea</t>
  </si>
  <si>
    <t>PedPrtTPN50!Z_33CCADFA_0D48_46A6_8927_2B2144029216_.wvu.PrintArea</t>
  </si>
  <si>
    <t>PedPrtTPN7tot15!Z_33CCADFA_0D48_46A6_8927_2B2144029216_.wvu.PrintArea</t>
  </si>
  <si>
    <t>PedTPN31tot50!Z_33CCADFA_0D48_46A6_8927_2B2144029216_.wvu.PrintArea</t>
  </si>
  <si>
    <t>NeoBerAfspr!$D$27</t>
  </si>
  <si>
    <t>NeoBerAfspr!$B$57</t>
  </si>
  <si>
    <t>NeoBerAfspr!$B$60</t>
  </si>
  <si>
    <t>GlobTemp!$A$2:$B$437</t>
  </si>
  <si>
    <t>PedBerEnt!$J$2</t>
  </si>
  <si>
    <t>PedBerEnt!$J$3</t>
  </si>
  <si>
    <t>PedBerEnt!$J$4</t>
  </si>
  <si>
    <t>PedBerEnt!$J$5</t>
  </si>
  <si>
    <t>PedBerEnt!$N$2</t>
  </si>
  <si>
    <t>PedBerEnt!$N$3</t>
  </si>
  <si>
    <t>PedBerEnt!$N$4</t>
  </si>
  <si>
    <t>PedBerEnt!$N$5</t>
  </si>
  <si>
    <t>PedBerEnt!$O$2</t>
  </si>
  <si>
    <t>PedBerEnt!$H$2</t>
  </si>
  <si>
    <t>PedBerEnt!$H$3</t>
  </si>
  <si>
    <t>PedBerEnt!$H$4</t>
  </si>
  <si>
    <t>PedBerEnt!$H$5</t>
  </si>
  <si>
    <t>PedBerEnt!$H$6</t>
  </si>
  <si>
    <t>PedBerEnt!$H$7</t>
  </si>
  <si>
    <t>PedBerEnt!$H$8</t>
  </si>
  <si>
    <t>PedBerEnt!$H$9</t>
  </si>
  <si>
    <t>PedBerEnt!$H$10</t>
  </si>
  <si>
    <t>PedBerEnt!$H$11</t>
  </si>
  <si>
    <t>PedBerEnt!$H$12</t>
  </si>
  <si>
    <t>PedBerEnt!$H$13</t>
  </si>
  <si>
    <t>PedBerEnt!$K$2</t>
  </si>
  <si>
    <t>PedBerEnt!$K$3</t>
  </si>
  <si>
    <t>PedBerEnt!$K$4</t>
  </si>
  <si>
    <t>PedBerEnt!$K$5</t>
  </si>
  <si>
    <t>PedBerIVenPM!$B$2</t>
  </si>
  <si>
    <t>PedBerIVenPM!$B$3</t>
  </si>
  <si>
    <t>PedBerIVenPM!$B$4</t>
  </si>
  <si>
    <t>PedBerIVenPM!$B$5</t>
  </si>
  <si>
    <t>PedBerIVenPM!$B$6</t>
  </si>
  <si>
    <t>PedBerIVenPM!$B$7</t>
  </si>
  <si>
    <t>PedBerLab!$E$4</t>
  </si>
  <si>
    <t>PedBerLab!$E$5</t>
  </si>
  <si>
    <t>PedBerLab!$E$6</t>
  </si>
  <si>
    <t>PedBerLab!$E$7</t>
  </si>
  <si>
    <t>PedBerLab!$E$8</t>
  </si>
  <si>
    <t>PedBerLab!$E$9</t>
  </si>
  <si>
    <t>PedBerLab!$E$10</t>
  </si>
  <si>
    <t>PedBerLab!$E$11</t>
  </si>
  <si>
    <t>PedBerLab!$E$12</t>
  </si>
  <si>
    <t>PedBerLab!$E$13</t>
  </si>
  <si>
    <t>PedBerLab!$E$14</t>
  </si>
  <si>
    <t>PedBerLab!$E$15</t>
  </si>
  <si>
    <t>PedBerLab!$E$16</t>
  </si>
  <si>
    <t>PedBerLab!$E$17</t>
  </si>
  <si>
    <t>PedBerLab!$E$18</t>
  </si>
  <si>
    <t>PedBerLab!$E$19</t>
  </si>
  <si>
    <t>PedBerLab!$E$20</t>
  </si>
  <si>
    <t>PedBerLab!$E$21</t>
  </si>
  <si>
    <t>PedBerLab!$E$22</t>
  </si>
  <si>
    <t>PedBerLab!$E$23</t>
  </si>
  <si>
    <t>PedBerLab!$E$24</t>
  </si>
  <si>
    <t>PedBerLab!$E$25</t>
  </si>
  <si>
    <t>PedBerLab!$E$26</t>
  </si>
  <si>
    <t>PedBerLab!$E$27</t>
  </si>
  <si>
    <t>PedBerLab!$E$28</t>
  </si>
  <si>
    <t>PedBerLab!$E$29</t>
  </si>
  <si>
    <t>PedBerLab!$E$30</t>
  </si>
  <si>
    <t>PedBerLab!$E$31</t>
  </si>
  <si>
    <t>PedBerLab!$E$32</t>
  </si>
  <si>
    <t>PedBerLab!$E$33</t>
  </si>
  <si>
    <t>PedBerLab!$E$34</t>
  </si>
  <si>
    <t>PedBerLab!$G$4</t>
  </si>
  <si>
    <t>PedBerLab!$G$5</t>
  </si>
  <si>
    <t>PedBerLab!$G$6</t>
  </si>
  <si>
    <t>PedBerLab!$G$7</t>
  </si>
  <si>
    <t>PedBerLab!$G$8</t>
  </si>
  <si>
    <t>PedBerLab!$G$9</t>
  </si>
  <si>
    <t>PedBerLab!$G$10</t>
  </si>
  <si>
    <t>PedBerLab!$G$11</t>
  </si>
  <si>
    <t>PedBerLab!$G$12</t>
  </si>
  <si>
    <t>PedBerLab!$G$13</t>
  </si>
  <si>
    <t>PedBerLab!$G$14</t>
  </si>
  <si>
    <t>PedBerLab!$G$15</t>
  </si>
  <si>
    <t>PedBerLab!$G$16</t>
  </si>
  <si>
    <t>PedBerLab!$G$17</t>
  </si>
  <si>
    <t>PedBerLab!$G$18</t>
  </si>
  <si>
    <t>PedBerLab!$G$19</t>
  </si>
  <si>
    <t>PedBerLab!$G$20</t>
  </si>
  <si>
    <t>PedBerLab!$G$21</t>
  </si>
  <si>
    <t>PedBerLab!$G$22</t>
  </si>
  <si>
    <t>PedBerLab!$G$23</t>
  </si>
  <si>
    <t>PedBerLab!$G$24</t>
  </si>
  <si>
    <t>PedBerLab!$G$25</t>
  </si>
  <si>
    <t>PedBerLab!$G$26</t>
  </si>
  <si>
    <t>PedBerLab!$G$27</t>
  </si>
  <si>
    <t>PedBerLab!$G$28</t>
  </si>
  <si>
    <t>PedBerLab!$G$29</t>
  </si>
  <si>
    <t>PedBerLab!$G$30</t>
  </si>
  <si>
    <t>PedBerLab!$G$31</t>
  </si>
  <si>
    <t>PedBerLab!$G$32</t>
  </si>
  <si>
    <t>PedBerLab!$G$33</t>
  </si>
  <si>
    <t>PedBerLab!$G$34</t>
  </si>
  <si>
    <t>PedBerLab!$G$35</t>
  </si>
  <si>
    <t>PedBerLab!$I$4</t>
  </si>
  <si>
    <t>PedBerLab!$I$5</t>
  </si>
  <si>
    <t>PedBerLab!$I$6</t>
  </si>
  <si>
    <t>PedBerLab!$I$7</t>
  </si>
  <si>
    <t>PedBerLab!$I$8</t>
  </si>
  <si>
    <t>PedBerLab!$I$9</t>
  </si>
  <si>
    <t>PedBerLab!$I$10</t>
  </si>
  <si>
    <t>PedBerLab!$I$11</t>
  </si>
  <si>
    <t>PedBerLab!$I$12</t>
  </si>
  <si>
    <t>PedBerLab!$I$13</t>
  </si>
  <si>
    <t>PedBerLab!$I$14</t>
  </si>
  <si>
    <t>PedBerLab!$I$15</t>
  </si>
  <si>
    <t>PedBerLab!$I$16</t>
  </si>
  <si>
    <t>PedBerLab!$I$17</t>
  </si>
  <si>
    <t>PedBerLab!$I$18</t>
  </si>
  <si>
    <t>PedBerLab!$I$19</t>
  </si>
  <si>
    <t>PedBerLab!$I$20</t>
  </si>
  <si>
    <t>PedBerLab!$I$21</t>
  </si>
  <si>
    <t>PedBerLab!$I$22</t>
  </si>
  <si>
    <t>PedBerLab!$I$23</t>
  </si>
  <si>
    <t>PedBerLab!$I$24</t>
  </si>
  <si>
    <t>PedBerLab!$I$25</t>
  </si>
  <si>
    <t>PedBerLab!$I$26</t>
  </si>
  <si>
    <t>PedBerLab!$I$27</t>
  </si>
  <si>
    <t>PedBerLab!$I$28</t>
  </si>
  <si>
    <t>PedBerLab!$I$29</t>
  </si>
  <si>
    <t>PedBerLab!$I$30</t>
  </si>
  <si>
    <t>PedBerLab!$I$31</t>
  </si>
  <si>
    <t>PedBerLab!$I$32</t>
  </si>
  <si>
    <t>PedBerLab!$I$33</t>
  </si>
  <si>
    <t>PedBerLab!$I$34</t>
  </si>
  <si>
    <t>PedBerLab!$L$4</t>
  </si>
  <si>
    <t>PedBerLab!$L$5</t>
  </si>
  <si>
    <t>PedBerLab!$L$6</t>
  </si>
  <si>
    <t>PedBerLab!$L$7</t>
  </si>
  <si>
    <t>PedBerLab!$L$8</t>
  </si>
  <si>
    <t>PedBerLab!$L$9</t>
  </si>
  <si>
    <t>PedBerLab!$L$10</t>
  </si>
  <si>
    <t>PedBerLab!$L$11</t>
  </si>
  <si>
    <t>PedBerLab!$L$12</t>
  </si>
  <si>
    <t>PedBerLab!$L$13</t>
  </si>
  <si>
    <t>PedBerLab!$L$14</t>
  </si>
  <si>
    <t>PedBerLab!$L$15</t>
  </si>
  <si>
    <t>PedBerLab!$L$16</t>
  </si>
  <si>
    <t>PedBerLab!$L$17</t>
  </si>
  <si>
    <t>PedBerLab!$L$18</t>
  </si>
  <si>
    <t>PedBerLab!$L$19</t>
  </si>
  <si>
    <t>PedBerLab!$L$20</t>
  </si>
  <si>
    <t>PedBerLab!$L$21</t>
  </si>
  <si>
    <t>PedBerLab!$L$22</t>
  </si>
  <si>
    <t>PedBerLab!$L$23</t>
  </si>
  <si>
    <t>PedBerLab!$L$24</t>
  </si>
  <si>
    <t>PedBerLab!$L$25</t>
  </si>
  <si>
    <t>PedBerLab!$L$26</t>
  </si>
  <si>
    <t>PedBerLab!$L$27</t>
  </si>
  <si>
    <t>PedBerLab!$L$28</t>
  </si>
  <si>
    <t>PedBerLab!$L$29</t>
  </si>
  <si>
    <t>PedBerLab!$L$30</t>
  </si>
  <si>
    <t>PedBerLab!$L$31</t>
  </si>
  <si>
    <t>PedBerLab!$L$32</t>
  </si>
  <si>
    <t>PedBerLab!$L$33</t>
  </si>
  <si>
    <t>PedBerLab!$L$34</t>
  </si>
  <si>
    <t>PedBerLab!$C$4</t>
  </si>
  <si>
    <t>PedBerLab!$C$5</t>
  </si>
  <si>
    <t>PedBerLab!$C$6</t>
  </si>
  <si>
    <t>PedBerLab!$C$7</t>
  </si>
  <si>
    <t>PedBerLab!$C$8</t>
  </si>
  <si>
    <t>PedBerLab!$C$9</t>
  </si>
  <si>
    <t>PedBerLab!$C$10</t>
  </si>
  <si>
    <t>PedBerLab!$C$11</t>
  </si>
  <si>
    <t>PedBerLab!$C$12</t>
  </si>
  <si>
    <t>PedBerLab!$C$13</t>
  </si>
  <si>
    <t>PedBerLab!$C$14</t>
  </si>
  <si>
    <t>PedBerLab!$C$15</t>
  </si>
  <si>
    <t>PedBerLab!$C$16</t>
  </si>
  <si>
    <t>PedBerLab!$C$17</t>
  </si>
  <si>
    <t>PedBerLab!$C$18</t>
  </si>
  <si>
    <t>PedBerLab!$C$19</t>
  </si>
  <si>
    <t>PedBerLab!$C$20</t>
  </si>
  <si>
    <t>PedBerLab!$C$21</t>
  </si>
  <si>
    <t>PedBerLab!$C$22</t>
  </si>
  <si>
    <t>PedBerLab!$C$23</t>
  </si>
  <si>
    <t>PedBerLab!$C$24</t>
  </si>
  <si>
    <t>PedBerLab!$C$25</t>
  </si>
  <si>
    <t>PedBerLab!$C$26</t>
  </si>
  <si>
    <t>PedBerLab!$C$27</t>
  </si>
  <si>
    <t>PedBerLab!$C$28</t>
  </si>
  <si>
    <t>PedBerLab!$C$29</t>
  </si>
  <si>
    <t>PedBerLab!$C$30</t>
  </si>
  <si>
    <t>PedBerLab!$C$31</t>
  </si>
  <si>
    <t>PedBerLab!$C$32</t>
  </si>
  <si>
    <t>PedBerLab!$C$33</t>
  </si>
  <si>
    <t>PedBerLab!$C$34</t>
  </si>
  <si>
    <t>PedBerLab!$C$35</t>
  </si>
  <si>
    <t>PedBerMedIV!$B$3</t>
  </si>
  <si>
    <t>PedBerMedIV!$B$4</t>
  </si>
  <si>
    <t>PedBerMedIV!$B$5</t>
  </si>
  <si>
    <t>PedBerMedIV!$B$6</t>
  </si>
  <si>
    <t>PedBerMedIV!$B$7</t>
  </si>
  <si>
    <t>PedBerMedIV!$B$8</t>
  </si>
  <si>
    <t>PedBerMedIV!$B$9</t>
  </si>
  <si>
    <t>PedBerMedIV!$B$10</t>
  </si>
  <si>
    <t>PedBerMedIV!$B$11</t>
  </si>
  <si>
    <t>PedBerMedIV!$B$12</t>
  </si>
  <si>
    <t>PedBerMedIV!$B$13</t>
  </si>
  <si>
    <t>PedBerMedIV!$B$14</t>
  </si>
  <si>
    <t>PedBerMedIV!$B$15</t>
  </si>
  <si>
    <t>PedBerMedIV!$B$16</t>
  </si>
  <si>
    <t>PedBerMedIV!$B$17</t>
  </si>
  <si>
    <t>PedBerMedIV!$I$3</t>
  </si>
  <si>
    <t>PedBerMedIV!$I$4</t>
  </si>
  <si>
    <t>PedBerMedIV!$I$5</t>
  </si>
  <si>
    <t>PedBerMedIV!$I$6</t>
  </si>
  <si>
    <t>PedBerMedIV!$I$7</t>
  </si>
  <si>
    <t>PedBerMedIV!$I$8</t>
  </si>
  <si>
    <t>PedBerMedIV!$I$9</t>
  </si>
  <si>
    <t>PedBerMedIV!$I$10</t>
  </si>
  <si>
    <t>PedBerMedIV!$I$11</t>
  </si>
  <si>
    <t>PedBerMedIV!$I$12</t>
  </si>
  <si>
    <t>PedBerMedIV!$I$13</t>
  </si>
  <si>
    <t>PedBerMedIV!$I$14</t>
  </si>
  <si>
    <t>PedBerMedIV!$I$15</t>
  </si>
  <si>
    <t>PedBerMedIV!$I$16</t>
  </si>
  <si>
    <t>PedBerMedIV!$I$17</t>
  </si>
  <si>
    <t>PedBerMedIV!$E$3</t>
  </si>
  <si>
    <t>PedBerMedIV!$E$4</t>
  </si>
  <si>
    <t>PedBerMedIV!$E$5</t>
  </si>
  <si>
    <t>PedBerMedIV!$E$6</t>
  </si>
  <si>
    <t>PedBerMedIV!$E$7</t>
  </si>
  <si>
    <t>PedBerMedIV!$E$8</t>
  </si>
  <si>
    <t>PedBerMedIV!$E$9</t>
  </si>
  <si>
    <t>PedBerMedIV!$E$10</t>
  </si>
  <si>
    <t>PedBerMedIV!$E$11</t>
  </si>
  <si>
    <t>PedBerMedIV!$E$12</t>
  </si>
  <si>
    <t>PedBerMedIV!$E$13</t>
  </si>
  <si>
    <t>PedBerMedIV!$E$14</t>
  </si>
  <si>
    <t>PedBerMedIV!$E$15</t>
  </si>
  <si>
    <t>PedBerMedIV!$E$16</t>
  </si>
  <si>
    <t>PedBerMedIV!$E$17</t>
  </si>
  <si>
    <t>PedBerMedIV!$J$3</t>
  </si>
  <si>
    <t>PedBerMedIV!$J$4</t>
  </si>
  <si>
    <t>PedBerMedIV!$J$5</t>
  </si>
  <si>
    <t>PedBerMedIV!$J$6</t>
  </si>
  <si>
    <t>PedBerMedIV!$J$7</t>
  </si>
  <si>
    <t>PedBerMedIV!$J$8</t>
  </si>
  <si>
    <t>PedBerMedIV!$J$9</t>
  </si>
  <si>
    <t>PedBerMedIV!$J$10</t>
  </si>
  <si>
    <t>PedBerMedIV!$J$11</t>
  </si>
  <si>
    <t>PedBerMedIV!$J$12</t>
  </si>
  <si>
    <t>PedBerMedIV!$J$13</t>
  </si>
  <si>
    <t>PedBerMedIV!$J$14</t>
  </si>
  <si>
    <t>PedBerMedIV!$J$15</t>
  </si>
  <si>
    <t>PedBerMedIV!$J$16</t>
  </si>
  <si>
    <t>PedBerMedIV!$J$17</t>
  </si>
  <si>
    <t>PedBerMedIV!$D$3</t>
  </si>
  <si>
    <t>PedBerMedIV!$D$4</t>
  </si>
  <si>
    <t>PedBerMedIV!$D$5</t>
  </si>
  <si>
    <t>PedBerMedIV!$D$6</t>
  </si>
  <si>
    <t>PedBerMedIV!$D$7</t>
  </si>
  <si>
    <t>PedBerMedIV!$D$8</t>
  </si>
  <si>
    <t>PedBerMedIV!$D$9</t>
  </si>
  <si>
    <t>PedBerMedIV!$D$10</t>
  </si>
  <si>
    <t>PedBerMedIV!$D$11</t>
  </si>
  <si>
    <t>PedBerMedIV!$D$12</t>
  </si>
  <si>
    <t>PedBerMedIV!$D$13</t>
  </si>
  <si>
    <t>PedBerMedIV!$D$14</t>
  </si>
  <si>
    <t>PedBerMedIV!$D$15</t>
  </si>
  <si>
    <t>PedBerMedIV!$D$16</t>
  </si>
  <si>
    <t>PedBerMedIV!$D$17</t>
  </si>
  <si>
    <t>NeoTblLijst!$AB$3:$AB$5</t>
  </si>
  <si>
    <t>NeoTblLijst!$M$51:$Y$52</t>
  </si>
  <si>
    <t>NeoTblLijst!$L$44:$Y$48</t>
  </si>
  <si>
    <t>NeoTblLijst!$L$33:$Y$39</t>
  </si>
  <si>
    <t>NeoTblLijst!$AC$3:$AC$13</t>
  </si>
  <si>
    <t>NeoBerAfspr!$G$31</t>
  </si>
  <si>
    <t>NeoBerAfspr!$B$22</t>
  </si>
  <si>
    <t>NeoBerAfspr!$D$11</t>
  </si>
  <si>
    <t>NeoBerAfspr!$D$12</t>
  </si>
  <si>
    <t>NeoBerAfspr!$D$13</t>
  </si>
  <si>
    <t>NeoBerAfspr!$D$14</t>
  </si>
  <si>
    <t>NeoBerAfspr!$F$7</t>
  </si>
  <si>
    <t>NeoBerAfspr!$J$7</t>
  </si>
  <si>
    <t>NeoBerAfspr!$B$23</t>
  </si>
  <si>
    <t>NeoBerAfspr!$B$24</t>
  </si>
  <si>
    <t>NeoBerAfspr!$B$25</t>
  </si>
  <si>
    <t>NeoBerAfspr!$B$26</t>
  </si>
  <si>
    <t>NeoBerAfspr!$H$8</t>
  </si>
  <si>
    <t>NeoBerAfspr!$F$8</t>
  </si>
  <si>
    <t>NeoBerAfspr!$H$9</t>
  </si>
  <si>
    <t>NeoBerAfspr!$H$10</t>
  </si>
  <si>
    <t>NeoBerAfspr!$H$11</t>
  </si>
  <si>
    <t>NeoBerAfspr!$B$7</t>
  </si>
  <si>
    <t>NeoBerAfspr!$J$29</t>
  </si>
  <si>
    <t>NeoBerAfspr!$J$8</t>
  </si>
  <si>
    <t>NeoBerAfspr!$J$9</t>
  </si>
  <si>
    <t>NeoBerAfspr!$B$8</t>
  </si>
  <si>
    <t>NeoBerAfspr!$J$10</t>
  </si>
  <si>
    <t>NeoBerAfspr!$J$11</t>
  </si>
  <si>
    <t>NeoBerAfspr!$F$12</t>
  </si>
  <si>
    <t>NeoBerAfspr!$B$9</t>
  </si>
  <si>
    <t>NeoBerAfspr!$B$46</t>
  </si>
  <si>
    <t>NeoBerAfspr!$J$12</t>
  </si>
  <si>
    <t>NeoBerAfspr!$B$10</t>
  </si>
  <si>
    <t>NeoBerAfspr!$B$27</t>
  </si>
  <si>
    <t>NeoBerAfspr!$F$13</t>
  </si>
  <si>
    <t>NeoBerAfspr!$H$13</t>
  </si>
  <si>
    <t>NeoBerAfspr!$B$11</t>
  </si>
  <si>
    <t>NeoBerAfspr!$B$15</t>
  </si>
  <si>
    <t>NeoBerAfspr!$B$28</t>
  </si>
  <si>
    <t>NeoBerAfspr!$B$29</t>
  </si>
  <si>
    <t>NeoBerAfspr!$B$30</t>
  </si>
  <si>
    <t>NeoBerAfspr!$J$15</t>
  </si>
  <si>
    <t>NeoBerAfspr!$J$13</t>
  </si>
  <si>
    <t>NeoBerAfspr!$J$14</t>
  </si>
  <si>
    <t>NeoBerAfspr!$F$14</t>
  </si>
  <si>
    <t>NeoBerAfspr!$H$16</t>
  </si>
  <si>
    <t>NeoBerAfspr!$F$15</t>
  </si>
  <si>
    <t>NeoBerAfspr!$H$15</t>
  </si>
  <si>
    <t>NeoBerAfspr!$J$16</t>
  </si>
  <si>
    <t>NeoBerAfspr!$B$43</t>
  </si>
  <si>
    <t>NeoBerAfspr!$D$43</t>
  </si>
  <si>
    <t>NeoBerAfspr!$B$44</t>
  </si>
  <si>
    <t>NeoBerAfspr!$D$44</t>
  </si>
  <si>
    <t>NeoBerAfspr!$B$45</t>
  </si>
  <si>
    <t>NeoBerAfspr!$D$45</t>
  </si>
  <si>
    <t>NeoBerAfspr!$J$17</t>
  </si>
  <si>
    <t>NeoBerAfspr!$J$18</t>
  </si>
  <si>
    <t>NeoBerAfspr!$F$17</t>
  </si>
  <si>
    <t>NeoBerAfspr!$B$16</t>
  </si>
  <si>
    <t>NeoBerAfspr!$B$17</t>
  </si>
  <si>
    <t>NeoBerAfspr!$B$18</t>
  </si>
  <si>
    <t>NeoBerAfspr!$H$18</t>
  </si>
  <si>
    <t>NeoBerAfspr!$F$18</t>
  </si>
  <si>
    <t>NeoBerAfspr!$H$19</t>
  </si>
  <si>
    <t>NeoBerAfspr!$H$20</t>
  </si>
  <si>
    <t>NeoBerAfspr!$B$34</t>
  </si>
  <si>
    <t>NeoBerAfspr!$B$37</t>
  </si>
  <si>
    <t>NeoBerAfspr!$B$40</t>
  </si>
  <si>
    <t>NeoBerAfspr!$F$21</t>
  </si>
  <si>
    <t>NeoBerAfspr!$F$23</t>
  </si>
  <si>
    <t>NeoBerAfspr!$H$27</t>
  </si>
  <si>
    <t>NeoBerAfspr!$H$28</t>
  </si>
  <si>
    <t>NeoBerAfspr!$F$22</t>
  </si>
  <si>
    <t>NeoBerAfspr!$H$22</t>
  </si>
  <si>
    <t>NeoBerAfspr!$H$29</t>
  </si>
  <si>
    <t>NeoBerAfspr!$H$23</t>
  </si>
  <si>
    <t>NeoBerAfspr!$H$30</t>
  </si>
  <si>
    <t>NeoBerAfspr!$H$24</t>
  </si>
  <si>
    <t>NeoBerAfspr!$H$25</t>
  </si>
  <si>
    <t>NeoBerAfspr!$H$26</t>
  </si>
  <si>
    <t>NeoBerAfspr!$J$19</t>
  </si>
  <si>
    <t>NeoBerAfspr!$J$20</t>
  </si>
  <si>
    <t>NeoBerAfspr!$L$23</t>
  </si>
  <si>
    <t>NeoBerAfspr!$L$22</t>
  </si>
  <si>
    <t>NeoBerAfspr!$L$21</t>
  </si>
  <si>
    <t>NeoBerAfspr!$J$24</t>
  </si>
  <si>
    <t>NeoBerAfspr!$L$24</t>
  </si>
  <si>
    <t>NeoBerAfspr!$L$25</t>
  </si>
  <si>
    <t>NeoBerAfspr!$L$26</t>
  </si>
  <si>
    <t>NeoBerAfspr!$L$27</t>
  </si>
  <si>
    <t>NeoBerAfspr!$B$19</t>
  </si>
  <si>
    <t>NeoBerAfspr!$B$31</t>
  </si>
  <si>
    <t>NeoBerAfspr!$B$32</t>
  </si>
  <si>
    <t>NeoBerAfspr!$K$29</t>
  </si>
  <si>
    <t>NeoBerAfspr!$D$22</t>
  </si>
  <si>
    <t>NeoBerAfspr!$C$8</t>
  </si>
  <si>
    <t>NeoBerAfspr!$D$8</t>
  </si>
  <si>
    <t>NeoBerAfspr!$C$9</t>
  </si>
  <si>
    <t>NeoBerAfspr!$D$9</t>
  </si>
  <si>
    <t>NeoBerAfspr!$D$47</t>
  </si>
  <si>
    <t>NeoBerAfspr!$D$46</t>
  </si>
  <si>
    <t>NeoBerAfspr!$B$12</t>
  </si>
  <si>
    <t>NeoBerAfspr!$K$17</t>
  </si>
  <si>
    <t>NeoBerAfspr!$L$17</t>
  </si>
  <si>
    <t>NeoBerAfspr!$C$18</t>
  </si>
  <si>
    <t>NeoBerAfspr!$D$18</t>
  </si>
  <si>
    <t>NeoBerAfspr!$D$36</t>
  </si>
  <si>
    <t>NeoBerAfspr!$D$34</t>
  </si>
  <si>
    <t>NeoBerAfspr!$D$35</t>
  </si>
  <si>
    <t>NeoBerAfspr!$D$39</t>
  </si>
  <si>
    <t>NeoBerAfspr!$D$37</t>
  </si>
  <si>
    <t>NeoBerAfspr!$D$38</t>
  </si>
  <si>
    <t>NeoBerAfspr!$D$42</t>
  </si>
  <si>
    <t>NeoBerAfspr!$D$40</t>
  </si>
  <si>
    <t>NeoBerAfspr!$D$41</t>
  </si>
  <si>
    <t>NeoBerAfspr!$K$20</t>
  </si>
  <si>
    <t>PatDetails!$B$2</t>
  </si>
  <si>
    <t>NeoBerAfspr!$B$56</t>
  </si>
  <si>
    <t>NeoBerAfspr!$B$58</t>
  </si>
  <si>
    <t>NeoBerAfspr!$B$59</t>
  </si>
  <si>
    <t>PedBerTPN!$C$9</t>
  </si>
  <si>
    <t>PedBerTPN!$E$9</t>
  </si>
  <si>
    <t>NeoTblLijst!$J$3:$K$11</t>
  </si>
  <si>
    <t>NeoTblLijst!$K$3:$K$8</t>
  </si>
  <si>
    <t>PedBerTPN!$C$8</t>
  </si>
  <si>
    <t>PedBerTPN!$C$22</t>
  </si>
  <si>
    <t>PedBerTPN!$E$8</t>
  </si>
  <si>
    <t>PedBerTPN!$E$22</t>
  </si>
  <si>
    <t>PedBerTPN!$C$11</t>
  </si>
  <si>
    <t>PedBerTPN!$E$11</t>
  </si>
  <si>
    <t>NeoBerLab!$M$4</t>
  </si>
  <si>
    <t>NeoBerLab!$M$13</t>
  </si>
  <si>
    <t>NeoBerLab!$M$14</t>
  </si>
  <si>
    <t>NeoBerLab!$M$15</t>
  </si>
  <si>
    <t>NeoBerLab!$M$16</t>
  </si>
  <si>
    <t>NeoBerLab!$M$17</t>
  </si>
  <si>
    <t>NeoBerLab!$M$18</t>
  </si>
  <si>
    <t>NeoBerLab!$M$19</t>
  </si>
  <si>
    <t>NeoBerLab!$M$20</t>
  </si>
  <si>
    <t>NeoBerLab!$M$21</t>
  </si>
  <si>
    <t>NeoBerLab!$M$22</t>
  </si>
  <si>
    <t>NeoBerLab!$M$5</t>
  </si>
  <si>
    <t>NeoBerLab!$M$23</t>
  </si>
  <si>
    <t>NeoBerLab!$M$24</t>
  </si>
  <si>
    <t>NeoBerLab!$M$25</t>
  </si>
  <si>
    <t>NeoBerLab!$M$26</t>
  </si>
  <si>
    <t>NeoBerLab!$M$27</t>
  </si>
  <si>
    <t>NeoBerLab!$M$28</t>
  </si>
  <si>
    <t>NeoBerLab!$M$29</t>
  </si>
  <si>
    <t>NeoBerLab!$M$30</t>
  </si>
  <si>
    <t>NeoBerLab!$M$31</t>
  </si>
  <si>
    <t>NeoBerLab!$M$32</t>
  </si>
  <si>
    <t>NeoBerLab!$M$6</t>
  </si>
  <si>
    <t>NeoBerLab!$M$33</t>
  </si>
  <si>
    <t>NeoBerLab!$M$34</t>
  </si>
  <si>
    <t>NeoBerLab!$M$7</t>
  </si>
  <si>
    <t>NeoBerLab!$M$8</t>
  </si>
  <si>
    <t>NeoBerLab!$M$9</t>
  </si>
  <si>
    <t>NeoBerLab!$M$10</t>
  </si>
  <si>
    <t>NeoBerLab!$M$11</t>
  </si>
  <si>
    <t>NeoBerLab!$M$12</t>
  </si>
  <si>
    <t>NeoBerLab!$E$4</t>
  </si>
  <si>
    <t>NeoBerLab!$E$13</t>
  </si>
  <si>
    <t>NeoBerLab!$E$14</t>
  </si>
  <si>
    <t>NeoBerLab!$E$15</t>
  </si>
  <si>
    <t>NeoBerLab!$E$16</t>
  </si>
  <si>
    <t>NeoBerLab!$E$17</t>
  </si>
  <si>
    <t>NeoBerLab!$E$18</t>
  </si>
  <si>
    <t>NeoBerLab!$E$19</t>
  </si>
  <si>
    <t>NeoBerLab!$E$20</t>
  </si>
  <si>
    <t>NeoBerLab!$E$21</t>
  </si>
  <si>
    <t>NeoBerLab!$E$22</t>
  </si>
  <si>
    <t>NeoBerLab!$E$5</t>
  </si>
  <si>
    <t>NeoBerLab!$E$23</t>
  </si>
  <si>
    <t>NeoBerLab!$E$24</t>
  </si>
  <si>
    <t>NeoBerLab!$E$25</t>
  </si>
  <si>
    <t>NeoBerLab!$E$26</t>
  </si>
  <si>
    <t>NeoBerLab!$E$27</t>
  </si>
  <si>
    <t>NeoBerLab!$E$28</t>
  </si>
  <si>
    <t>NeoBerLab!$E$29</t>
  </si>
  <si>
    <t>NeoBerLab!$E$30</t>
  </si>
  <si>
    <t>NeoBerLab!$E$31</t>
  </si>
  <si>
    <t>NeoBerLab!$E$32</t>
  </si>
  <si>
    <t>NeoBerLab!$E$6</t>
  </si>
  <si>
    <t>NeoBerLab!$E$33</t>
  </si>
  <si>
    <t>NeoBerLab!$E$34</t>
  </si>
  <si>
    <t>NeoBerLab!$E$7</t>
  </si>
  <si>
    <t>NeoBerLab!$E$8</t>
  </si>
  <si>
    <t>NeoBerLab!$E$9</t>
  </si>
  <si>
    <t>NeoBerLab!$E$10</t>
  </si>
  <si>
    <t>NeoBerLab!$E$11</t>
  </si>
  <si>
    <t>NeoBerLab!$E$12</t>
  </si>
  <si>
    <t>NeoBerLab!$G$4</t>
  </si>
  <si>
    <t>NeoBerLab!$G$13</t>
  </si>
  <si>
    <t>NeoBerLab!$G$14</t>
  </si>
  <si>
    <t>NeoBerLab!$G$15</t>
  </si>
  <si>
    <t>NeoBerLab!$G$16</t>
  </si>
  <si>
    <t>NeoBerLab!$G$17</t>
  </si>
  <si>
    <t>NeoBerLab!$G$18</t>
  </si>
  <si>
    <t>NeoBerLab!$G$19</t>
  </si>
  <si>
    <t>NeoBerLab!$G$20</t>
  </si>
  <si>
    <t>NeoBerLab!$G$21</t>
  </si>
  <si>
    <t>NeoBerLab!$G$22</t>
  </si>
  <si>
    <t>NeoBerLab!$G$5</t>
  </si>
  <si>
    <t>NeoBerLab!$G$23</t>
  </si>
  <si>
    <t>NeoBerLab!$G$24</t>
  </si>
  <si>
    <t>NeoBerLab!$G$25</t>
  </si>
  <si>
    <t>NeoBerLab!$G$26</t>
  </si>
  <si>
    <t>NeoBerLab!$G$27</t>
  </si>
  <si>
    <t>NeoBerLab!$G$28</t>
  </si>
  <si>
    <t>NeoBerLab!$G$29</t>
  </si>
  <si>
    <t>NeoBerLab!$G$30</t>
  </si>
  <si>
    <t>NeoBerLab!$G$31</t>
  </si>
  <si>
    <t>NeoBerLab!$G$32</t>
  </si>
  <si>
    <t>NeoBerLab!$G$6</t>
  </si>
  <si>
    <t>NeoBerLab!$G$33</t>
  </si>
  <si>
    <t>NeoBerLab!$G$34</t>
  </si>
  <si>
    <t>NeoBerLab!$G$7</t>
  </si>
  <si>
    <t>NeoBerLab!$G$8</t>
  </si>
  <si>
    <t>NeoBerLab!$G$9</t>
  </si>
  <si>
    <t>NeoBerLab!$G$10</t>
  </si>
  <si>
    <t>NeoBerLab!$G$11</t>
  </si>
  <si>
    <t>NeoBerLab!$G$12</t>
  </si>
  <si>
    <t>NeoBerLab!$I$4</t>
  </si>
  <si>
    <t>NeoBerLab!$I$13</t>
  </si>
  <si>
    <t>NeoBerLab!$I$14</t>
  </si>
  <si>
    <t>NeoBerLab!$I$15</t>
  </si>
  <si>
    <t>NeoBerLab!$I$16</t>
  </si>
  <si>
    <t>NeoBerLab!$I$17</t>
  </si>
  <si>
    <t>NeoBerLab!$I$18</t>
  </si>
  <si>
    <t>NeoBerLab!$I$19</t>
  </si>
  <si>
    <t>NeoBerLab!$I$20</t>
  </si>
  <si>
    <t>NeoBerLab!$I$21</t>
  </si>
  <si>
    <t>NeoBerLab!$I$22</t>
  </si>
  <si>
    <t>NeoBerLab!$I$5</t>
  </si>
  <si>
    <t>NeoBerLab!$I$23</t>
  </si>
  <si>
    <t>NeoBerLab!$I$24</t>
  </si>
  <si>
    <t>NeoBerLab!$I$25</t>
  </si>
  <si>
    <t>NeoBerLab!$I$26</t>
  </si>
  <si>
    <t>NeoBerLab!$I$27</t>
  </si>
  <si>
    <t>NeoBerLab!$I$28</t>
  </si>
  <si>
    <t>NeoBerLab!$I$29</t>
  </si>
  <si>
    <t>NeoBerLab!$I$30</t>
  </si>
  <si>
    <t>NeoBerLab!$I$31</t>
  </si>
  <si>
    <t>NeoBerLab!$I$32</t>
  </si>
  <si>
    <t>NeoBerLab!$I$6</t>
  </si>
  <si>
    <t>NeoBerLab!$I$33</t>
  </si>
  <si>
    <t>NeoBerLab!$I$34</t>
  </si>
  <si>
    <t>NeoBerLab!$I$7</t>
  </si>
  <si>
    <t>NeoBerLab!$I$8</t>
  </si>
  <si>
    <t>NeoBerLab!$I$9</t>
  </si>
  <si>
    <t>NeoBerLab!$I$10</t>
  </si>
  <si>
    <t>NeoBerLab!$I$11</t>
  </si>
  <si>
    <t>NeoBerLab!$I$12</t>
  </si>
  <si>
    <t>NeoBerLab!$K$4</t>
  </si>
  <si>
    <t>NeoBerLab!$K$13</t>
  </si>
  <si>
    <t>NeoBerLab!$K$14</t>
  </si>
  <si>
    <t>NeoBerLab!$K$15</t>
  </si>
  <si>
    <t>NeoBerLab!$K$16</t>
  </si>
  <si>
    <t>NeoBerLab!$K$17</t>
  </si>
  <si>
    <t>NeoBerLab!$K$18</t>
  </si>
  <si>
    <t>NeoBerLab!$K$19</t>
  </si>
  <si>
    <t>NeoBerLab!$K$20</t>
  </si>
  <si>
    <t>NeoBerLab!$K$21</t>
  </si>
  <si>
    <t>NeoBerLab!$K$22</t>
  </si>
  <si>
    <t>NeoBerLab!$K$5</t>
  </si>
  <si>
    <t>NeoBerLab!$K$23</t>
  </si>
  <si>
    <t>NeoBerLab!$K$24</t>
  </si>
  <si>
    <t>NeoBerLab!$K$25</t>
  </si>
  <si>
    <t>NeoBerLab!$K$26</t>
  </si>
  <si>
    <t>NeoBerLab!$K$27</t>
  </si>
  <si>
    <t>NeoBerLab!$K$28</t>
  </si>
  <si>
    <t>NeoBerLab!$K$29</t>
  </si>
  <si>
    <t>NeoBerLab!$K$30</t>
  </si>
  <si>
    <t>NeoBerLab!$K$31</t>
  </si>
  <si>
    <t>NeoBerLab!$K$32</t>
  </si>
  <si>
    <t>NeoBerLab!$K$6</t>
  </si>
  <si>
    <t>NeoBerLab!$K$33</t>
  </si>
  <si>
    <t>NeoBerLab!$K$34</t>
  </si>
  <si>
    <t>NeoBerLab!$K$7</t>
  </si>
  <si>
    <t>NeoBerLab!$K$8</t>
  </si>
  <si>
    <t>NeoBerLab!$K$9</t>
  </si>
  <si>
    <t>NeoBerLab!$K$10</t>
  </si>
  <si>
    <t>NeoBerLab!$K$11</t>
  </si>
  <si>
    <t>NeoBerLab!$K$12</t>
  </si>
  <si>
    <t>NeoBerLab!$O$4</t>
  </si>
  <si>
    <t>NeoBerLab!$O$13</t>
  </si>
  <si>
    <t>NeoBerLab!$O$14</t>
  </si>
  <si>
    <t>NeoBerLab!$O$15</t>
  </si>
  <si>
    <t>NeoBerLab!$O$16</t>
  </si>
  <si>
    <t>NeoBerLab!$O$17</t>
  </si>
  <si>
    <t>NeoBerLab!$O$18</t>
  </si>
  <si>
    <t>NeoBerLab!$O$19</t>
  </si>
  <si>
    <t>NeoBerLab!$O$20</t>
  </si>
  <si>
    <t>NeoBerLab!$O$21</t>
  </si>
  <si>
    <t>NeoBerLab!$O$22</t>
  </si>
  <si>
    <t>NeoBerLab!$O$5</t>
  </si>
  <si>
    <t>NeoBerLab!$O$23</t>
  </si>
  <si>
    <t>NeoBerLab!$O$24</t>
  </si>
  <si>
    <t>NeoBerLab!$O$25</t>
  </si>
  <si>
    <t>NeoBerLab!$O$26</t>
  </si>
  <si>
    <t>NeoBerLab!$O$27</t>
  </si>
  <si>
    <t>NeoBerLab!$O$28</t>
  </si>
  <si>
    <t>NeoBerLab!$O$29</t>
  </si>
  <si>
    <t>NeoBerLab!$O$30</t>
  </si>
  <si>
    <t>NeoBerLab!$O$31</t>
  </si>
  <si>
    <t>NeoBerLab!$O$32</t>
  </si>
  <si>
    <t>NeoBerLab!$O$6</t>
  </si>
  <si>
    <t>NeoBerLab!$O$33</t>
  </si>
  <si>
    <t>NeoBerLab!$O$34</t>
  </si>
  <si>
    <t>NeoBerLab!$O$7</t>
  </si>
  <si>
    <t>NeoBerLab!$O$8</t>
  </si>
  <si>
    <t>NeoBerLab!$O$9</t>
  </si>
  <si>
    <t>NeoBerLab!$O$10</t>
  </si>
  <si>
    <t>NeoBerLab!$O$11</t>
  </si>
  <si>
    <t>NeoBerLab!$O$12</t>
  </si>
  <si>
    <t>NeoBerLab!$Q$4</t>
  </si>
  <si>
    <t>NeoBerLab!$Q$13</t>
  </si>
  <si>
    <t>NeoBerLab!$Q$14</t>
  </si>
  <si>
    <t>NeoBerLab!$Q$15</t>
  </si>
  <si>
    <t>NeoBerLab!$Q$16</t>
  </si>
  <si>
    <t>NeoBerLab!$Q$17</t>
  </si>
  <si>
    <t>NeoBerLab!$Q$18</t>
  </si>
  <si>
    <t>NeoBerLab!$Q$19</t>
  </si>
  <si>
    <t>NeoBerLab!$Q$20</t>
  </si>
  <si>
    <t>NeoBerLab!$Q$21</t>
  </si>
  <si>
    <t>NeoBerLab!$Q$22</t>
  </si>
  <si>
    <t>NeoBerLab!$Q$5</t>
  </si>
  <si>
    <t>NeoBerLab!$Q$23</t>
  </si>
  <si>
    <t>NeoBerLab!$Q$24</t>
  </si>
  <si>
    <t>NeoBerLab!$Q$25</t>
  </si>
  <si>
    <t>NeoBerLab!$Q$26</t>
  </si>
  <si>
    <t>NeoBerLab!$Q$27</t>
  </si>
  <si>
    <t>NeoBerLab!$Q$28</t>
  </si>
  <si>
    <t>NeoBerLab!$Q$29</t>
  </si>
  <si>
    <t>NeoBerLab!$Q$30</t>
  </si>
  <si>
    <t>NeoBerLab!$Q$31</t>
  </si>
  <si>
    <t>NeoBerLab!$Q$32</t>
  </si>
  <si>
    <t>NeoBerLab!$Q$6</t>
  </si>
  <si>
    <t>NeoBerLab!$Q$33</t>
  </si>
  <si>
    <t>NeoBerLab!$Q$34</t>
  </si>
  <si>
    <t>NeoBerLab!$Q$7</t>
  </si>
  <si>
    <t>NeoBerLab!$Q$8</t>
  </si>
  <si>
    <t>NeoBerLab!$Q$9</t>
  </si>
  <si>
    <t>NeoBerLab!$Q$10</t>
  </si>
  <si>
    <t>NeoBerLab!$Q$11</t>
  </si>
  <si>
    <t>NeoBerLab!$Q$12</t>
  </si>
  <si>
    <t>NeoBerLab!$S$4</t>
  </si>
  <si>
    <t>NeoBerLab!$S$13</t>
  </si>
  <si>
    <t>NeoBerLab!$S$14</t>
  </si>
  <si>
    <t>NeoBerLab!$S$15</t>
  </si>
  <si>
    <t>NeoBerLab!$S$16</t>
  </si>
  <si>
    <t>NeoBerLab!$S$17</t>
  </si>
  <si>
    <t>NeoBerLab!$S$18</t>
  </si>
  <si>
    <t>NeoBerLab!$S$19</t>
  </si>
  <si>
    <t>NeoBerLab!$S$20</t>
  </si>
  <si>
    <t>NeoBerLab!$S$21</t>
  </si>
  <si>
    <t>NeoBerLab!$S$22</t>
  </si>
  <si>
    <t>NeoBerLab!$S$5</t>
  </si>
  <si>
    <t>NeoBerLab!$S$23</t>
  </si>
  <si>
    <t>NeoBerLab!$S$24</t>
  </si>
  <si>
    <t>NeoBerLab!$S$25</t>
  </si>
  <si>
    <t>NeoBerLab!$S$26</t>
  </si>
  <si>
    <t>NeoBerLab!$S$27</t>
  </si>
  <si>
    <t>NeoBerLab!$S$28</t>
  </si>
  <si>
    <t>NeoBerLab!$S$29</t>
  </si>
  <si>
    <t>NeoBerLab!$S$30</t>
  </si>
  <si>
    <t>NeoBerLab!$S$31</t>
  </si>
  <si>
    <t>NeoBerLab!$S$32</t>
  </si>
  <si>
    <t>NeoBerLab!$S$6</t>
  </si>
  <si>
    <t>NeoBerLab!$S$33</t>
  </si>
  <si>
    <t>NeoBerLab!$S$34</t>
  </si>
  <si>
    <t>NeoBerLab!$S$7</t>
  </si>
  <si>
    <t>NeoBerLab!$S$8</t>
  </si>
  <si>
    <t>NeoBerLab!$S$9</t>
  </si>
  <si>
    <t>NeoBerLab!$S$10</t>
  </si>
  <si>
    <t>NeoBerLab!$S$11</t>
  </si>
  <si>
    <t>NeoBerLab!$S$12</t>
  </si>
  <si>
    <t>NeoBerLab!$D$38</t>
  </si>
  <si>
    <t>NeoBerLab!$C$4</t>
  </si>
  <si>
    <t>NeoBerLab!$C$13</t>
  </si>
  <si>
    <t>NeoBerLab!$C$14</t>
  </si>
  <si>
    <t>NeoBerLab!$C$15</t>
  </si>
  <si>
    <t>NeoBerLab!$C$16</t>
  </si>
  <si>
    <t>NeoBerLab!$C$17</t>
  </si>
  <si>
    <t>NeoBerLab!$C$18</t>
  </si>
  <si>
    <t>NeoBerLab!$C$19</t>
  </si>
  <si>
    <t>NeoBerLab!$C$20</t>
  </si>
  <si>
    <t>NeoBerLab!$C$21</t>
  </si>
  <si>
    <t>NeoBerLab!$C$22</t>
  </si>
  <si>
    <t>NeoBerLab!$C$5</t>
  </si>
  <si>
    <t>NeoBerLab!$C$23</t>
  </si>
  <si>
    <t>NeoBerLab!$C$24</t>
  </si>
  <si>
    <t>NeoBerLab!$C$25</t>
  </si>
  <si>
    <t>NeoBerLab!$C$26</t>
  </si>
  <si>
    <t>NeoBerLab!$C$27</t>
  </si>
  <si>
    <t>NeoBerLab!$C$28</t>
  </si>
  <si>
    <t>NeoBerLab!$C$29</t>
  </si>
  <si>
    <t>NeoBerLab!$C$30</t>
  </si>
  <si>
    <t>NeoBerLab!$C$31</t>
  </si>
  <si>
    <t>NeoBerLab!$C$32</t>
  </si>
  <si>
    <t>NeoBerLab!$C$6</t>
  </si>
  <si>
    <t>NeoBerLab!$C$33</t>
  </si>
  <si>
    <t>NeoBerLab!$C$34</t>
  </si>
  <si>
    <t>NeoBerLab!$C$35</t>
  </si>
  <si>
    <t>NeoBerLab!$C$7</t>
  </si>
  <si>
    <t>NeoBerLab!$C$8</t>
  </si>
  <si>
    <t>NeoBerLab!$C$9</t>
  </si>
  <si>
    <t>NeoBerLab!$C$10</t>
  </si>
  <si>
    <t>NeoBerLab!$C$11</t>
  </si>
  <si>
    <t>NeoBerLab!$C$12</t>
  </si>
  <si>
    <t>NeoTblLijst!$M$44:$Y$48</t>
  </si>
  <si>
    <t>NeoTblLijst!$M$33:$Y$39</t>
  </si>
  <si>
    <t>NeoTblLijst!$M$3:$Z$19</t>
  </si>
  <si>
    <t>NeoTblLijst!$M$43:$Y$48</t>
  </si>
  <si>
    <t>NeoTblLijst!$M$32:$Y$39</t>
  </si>
  <si>
    <t>NeoTblLijst!$M$2:$Z$19</t>
  </si>
  <si>
    <t>NeoTblLijst!$AE$3:$AE$4</t>
  </si>
  <si>
    <t>NeoTblLijst!$L$44:$L$48</t>
  </si>
  <si>
    <t>NeoTblLijst!$L$33:$L$39</t>
  </si>
  <si>
    <t>PedBerTPN!$D$12</t>
  </si>
  <si>
    <t>NeoTblMedIV!$B$2:$K$26</t>
  </si>
  <si>
    <t>PedBerTPN!$C$10</t>
  </si>
  <si>
    <t>PedBerTPN!$E$10</t>
  </si>
  <si>
    <t>PedBerTPN!$C$7</t>
  </si>
  <si>
    <t>PedBerTPN!$C$21</t>
  </si>
  <si>
    <t>PedBerTPN!$E$7</t>
  </si>
  <si>
    <t>PedBerTPN!$E$21</t>
  </si>
  <si>
    <t>NeoTblLijst!$A$3:$H$18</t>
  </si>
  <si>
    <t>PedBerTPN!$E$5</t>
  </si>
  <si>
    <t>NeoTblLijst!$M$3:$Y$19</t>
  </si>
  <si>
    <t>NeoGuiAcuut!$B$2:$G$31</t>
  </si>
  <si>
    <t>NeoPrtAfspr!$A$1:$Q$68</t>
  </si>
  <si>
    <t>NeoPrtApoth!$A$1:$Q$63</t>
  </si>
  <si>
    <t>NeoPrtMedDisc!$B$1:$AG$22</t>
  </si>
  <si>
    <t>PedGuiAcuut!$B$2:$G$44</t>
  </si>
  <si>
    <t>PedPrtAfspr!$A$2:$J$127</t>
  </si>
  <si>
    <t>PedPrtMedDisc!$B$1:$AG$22</t>
  </si>
  <si>
    <t>PedPrtTPN16tot30!$A$1:$H$48</t>
  </si>
  <si>
    <t>PedPrtTPN2tot6!$A$1:$H$48</t>
  </si>
  <si>
    <t>PedPrtTPN50!$A$1:$H$52</t>
  </si>
  <si>
    <t>PedPrtTPN7tot15!$A$1:$H$50</t>
  </si>
  <si>
    <t>PedTPN31tot50!$A$1:$H$49</t>
  </si>
  <si>
    <t>NeoBerAfspr!$B$7:$B$11,NeoBerAfspr!$D$11:$D$14,NeoBerAfspr!$B$15:$B$19,NeoBerAfspr!$B$22:$B$32,NeoBerAfspr!$B$34,NeoBerAfspr!$B$37,NeoBerAfspr!$B$40,NeoBerAfspr!$B$43:$B$46,NeoBerAfspr!$D$43:$D$45,NeoBerAfspr!$F$7:$F$8,NeoBerAfspr!$F$12:$F$15,NeoBerAfspr!$F$17:$F$18,NeoBerAfspr!$F$21:$F$23,NeoBerAfspr!$F$31,NeoBerAfspr!$H$8:$H$11,NeoBerAfspr!$H$13,NeoBerAfspr!$H$15:$H$16,NeoBerAfspr!$H$18:$H$20,NeoBerAfspr!$H$22:$H$30,NeoBerAfspr!$J$7:$J$20,NeoBerAfspr!$J$24,NeoBerAfspr!$L$21:$L$27,NeoBerAfspr!$L$28,NeoBerAfspr!$J$29</t>
  </si>
  <si>
    <t>NeoBerAfspr!$B$12,NeoBerAfspr!$D$22,NeoBerAfspr!$D$34:$D$42,NeoBerAfspr!$D$46:$D$47,NeoBerAfspr!$K$17,NeoBerAfspr!$L$17,NeoBerAfspr!$L$20,NeoBerAfspr!$G$31,NeoBerAfspr!$D$27,NeoBerAfspr!$C$8,NeoBerAfspr!$D$8,NeoBerAfspr!$D$9,NeoBerAfspr!$C$9,NeoBerAfspr!$K$29,NeoBerAfspr!$C$18,NeoBerAfspr!$D$18,NeoBerAfspr!$K$20</t>
  </si>
  <si>
    <t>NeoBerLab!$C$4:$C$35,NeoBerLab!$E$4:$E$34,NeoBerLab!$G$4:$G$34,NeoBerLab!$I$4:$I$34,NeoBerLab!$K$4:$K$34,NeoBerLab!$M$4:$M$34,NeoBerLab!$O$4:$O$34,NeoBerLab!$Q$4:$Q$34,NeoBerLab!$S$4:$S$34,NeoBerLab!$D$38</t>
  </si>
  <si>
    <t>PedBerLab!$C$4:$C$35,PedBerLab!$E$4:$E$34,PedBerLab!$G$4:$G$34,PedBerLab!$I$4:$I$34,PedBerLab!$L$4:$L$34,PedBerLab!$N$4:$N$34,PedBerLab!$P$4:$P$34</t>
  </si>
  <si>
    <t>GlobSettings!$B$9</t>
  </si>
  <si>
    <t>GlobSettings!$B$6</t>
  </si>
  <si>
    <t>GlobSettings!$B$2</t>
  </si>
  <si>
    <t>GlobSettings!$B$8</t>
  </si>
  <si>
    <t>GlobSettings!$B$3</t>
  </si>
  <si>
    <t>GlobSettings!$B$4</t>
  </si>
  <si>
    <t>GlobSettings!$B$5</t>
  </si>
  <si>
    <t>GlobSettings!$B$7</t>
  </si>
  <si>
    <t>PedBerTPN!$C$16</t>
  </si>
  <si>
    <t>PedBerTPN!$C$15</t>
  </si>
  <si>
    <t>PedBerTPN!$E$15</t>
  </si>
  <si>
    <t>PedBerTPN!$D$19</t>
  </si>
  <si>
    <t>PedBerTPN!$B$6</t>
  </si>
  <si>
    <t>PedBerTPN!$B$20</t>
  </si>
  <si>
    <t>PedBerTPN!$D$3</t>
  </si>
  <si>
    <t>NeoGuiAcuut!$L$22:$N$24</t>
  </si>
  <si>
    <t>PedTblIV!$A$2:$A$34</t>
  </si>
  <si>
    <t>PedTblIV!$A$2:$C$34</t>
  </si>
  <si>
    <t>PedTblMedDisc!$E$2:$E$7</t>
  </si>
  <si>
    <t>PedTblMedDisc!$B$2:$B$5</t>
  </si>
  <si>
    <t>PedTblMedDisc!$C$2:$D$14</t>
  </si>
  <si>
    <t>PedTblMedDisc!$C$2:$C$14</t>
  </si>
  <si>
    <t>PedTblMedDisc!$D$2:$D$14</t>
  </si>
  <si>
    <t>PedTblMedDisc!$A$2:$A$13</t>
  </si>
  <si>
    <t>PedTblMedIV!$B$3:$W$34</t>
  </si>
  <si>
    <t>NeoTblVoed!$E$4</t>
  </si>
  <si>
    <t>NeoTblVoed!$J$4</t>
  </si>
  <si>
    <t>NeoTblVoed!$H$4</t>
  </si>
  <si>
    <t>NeoTblVoed!$D$4</t>
  </si>
  <si>
    <t>NeoTblVoed!$G$4</t>
  </si>
  <si>
    <t>NeoTblVoed!$C$4</t>
  </si>
  <si>
    <t>NeoTblVoed!$F$4</t>
  </si>
  <si>
    <t>NeoTblVoed!$I$4</t>
  </si>
  <si>
    <t>PedTblMedIV!$A$3:$B$34</t>
  </si>
  <si>
    <t>PedTblIV!$F$2:$F$5</t>
  </si>
  <si>
    <t>PedTblIV!$E$2:$E$5</t>
  </si>
  <si>
    <t>PedTblVoed!$C$3:$O$27</t>
  </si>
  <si>
    <t>PedTblVoed!$C$31:$C$54</t>
  </si>
  <si>
    <t>PedTblVoed!$C$31:$O$54</t>
  </si>
  <si>
    <t>PedTblVoed!$Q$2:$Q$6</t>
  </si>
  <si>
    <t>PedBerTPN!$K$27:$K$40</t>
  </si>
  <si>
    <t>PedBerTPN!$A$27:$I$28</t>
  </si>
  <si>
    <t>NeoTblVoed!$B$8:$N$44</t>
  </si>
  <si>
    <t>PedTblVoed!$C$3:$C$27</t>
  </si>
  <si>
    <t>NeoTblVoed!$B$49:$N$75</t>
  </si>
  <si>
    <t>PedBerTPN!$B$4</t>
  </si>
  <si>
    <t>PedBerTPN!$A$29:$I$29</t>
  </si>
  <si>
    <t>PedBerTPN!$A$30:$I$30</t>
  </si>
  <si>
    <t>PedBerTPN!$A$31:$I$31</t>
  </si>
  <si>
    <t>PedBerTPN!$A$32:$I$32</t>
  </si>
  <si>
    <t>NeoTblLijst!$M$25:$V$26</t>
  </si>
  <si>
    <t>PedBerTPN!$A$33:$I$33</t>
  </si>
  <si>
    <t>PedBerTPN!$A$28:$I$28</t>
  </si>
  <si>
    <t>PedBerTPN!$E$4</t>
  </si>
  <si>
    <t>PedBerTPN!$C$14</t>
  </si>
  <si>
    <t>PedBerTPN!$E$14</t>
  </si>
  <si>
    <t>_Neo_AfsprMRI</t>
  </si>
  <si>
    <t>GlobNames!_FilterDatabase</t>
  </si>
  <si>
    <t>tbl_Ped_aEEG</t>
  </si>
  <si>
    <t>tbl_Ped_NIBD</t>
  </si>
  <si>
    <t>tbl_Ped_LiquorDrain</t>
  </si>
  <si>
    <t>_Ped_AfsprOverig</t>
  </si>
  <si>
    <t>tbl_Ped_Periode</t>
  </si>
  <si>
    <t>tbl_Ped_DrainZuig</t>
  </si>
  <si>
    <t>tbl_Ped_DrainLokatie</t>
  </si>
  <si>
    <t>tbl_Ped_DrainModus</t>
  </si>
  <si>
    <t>tbl_Ped_VertrekTijden</t>
  </si>
  <si>
    <t>tbl_Ped_Lijnen</t>
  </si>
  <si>
    <t>_Neo_AfsprB_WondkweekTekst</t>
  </si>
  <si>
    <t>_Neo_AfsprB_aEEG</t>
  </si>
  <si>
    <t>_Neo_AfsprB_ArmLinks</t>
  </si>
  <si>
    <t>_Neo_AfsprB_ArmRechts</t>
  </si>
  <si>
    <t>_Neo_AfsprB_BeenLinks</t>
  </si>
  <si>
    <t>_Neo_AfsprB_BeenRechts</t>
  </si>
  <si>
    <t>_Neo_AfsprB_Bloedkweek</t>
  </si>
  <si>
    <t>_Neo_AfsprB_CatheterDemeure</t>
  </si>
  <si>
    <t>_Neo_AfsprB_CT</t>
  </si>
  <si>
    <t>_Neo_AfsprB_ECG</t>
  </si>
  <si>
    <t>_Neo_AfsprB_EchoBuik</t>
  </si>
  <si>
    <t>_Neo_AfsprB_EchoHart</t>
  </si>
  <si>
    <t>_Neo_AfsprB_FaecesBacterieel</t>
  </si>
  <si>
    <t>_Neo_AfsprB_Faeceskweek</t>
  </si>
  <si>
    <t>_Neo_AfsprB_FaecesRotaAdeno</t>
  </si>
  <si>
    <t>_Neo_AfsprB_FaecesSchimmelGist</t>
  </si>
  <si>
    <t>_Neo_AfsprB_FaecesViraal</t>
  </si>
  <si>
    <t>_Neo_AfsprB_Finnigan</t>
  </si>
  <si>
    <t>_Neo_AfsprB_Fototherapie</t>
  </si>
  <si>
    <t>_Neo_AfsprB_FototherapieStop</t>
  </si>
  <si>
    <t>_Neo_AfsprB_Gatrostoma</t>
  </si>
  <si>
    <t>_Neo_AfsprB_Gewicht</t>
  </si>
  <si>
    <t>_Neo_AfsprB_InfuusOpSlot</t>
  </si>
  <si>
    <t>_Neo_AfsprB_InfuusUit</t>
  </si>
  <si>
    <t>_Neo_AfsprB_Keelkweek</t>
  </si>
  <si>
    <t>_Neo_AfsprB_Lengte</t>
  </si>
  <si>
    <t>_Neo_AfsprB_Liquor</t>
  </si>
  <si>
    <t>_Neo_AfsprB_MaagsondeOpenHoog</t>
  </si>
  <si>
    <t>_Neo_AfsprB_Monitor</t>
  </si>
  <si>
    <t>_Neo_AfsprB_MRI</t>
  </si>
  <si>
    <t>_Neo_AfsprB_Neusspoelsel</t>
  </si>
  <si>
    <t>_Neo_AfsprB_NeusspoelselViraal</t>
  </si>
  <si>
    <t>_Neo_AfsprB_NIBD</t>
  </si>
  <si>
    <t>_Neo_AfsprB_NIBDAll</t>
  </si>
  <si>
    <t>_Neo_AfsprB_NIRS1</t>
  </si>
  <si>
    <t>_Neo_AfsprB_NIRS2</t>
  </si>
  <si>
    <t>_Neo_AfsprB_NIRSnier</t>
  </si>
  <si>
    <t>_Neo_AfsprB_OntslagAkkoord</t>
  </si>
  <si>
    <t>_Neo_AfsprB_OntslagInOverleg</t>
  </si>
  <si>
    <t>_Neo_AfsprB_OntslagNaVisite</t>
  </si>
  <si>
    <t>_Neo_AfsprB_Opnamekweken</t>
  </si>
  <si>
    <t>_Neo_AfsprB_OppervlakteGistSchimmel</t>
  </si>
  <si>
    <t>_Neo_AfsprB_Oppervlaktekweken</t>
  </si>
  <si>
    <t>_Neo_AfsprB_OppervlakteOpname</t>
  </si>
  <si>
    <t>_Neo_AfsprB_Pacemakerdraden</t>
  </si>
  <si>
    <t>_Neo_AfsprB_Peritoneaal</t>
  </si>
  <si>
    <t>_Neo_AfsprB_PeritoneaalVacuum</t>
  </si>
  <si>
    <t>_Neo_AfsprB_Pigtail</t>
  </si>
  <si>
    <t>_Neo_AfsprB_PigtailVacuum</t>
  </si>
  <si>
    <t>_Neo_AfsprB_Redon</t>
  </si>
  <si>
    <t>_Neo_AfsprB_RedonVacuum</t>
  </si>
  <si>
    <t>_Neo_AfsprB_Rickham</t>
  </si>
  <si>
    <t>_Neo_AfsprB_RS</t>
  </si>
  <si>
    <t>_Neo_AfsprB_RSdiagnostiek</t>
  </si>
  <si>
    <t>_Neo_AfsprB_SaturatiePost</t>
  </si>
  <si>
    <t>_Neo_AfsprB_SaturatiePre</t>
  </si>
  <si>
    <t>_Neo_AfsprB_Schedel</t>
  </si>
  <si>
    <t>_Neo_AfsprB_SputumBacterieel</t>
  </si>
  <si>
    <t>_Neo_AfsprB_Sputumkweek</t>
  </si>
  <si>
    <t>_Neo_AfsprB_SputumUreaplasmaMycoplasma</t>
  </si>
  <si>
    <t>_Neo_AfsprB_SputumViraal</t>
  </si>
  <si>
    <t>_Neo_AfsprB_Thorax1</t>
  </si>
  <si>
    <t>_Neo_AfsprB_Thorax2</t>
  </si>
  <si>
    <t>_Neo_AfsprB_Thorax3</t>
  </si>
  <si>
    <t>_Neo_AfsprB_Uitzuigkweek</t>
  </si>
  <si>
    <t>_Neo_AfsprB_Urine</t>
  </si>
  <si>
    <t>_Neo_AfsprB_Urine24uur</t>
  </si>
  <si>
    <t>_Neo_AfsprB_UrineCMV</t>
  </si>
  <si>
    <t>_Neo_AfsprB_Urinekweek</t>
  </si>
  <si>
    <t>_Neo_AfsprB_UrinekweekBacterieel</t>
  </si>
  <si>
    <t>_Neo_AfsprB_UrineMetabool</t>
  </si>
  <si>
    <t>_Neo_AfsprB_UrineNatriumKalium</t>
  </si>
  <si>
    <t>_Neo_AfsprB_UrineRchitis</t>
  </si>
  <si>
    <t>_Neo_AfsprB_UrineSediment</t>
  </si>
  <si>
    <t>_Neo_AfsprB_UrineSedimentKweek</t>
  </si>
  <si>
    <t>_Neo_AfsprB_UrineSedimentMaWoVr</t>
  </si>
  <si>
    <t>_Neo_AfsprB_Urostoma</t>
  </si>
  <si>
    <t>_Neo_AfsprB_Verliezen</t>
  </si>
  <si>
    <t>_Neo_AfsprB_VerliezenFFP</t>
  </si>
  <si>
    <t>_Neo_AfsprB_VerliezenNaCl</t>
  </si>
  <si>
    <t>_Neo_AfsprB_VerliezenRingerslactaat</t>
  </si>
  <si>
    <t>_Neo_AfsprB_Verwijderen</t>
  </si>
  <si>
    <t>_Neo_AfsprB_VerwijderenCAD</t>
  </si>
  <si>
    <t>_Neo_AfsprB_VerwijderenNVL</t>
  </si>
  <si>
    <t>_Neo_AfsprB_VerwijderenPAL</t>
  </si>
  <si>
    <t>_Neo_AfsprB_VerwijderenSilastic</t>
  </si>
  <si>
    <t>_Neo_AfsprB_Vochtbalans</t>
  </si>
  <si>
    <t>_Neo_AfsprB_XBOZ</t>
  </si>
  <si>
    <t>_Neo_AfsprB_XThorax</t>
  </si>
  <si>
    <t>_Neo_AfsprD_AantalLampen</t>
  </si>
  <si>
    <t>_Neo_AfsprD_aEEG</t>
  </si>
  <si>
    <t>_Neo_AfsprD_GewichtFrequentie</t>
  </si>
  <si>
    <t>_Neo_AfsprD_GewichtPer</t>
  </si>
  <si>
    <t>_Neo_AfsprD_LengteFrequentie</t>
  </si>
  <si>
    <t>_Neo_AfsprD_LengtePer</t>
  </si>
  <si>
    <t>_Neo_AfsprD_LiquorHoogte</t>
  </si>
  <si>
    <t>_Neo_AfsprD_LiquorSub</t>
  </si>
  <si>
    <t>_Neo_AfsprD_NIBDdd</t>
  </si>
  <si>
    <t>_Neo_AfsprD_Rickhamdd</t>
  </si>
  <si>
    <t>_Neo_AfsprD_Rickhamml</t>
  </si>
  <si>
    <t>_Neo_AfsprD_SchedelFrequentie</t>
  </si>
  <si>
    <t>_Neo_AfsprD_SchedelPer</t>
  </si>
  <si>
    <t>_Neo_AfsprD_Thorax1Sub1</t>
  </si>
  <si>
    <t>_Neo_AfsprD_Thorax1Sub2</t>
  </si>
  <si>
    <t>_Neo_AfsprD_Thorax1Sub3</t>
  </si>
  <si>
    <t>_Neo_AfsprD_Thorax2Sub1</t>
  </si>
  <si>
    <t>_Neo_AfsprD_Thorax2Sub2</t>
  </si>
  <si>
    <t>_Neo_AfsprD_Thorax2Sub3</t>
  </si>
  <si>
    <t>_Neo_AfsprD_Thorax3Sub1</t>
  </si>
  <si>
    <t>_Neo_AfsprD_Thorax3Sub2</t>
  </si>
  <si>
    <t>_Neo_AfsprD_Thorax3Sub3</t>
  </si>
  <si>
    <t>_Neo_AfsprD_VerliezenFrequentie</t>
  </si>
  <si>
    <t>_Neo_AfsprD_Vertrek</t>
  </si>
  <si>
    <t>_Neo_AfsprD_Wondkweek</t>
  </si>
  <si>
    <t>_Ped_AfsprB_ArmLinks</t>
  </si>
  <si>
    <t>_Ped_AfsprB_ArmRechts</t>
  </si>
  <si>
    <t>_Ped_AfsprB_BeenLinks</t>
  </si>
  <si>
    <t>_Ped_AfsprB_BeenRechts</t>
  </si>
  <si>
    <t>_Ped_AfsprB_Buik</t>
  </si>
  <si>
    <t>_Ped_AfsprB_Catheter</t>
  </si>
  <si>
    <t>_Ped_AfsprB_CFM</t>
  </si>
  <si>
    <t>_Ped_AfsprB_Duodenumsonde</t>
  </si>
  <si>
    <t>_Ped_AfsprB_ECG</t>
  </si>
  <si>
    <t>_Ped_AfsprB_Gastrostoma</t>
  </si>
  <si>
    <t>_Ped_AfsprB_GCS</t>
  </si>
  <si>
    <t>_Ped_AfsprB_Gewicht</t>
  </si>
  <si>
    <t>_Ped_AfsprB_HardeKraag</t>
  </si>
  <si>
    <t>_Ped_AfsprB_Headblocks</t>
  </si>
  <si>
    <t>_Ped_AfsprB_ICP</t>
  </si>
  <si>
    <t>_Ped_AfsprB_Lengte</t>
  </si>
  <si>
    <t>_Ped_AfsprB_Liquor</t>
  </si>
  <si>
    <t>_Ped_AfsprB_Maagretentie</t>
  </si>
  <si>
    <t>_Ped_AfsprB_Maagsonde</t>
  </si>
  <si>
    <t>_Ped_AfsprB_NIBD</t>
  </si>
  <si>
    <t>_Ped_AfsprB_NIBDAlle</t>
  </si>
  <si>
    <t>_Ped_AfsprB_NIRS1</t>
  </si>
  <si>
    <t>_Ped_AfsprB_NIRS2</t>
  </si>
  <si>
    <t>_Ped_AfsprB_PEG</t>
  </si>
  <si>
    <t>_Ped_AfsprB_Peritoneaal</t>
  </si>
  <si>
    <t>_Ped_AfsprB_PeritoneaalVacuum</t>
  </si>
  <si>
    <t>_Ped_AfsprB_Pigtail</t>
  </si>
  <si>
    <t>_Ped_AfsprB_PigtailVacuum</t>
  </si>
  <si>
    <t>_Ped_AfsprB_Pupil</t>
  </si>
  <si>
    <t>_Ped_AfsprB_Redon</t>
  </si>
  <si>
    <t>_Ped_AfsprB_RedonVacuum</t>
  </si>
  <si>
    <t>_Ped_AfsprB_SaturatiePost</t>
  </si>
  <si>
    <t>_Ped_AfsprB_SaturatiePre</t>
  </si>
  <si>
    <t>_Ped_AfsprB_Schedel</t>
  </si>
  <si>
    <t>_Ped_AfsprB_Sedatie</t>
  </si>
  <si>
    <t>_Ped_AfsprB_Thorax1</t>
  </si>
  <si>
    <t>_Ped_AfsprB_Thorax2</t>
  </si>
  <si>
    <t>_Ped_AfsprB_Thorax3</t>
  </si>
  <si>
    <t>_Ped_AfsprB_TOSCA</t>
  </si>
  <si>
    <t>_Ped_AfsprB_Urostoma</t>
  </si>
  <si>
    <t>_Ped_AfsprB_Verliezen</t>
  </si>
  <si>
    <t>_Ped_AfsprB_ZachteKraag</t>
  </si>
  <si>
    <t>_Ped_AfsprD_GCSdd</t>
  </si>
  <si>
    <t>_Ped_AfsprD_GewichtFrequentie</t>
  </si>
  <si>
    <t>_Ped_AfsprD_GewichtPer</t>
  </si>
  <si>
    <t>_Ped_AfsprD_LengteFrequentie</t>
  </si>
  <si>
    <t>_Ped_AfsprD_LengtePer</t>
  </si>
  <si>
    <t>_Ped_AfsprD_LiquorHoogte</t>
  </si>
  <si>
    <t>_Ped_AfsprD_LiquorSub</t>
  </si>
  <si>
    <t>_Ped_AfsprD_MaagretentieUur</t>
  </si>
  <si>
    <t>_Ped_AfsprD_NIBDdd</t>
  </si>
  <si>
    <t>_Ped_AfsprD_Overig</t>
  </si>
  <si>
    <t>_Ped_AfsprD_SchedelFrequentie</t>
  </si>
  <si>
    <t>_Ped_AfsprD_SchedelPer</t>
  </si>
  <si>
    <t>_Ped_AfsprD_Thorax1Sub1</t>
  </si>
  <si>
    <t>_Ped_AfsprD_Thorax1Sub2</t>
  </si>
  <si>
    <t>_Ped_AfsprD_Thorax1Sub3</t>
  </si>
  <si>
    <t>_Ped_AfsprD_Thorax2Sub1</t>
  </si>
  <si>
    <t>_Ped_AfsprD_Thorax2Sub2</t>
  </si>
  <si>
    <t>_Ped_AfsprD_Thorax2Sub3</t>
  </si>
  <si>
    <t>_Ped_AfsprD_Thorax3Sub1</t>
  </si>
  <si>
    <t>_Ped_AfsprD_Thorax3Sub2</t>
  </si>
  <si>
    <t>_Ped_AfsprD_Thorax3Sub3</t>
  </si>
  <si>
    <t>_Ped_AfsprD_VerliezenStof</t>
  </si>
  <si>
    <t>_Ped_AfsprD_VerliezenUur</t>
  </si>
  <si>
    <t>tbl_Neo_NutrKunstToev</t>
  </si>
  <si>
    <t>tbl_Neo_NutrMMToev</t>
  </si>
  <si>
    <t>tbl_Neo_NutrBMFToev</t>
  </si>
  <si>
    <t>tbl_Neo_NutrBMFWaard</t>
  </si>
  <si>
    <t>tbl_Neo_NutrToevWaard</t>
  </si>
  <si>
    <t>IsFormula</t>
  </si>
  <si>
    <t>Var_Neo_AfsprOnderzoek</t>
  </si>
  <si>
    <t>Var_Neo_AfsprOverig</t>
  </si>
  <si>
    <t>Var_Neo_Dag</t>
  </si>
  <si>
    <t>Var_Glob_Versie</t>
  </si>
  <si>
    <t>tbl_Glob_Patient</t>
  </si>
  <si>
    <t>tbl_Neo_Dose</t>
  </si>
  <si>
    <t>tbl_Neo_FaktorLijst</t>
  </si>
  <si>
    <t>tbl_Neo_Opl</t>
  </si>
  <si>
    <t>tbl_Ped_PMInstelling</t>
  </si>
  <si>
    <t>tbl_Ped_PMStandaard</t>
  </si>
  <si>
    <t>tbl_Neo_Pos</t>
  </si>
  <si>
    <t>tbl_Neo_Tube</t>
  </si>
  <si>
    <t>Var_Ped_TotVocht</t>
  </si>
  <si>
    <t>Var_Neo_Percentage_0</t>
  </si>
  <si>
    <t>Var_Neo_Percentage_1</t>
  </si>
  <si>
    <t>Var_Neo_Percentage_2</t>
  </si>
  <si>
    <t>Var_Neo_Percentage_3</t>
  </si>
  <si>
    <t>Var_Neo_Percentage_4</t>
  </si>
  <si>
    <t>Var_Neo_Percentage_5</t>
  </si>
  <si>
    <t>Var_Neo_Percentage_6</t>
  </si>
  <si>
    <t>Var_Neo_Percentage_7</t>
  </si>
  <si>
    <t>Var_Neo_Percentage_8</t>
  </si>
  <si>
    <t>Var_Neo_AfsprControles</t>
  </si>
  <si>
    <t>Var_Neo_AfsprInstellingen</t>
  </si>
  <si>
    <t>Var_Neo_AfsprKweken</t>
  </si>
  <si>
    <t>Var_Ped_AfsprControles</t>
  </si>
  <si>
    <t>Var_Ped_AfsprInstellingen</t>
  </si>
  <si>
    <t>Var_Ped_AfsprOnderzoeken</t>
  </si>
  <si>
    <t>Var_Ped_AfsprOverig</t>
  </si>
  <si>
    <t>tbl_Neo_LijstToevoegingenKV</t>
  </si>
  <si>
    <t>tbl_Neo_LijstToevoegingenMM</t>
  </si>
  <si>
    <t>tbl_Neo_LijstVoeding</t>
  </si>
  <si>
    <t>tbl_Neo_OpzoektabelKV</t>
  </si>
  <si>
    <t>tbl_Neo_OpzoektabelMM</t>
  </si>
  <si>
    <t>tbl_Neo_OpzoektabelVoeding</t>
  </si>
  <si>
    <t>tbl_Neo_IntralipidSmof</t>
  </si>
  <si>
    <t>tbl_Neo_ToevoegingenKVPrint</t>
  </si>
  <si>
    <t>tbl_Neo_ToevoegingenMMPrint</t>
  </si>
  <si>
    <t>tbl_Ped_tpnB</t>
  </si>
  <si>
    <t>tbl_Ped_tpnC</t>
  </si>
  <si>
    <t>tbl_Ped_tpnD</t>
  </si>
  <si>
    <t>tbl_Ped_tpnE</t>
  </si>
  <si>
    <t>tbl_Neo_TpnNICU</t>
  </si>
  <si>
    <t>tbl_Ped_tpnNutriflex</t>
  </si>
  <si>
    <t>tbl_Ped_tpnSelected</t>
  </si>
  <si>
    <t>Var_AfspraakDatum</t>
  </si>
  <si>
    <t>IsData</t>
  </si>
  <si>
    <t>IsNeo</t>
  </si>
  <si>
    <t>IsPed</t>
  </si>
  <si>
    <t>InPatData</t>
  </si>
  <si>
    <t>F:= TODAY()</t>
  </si>
  <si>
    <t>F:=TODAY()-B3+1+C3</t>
  </si>
  <si>
    <t>F:=SUM(P2:P31)</t>
  </si>
  <si>
    <t>Blanco</t>
  </si>
  <si>
    <t>_Glob_MedDisc_ATC_01</t>
  </si>
  <si>
    <t>_Glob_MedDisc_ATC_02</t>
  </si>
  <si>
    <t>_Glob_MedDisc_ATC_03</t>
  </si>
  <si>
    <t>_Glob_MedDisc_ATC_04</t>
  </si>
  <si>
    <t>_Glob_MedDisc_ATC_05</t>
  </si>
  <si>
    <t>_Glob_MedDisc_ATC_06</t>
  </si>
  <si>
    <t>_Glob_MedDisc_ATC_07</t>
  </si>
  <si>
    <t>_Glob_MedDisc_ATC_08</t>
  </si>
  <si>
    <t>_Glob_MedDisc_ATC_09</t>
  </si>
  <si>
    <t>_Glob_MedDisc_ATC_10</t>
  </si>
  <si>
    <t>_Glob_MedDisc_ATC_11</t>
  </si>
  <si>
    <t>_Glob_MedDisc_ATC_12</t>
  </si>
  <si>
    <t>_Glob_MedDisc_ATC_13</t>
  </si>
  <si>
    <t>_Glob_MedDisc_ATC_14</t>
  </si>
  <si>
    <t>_Glob_MedDisc_ATC_15</t>
  </si>
  <si>
    <t>_Glob_MedDisc_ATC_16</t>
  </si>
  <si>
    <t>_Glob_MedDisc_ATC_17</t>
  </si>
  <si>
    <t>_Glob_MedDisc_ATC_18</t>
  </si>
  <si>
    <t>_Glob_MedDisc_ATC_19</t>
  </si>
  <si>
    <t>_Glob_MedDisc_ATC_20</t>
  </si>
  <si>
    <t>_Glob_MedDisc_ATC_21</t>
  </si>
  <si>
    <t>_Glob_MedDisc_ATC_22</t>
  </si>
  <si>
    <t>_Glob_MedDisc_ATC_23</t>
  </si>
  <si>
    <t>_Glob_MedDisc_ATC_24</t>
  </si>
  <si>
    <t>_Glob_MedDisc_ATC_25</t>
  </si>
  <si>
    <t>_Glob_MedDisc_ATC_26</t>
  </si>
  <si>
    <t>_Glob_MedDisc_ATC_27</t>
  </si>
  <si>
    <t>_Glob_MedDisc_ATC_28</t>
  </si>
  <si>
    <t>_Glob_MedDisc_ATC_29</t>
  </si>
  <si>
    <t>_Glob_MedDisc_ATC_30</t>
  </si>
  <si>
    <t>_Glob_MedDisc_DoseEenh_01</t>
  </si>
  <si>
    <t>_Glob_MedDisc_DoseEenh_02</t>
  </si>
  <si>
    <t>_Glob_MedDisc_DoseEenh_03</t>
  </si>
  <si>
    <t>_Glob_MedDisc_DoseEenh_04</t>
  </si>
  <si>
    <t>_Glob_MedDisc_DoseEenh_05</t>
  </si>
  <si>
    <t>_Glob_MedDisc_DoseEenh_06</t>
  </si>
  <si>
    <t>_Glob_MedDisc_DoseEenh_07</t>
  </si>
  <si>
    <t>_Glob_MedDisc_DoseEenh_08</t>
  </si>
  <si>
    <t>_Glob_MedDisc_DoseEenh_09</t>
  </si>
  <si>
    <t>_Glob_MedDisc_DoseEenh_10</t>
  </si>
  <si>
    <t>_Glob_MedDisc_DoseEenh_11</t>
  </si>
  <si>
    <t>_Glob_MedDisc_DoseEenh_12</t>
  </si>
  <si>
    <t>_Glob_MedDisc_DoseEenh_13</t>
  </si>
  <si>
    <t>_Glob_MedDisc_DoseEenh_14</t>
  </si>
  <si>
    <t>_Glob_MedDisc_DoseEenh_15</t>
  </si>
  <si>
    <t>_Glob_MedDisc_DoseEenh_16</t>
  </si>
  <si>
    <t>_Glob_MedDisc_DoseEenh_17</t>
  </si>
  <si>
    <t>_Glob_MedDisc_DoseEenh_18</t>
  </si>
  <si>
    <t>_Glob_MedDisc_DoseEenh_19</t>
  </si>
  <si>
    <t>_Glob_MedDisc_DoseEenh_20</t>
  </si>
  <si>
    <t>_Glob_MedDisc_DoseEenh_21</t>
  </si>
  <si>
    <t>_Glob_MedDisc_DoseEenh_22</t>
  </si>
  <si>
    <t>_Glob_MedDisc_DoseEenh_23</t>
  </si>
  <si>
    <t>_Glob_MedDisc_DoseEenh_24</t>
  </si>
  <si>
    <t>_Glob_MedDisc_DoseEenh_25</t>
  </si>
  <si>
    <t>_Glob_MedDisc_DoseEenh_26</t>
  </si>
  <si>
    <t>_Glob_MedDisc_DoseEenh_27</t>
  </si>
  <si>
    <t>_Glob_MedDisc_DoseEenh_28</t>
  </si>
  <si>
    <t>_Glob_MedDisc_DoseEenh_29</t>
  </si>
  <si>
    <t>_Glob_MedDisc_DoseEenh_30</t>
  </si>
  <si>
    <t>_Glob_MedDisc_DoseHoev_01</t>
  </si>
  <si>
    <t>_Glob_MedDisc_DoseHoev_02</t>
  </si>
  <si>
    <t>_Glob_MedDisc_DoseHoev_03</t>
  </si>
  <si>
    <t>_Glob_MedDisc_DoseHoev_04</t>
  </si>
  <si>
    <t>_Glob_MedDisc_DoseHoev_05</t>
  </si>
  <si>
    <t>_Glob_MedDisc_DoseHoev_06</t>
  </si>
  <si>
    <t>_Glob_MedDisc_DoseHoev_07</t>
  </si>
  <si>
    <t>_Glob_MedDisc_DoseHoev_08</t>
  </si>
  <si>
    <t>_Glob_MedDisc_DoseHoev_09</t>
  </si>
  <si>
    <t>_Glob_MedDisc_DoseHoev_10</t>
  </si>
  <si>
    <t>_Glob_MedDisc_DoseHoev_11</t>
  </si>
  <si>
    <t>_Glob_MedDisc_DoseHoev_12</t>
  </si>
  <si>
    <t>_Glob_MedDisc_DoseHoev_13</t>
  </si>
  <si>
    <t>_Glob_MedDisc_DoseHoev_14</t>
  </si>
  <si>
    <t>_Glob_MedDisc_DoseHoev_15</t>
  </si>
  <si>
    <t>_Glob_MedDisc_DoseHoev_16</t>
  </si>
  <si>
    <t>_Glob_MedDisc_DoseHoev_17</t>
  </si>
  <si>
    <t>_Glob_MedDisc_DoseHoev_18</t>
  </si>
  <si>
    <t>_Glob_MedDisc_DoseHoev_19</t>
  </si>
  <si>
    <t>_Glob_MedDisc_DoseHoev_20</t>
  </si>
  <si>
    <t>_Glob_MedDisc_DoseHoev_21</t>
  </si>
  <si>
    <t>_Glob_MedDisc_DoseHoev_22</t>
  </si>
  <si>
    <t>_Glob_MedDisc_DoseHoev_23</t>
  </si>
  <si>
    <t>_Glob_MedDisc_DoseHoev_24</t>
  </si>
  <si>
    <t>_Glob_MedDisc_DoseHoev_25</t>
  </si>
  <si>
    <t>_Glob_MedDisc_DoseHoev_26</t>
  </si>
  <si>
    <t>_Glob_MedDisc_DoseHoev_27</t>
  </si>
  <si>
    <t>_Glob_MedDisc_DoseHoev_28</t>
  </si>
  <si>
    <t>_Glob_MedDisc_DoseHoev_29</t>
  </si>
  <si>
    <t>_Glob_MedDisc_DoseHoev_30</t>
  </si>
  <si>
    <t>_Glob_MedDisc_Etiket_01</t>
  </si>
  <si>
    <t>_Glob_MedDisc_Etiket_02</t>
  </si>
  <si>
    <t>_Glob_MedDisc_Etiket_03</t>
  </si>
  <si>
    <t>_Glob_MedDisc_Etiket_04</t>
  </si>
  <si>
    <t>_Glob_MedDisc_Etiket_05</t>
  </si>
  <si>
    <t>_Glob_MedDisc_Etiket_06</t>
  </si>
  <si>
    <t>_Glob_MedDisc_Etiket_07</t>
  </si>
  <si>
    <t>_Glob_MedDisc_Etiket_08</t>
  </si>
  <si>
    <t>_Glob_MedDisc_Etiket_09</t>
  </si>
  <si>
    <t>_Glob_MedDisc_Etiket_10</t>
  </si>
  <si>
    <t>_Glob_MedDisc_Etiket_11</t>
  </si>
  <si>
    <t>_Glob_MedDisc_Etiket_12</t>
  </si>
  <si>
    <t>_Glob_MedDisc_Etiket_13</t>
  </si>
  <si>
    <t>_Glob_MedDisc_Etiket_14</t>
  </si>
  <si>
    <t>_Glob_MedDisc_Etiket_15</t>
  </si>
  <si>
    <t>_Glob_MedDisc_Etiket_16</t>
  </si>
  <si>
    <t>_Glob_MedDisc_Etiket_17</t>
  </si>
  <si>
    <t>_Glob_MedDisc_Etiket_18</t>
  </si>
  <si>
    <t>_Glob_MedDisc_Etiket_19</t>
  </si>
  <si>
    <t>_Glob_MedDisc_Etiket_20</t>
  </si>
  <si>
    <t>_Glob_MedDisc_Etiket_21</t>
  </si>
  <si>
    <t>_Glob_MedDisc_Etiket_22</t>
  </si>
  <si>
    <t>_Glob_MedDisc_Etiket_23</t>
  </si>
  <si>
    <t>_Glob_MedDisc_Etiket_24</t>
  </si>
  <si>
    <t>_Glob_MedDisc_Etiket_25</t>
  </si>
  <si>
    <t>_Glob_MedDisc_Etiket_26</t>
  </si>
  <si>
    <t>_Glob_MedDisc_Etiket_27</t>
  </si>
  <si>
    <t>_Glob_MedDisc_Etiket_28</t>
  </si>
  <si>
    <t>_Glob_MedDisc_Etiket_29</t>
  </si>
  <si>
    <t>_Glob_MedDisc_Etiket_30</t>
  </si>
  <si>
    <t>_Glob_MedDisc_Generic_01</t>
  </si>
  <si>
    <t>_Glob_MedDisc_Generic_02</t>
  </si>
  <si>
    <t>_Glob_MedDisc_Generic_03</t>
  </si>
  <si>
    <t>_Glob_MedDisc_Generic_04</t>
  </si>
  <si>
    <t>_Glob_MedDisc_Generic_05</t>
  </si>
  <si>
    <t>_Glob_MedDisc_Generic_06</t>
  </si>
  <si>
    <t>_Glob_MedDisc_Generic_07</t>
  </si>
  <si>
    <t>_Glob_MedDisc_Generic_08</t>
  </si>
  <si>
    <t>_Glob_MedDisc_Generic_09</t>
  </si>
  <si>
    <t>_Glob_MedDisc_Generic_10</t>
  </si>
  <si>
    <t>_Glob_MedDisc_Generic_11</t>
  </si>
  <si>
    <t>_Glob_MedDisc_Generic_12</t>
  </si>
  <si>
    <t>_Glob_MedDisc_Generic_13</t>
  </si>
  <si>
    <t>_Glob_MedDisc_Generic_14</t>
  </si>
  <si>
    <t>_Glob_MedDisc_Generic_15</t>
  </si>
  <si>
    <t>_Glob_MedDisc_Generic_16</t>
  </si>
  <si>
    <t>_Glob_MedDisc_Generic_17</t>
  </si>
  <si>
    <t>_Glob_MedDisc_Generic_18</t>
  </si>
  <si>
    <t>_Glob_MedDisc_Generic_19</t>
  </si>
  <si>
    <t>_Glob_MedDisc_Generic_20</t>
  </si>
  <si>
    <t>_Glob_MedDisc_Generic_21</t>
  </si>
  <si>
    <t>_Glob_MedDisc_Generic_22</t>
  </si>
  <si>
    <t>_Glob_MedDisc_Generic_23</t>
  </si>
  <si>
    <t>_Glob_MedDisc_Generic_24</t>
  </si>
  <si>
    <t>_Glob_MedDisc_Generic_25</t>
  </si>
  <si>
    <t>_Glob_MedDisc_Generic_26</t>
  </si>
  <si>
    <t>_Glob_MedDisc_Generic_27</t>
  </si>
  <si>
    <t>_Glob_MedDisc_Generic_28</t>
  </si>
  <si>
    <t>_Glob_MedDisc_Generic_29</t>
  </si>
  <si>
    <t>_Glob_MedDisc_Generic_30</t>
  </si>
  <si>
    <t>_Glob_MedDisc_GPK_01</t>
  </si>
  <si>
    <t>_Glob_MedDisc_GPK_02</t>
  </si>
  <si>
    <t>_Glob_MedDisc_GPK_03</t>
  </si>
  <si>
    <t>_Glob_MedDisc_GPK_04</t>
  </si>
  <si>
    <t>_Glob_MedDisc_GPK_05</t>
  </si>
  <si>
    <t>_Glob_MedDisc_GPK_06</t>
  </si>
  <si>
    <t>_Glob_MedDisc_GPK_07</t>
  </si>
  <si>
    <t>_Glob_MedDisc_GPK_08</t>
  </si>
  <si>
    <t>_Glob_MedDisc_GPK_09</t>
  </si>
  <si>
    <t>_Glob_MedDisc_GPK_10</t>
  </si>
  <si>
    <t>_Glob_MedDisc_GPK_11</t>
  </si>
  <si>
    <t>_Glob_MedDisc_GPK_12</t>
  </si>
  <si>
    <t>_Glob_MedDisc_GPK_13</t>
  </si>
  <si>
    <t>_Glob_MedDisc_GPK_14</t>
  </si>
  <si>
    <t>_Glob_MedDisc_GPK_15</t>
  </si>
  <si>
    <t>_Glob_MedDisc_GPK_16</t>
  </si>
  <si>
    <t>_Glob_MedDisc_GPK_17</t>
  </si>
  <si>
    <t>_Glob_MedDisc_GPK_18</t>
  </si>
  <si>
    <t>_Glob_MedDisc_GPK_19</t>
  </si>
  <si>
    <t>_Glob_MedDisc_GPK_20</t>
  </si>
  <si>
    <t>_Glob_MedDisc_GPK_21</t>
  </si>
  <si>
    <t>_Glob_MedDisc_GPK_22</t>
  </si>
  <si>
    <t>_Glob_MedDisc_GPK_23</t>
  </si>
  <si>
    <t>_Glob_MedDisc_GPK_24</t>
  </si>
  <si>
    <t>_Glob_MedDisc_GPK_25</t>
  </si>
  <si>
    <t>_Glob_MedDisc_GPK_26</t>
  </si>
  <si>
    <t>_Glob_MedDisc_GPK_27</t>
  </si>
  <si>
    <t>_Glob_MedDisc_GPK_28</t>
  </si>
  <si>
    <t>_Glob_MedDisc_GPK_29</t>
  </si>
  <si>
    <t>_Glob_MedDisc_GPK_30</t>
  </si>
  <si>
    <t>_Glob_MedDisc_Ind_01</t>
  </si>
  <si>
    <t>_Glob_MedDisc_Ind_02</t>
  </si>
  <si>
    <t>_Glob_MedDisc_Ind_03</t>
  </si>
  <si>
    <t>_Glob_MedDisc_Ind_04</t>
  </si>
  <si>
    <t>_Glob_MedDisc_Ind_05</t>
  </si>
  <si>
    <t>_Glob_MedDisc_Ind_06</t>
  </si>
  <si>
    <t>_Glob_MedDisc_Ind_07</t>
  </si>
  <si>
    <t>_Glob_MedDisc_Ind_08</t>
  </si>
  <si>
    <t>_Glob_MedDisc_Ind_09</t>
  </si>
  <si>
    <t>_Glob_MedDisc_Ind_10</t>
  </si>
  <si>
    <t>_Glob_MedDisc_Ind_11</t>
  </si>
  <si>
    <t>_Glob_MedDisc_Ind_12</t>
  </si>
  <si>
    <t>_Glob_MedDisc_Ind_13</t>
  </si>
  <si>
    <t>_Glob_MedDisc_Ind_14</t>
  </si>
  <si>
    <t>_Glob_MedDisc_Ind_15</t>
  </si>
  <si>
    <t>_Glob_MedDisc_Ind_16</t>
  </si>
  <si>
    <t>_Glob_MedDisc_Ind_17</t>
  </si>
  <si>
    <t>_Glob_MedDisc_Ind_18</t>
  </si>
  <si>
    <t>_Glob_MedDisc_Ind_19</t>
  </si>
  <si>
    <t>_Glob_MedDisc_Ind_20</t>
  </si>
  <si>
    <t>_Glob_MedDisc_Ind_21</t>
  </si>
  <si>
    <t>_Glob_MedDisc_Ind_22</t>
  </si>
  <si>
    <t>_Glob_MedDisc_Ind_23</t>
  </si>
  <si>
    <t>_Glob_MedDisc_Ind_24</t>
  </si>
  <si>
    <t>_Glob_MedDisc_Ind_25</t>
  </si>
  <si>
    <t>_Glob_MedDisc_Ind_26</t>
  </si>
  <si>
    <t>_Glob_MedDisc_Ind_27</t>
  </si>
  <si>
    <t>_Glob_MedDisc_Ind_28</t>
  </si>
  <si>
    <t>_Glob_MedDisc_Ind_29</t>
  </si>
  <si>
    <t>_Glob_MedDisc_Ind_30</t>
  </si>
  <si>
    <t>_Glob_MedDisc_Inloop_01</t>
  </si>
  <si>
    <t>_Glob_MedDisc_Inloop_02</t>
  </si>
  <si>
    <t>_Glob_MedDisc_Inloop_03</t>
  </si>
  <si>
    <t>_Glob_MedDisc_Inloop_04</t>
  </si>
  <si>
    <t>_Glob_MedDisc_Inloop_05</t>
  </si>
  <si>
    <t>_Glob_MedDisc_Inloop_06</t>
  </si>
  <si>
    <t>_Glob_MedDisc_Inloop_07</t>
  </si>
  <si>
    <t>_Glob_MedDisc_Inloop_08</t>
  </si>
  <si>
    <t>_Glob_MedDisc_Inloop_09</t>
  </si>
  <si>
    <t>_Glob_MedDisc_Inloop_10</t>
  </si>
  <si>
    <t>_Glob_MedDisc_Inloop_11</t>
  </si>
  <si>
    <t>_Glob_MedDisc_Inloop_12</t>
  </si>
  <si>
    <t>_Glob_MedDisc_Inloop_13</t>
  </si>
  <si>
    <t>_Glob_MedDisc_Inloop_14</t>
  </si>
  <si>
    <t>_Glob_MedDisc_Inloop_15</t>
  </si>
  <si>
    <t>_Glob_MedDisc_Inloop_16</t>
  </si>
  <si>
    <t>_Glob_MedDisc_Inloop_17</t>
  </si>
  <si>
    <t>_Glob_MedDisc_Inloop_18</t>
  </si>
  <si>
    <t>_Glob_MedDisc_Inloop_19</t>
  </si>
  <si>
    <t>_Glob_MedDisc_Inloop_20</t>
  </si>
  <si>
    <t>_Glob_MedDisc_Inloop_21</t>
  </si>
  <si>
    <t>_Glob_MedDisc_Inloop_22</t>
  </si>
  <si>
    <t>_Glob_MedDisc_Inloop_23</t>
  </si>
  <si>
    <t>_Glob_MedDisc_Inloop_24</t>
  </si>
  <si>
    <t>_Glob_MedDisc_Inloop_25</t>
  </si>
  <si>
    <t>_Glob_MedDisc_Inloop_26</t>
  </si>
  <si>
    <t>_Glob_MedDisc_Inloop_27</t>
  </si>
  <si>
    <t>_Glob_MedDisc_Inloop_28</t>
  </si>
  <si>
    <t>_Glob_MedDisc_Inloop_29</t>
  </si>
  <si>
    <t>_Glob_MedDisc_Inloop_30</t>
  </si>
  <si>
    <t>_Glob_MedDisc_OplKeuze_01</t>
  </si>
  <si>
    <t>_Glob_MedDisc_OplKeuze_02</t>
  </si>
  <si>
    <t>_Glob_MedDisc_OplKeuze_03</t>
  </si>
  <si>
    <t>_Glob_MedDisc_OplKeuze_04</t>
  </si>
  <si>
    <t>_Glob_MedDisc_OplKeuze_05</t>
  </si>
  <si>
    <t>_Glob_MedDisc_OplKeuze_06</t>
  </si>
  <si>
    <t>_Glob_MedDisc_OplKeuze_07</t>
  </si>
  <si>
    <t>_Glob_MedDisc_OplKeuze_08</t>
  </si>
  <si>
    <t>_Glob_MedDisc_OplKeuze_09</t>
  </si>
  <si>
    <t>_Glob_MedDisc_OplKeuze_10</t>
  </si>
  <si>
    <t>_Glob_MedDisc_OplKeuze_11</t>
  </si>
  <si>
    <t>_Glob_MedDisc_OplKeuze_12</t>
  </si>
  <si>
    <t>_Glob_MedDisc_OplKeuze_13</t>
  </si>
  <si>
    <t>_Glob_MedDisc_OplKeuze_14</t>
  </si>
  <si>
    <t>_Glob_MedDisc_OplKeuze_15</t>
  </si>
  <si>
    <t>_Glob_MedDisc_OplKeuze_16</t>
  </si>
  <si>
    <t>_Glob_MedDisc_OplKeuze_17</t>
  </si>
  <si>
    <t>_Glob_MedDisc_OplKeuze_18</t>
  </si>
  <si>
    <t>_Glob_MedDisc_OplKeuze_19</t>
  </si>
  <si>
    <t>_Glob_MedDisc_OplKeuze_20</t>
  </si>
  <si>
    <t>_Glob_MedDisc_OplKeuze_21</t>
  </si>
  <si>
    <t>_Glob_MedDisc_OplKeuze_22</t>
  </si>
  <si>
    <t>_Glob_MedDisc_OplKeuze_23</t>
  </si>
  <si>
    <t>_Glob_MedDisc_OplKeuze_24</t>
  </si>
  <si>
    <t>_Glob_MedDisc_OplKeuze_25</t>
  </si>
  <si>
    <t>_Glob_MedDisc_OplKeuze_26</t>
  </si>
  <si>
    <t>_Glob_MedDisc_OplKeuze_27</t>
  </si>
  <si>
    <t>_Glob_MedDisc_OplKeuze_28</t>
  </si>
  <si>
    <t>_Glob_MedDisc_OplKeuze_29</t>
  </si>
  <si>
    <t>_Glob_MedDisc_OplKeuze_30</t>
  </si>
  <si>
    <t>_Glob_MedDisc_OplVol_01</t>
  </si>
  <si>
    <t>_Glob_MedDisc_OplVol_02</t>
  </si>
  <si>
    <t>_Glob_MedDisc_OplVol_03</t>
  </si>
  <si>
    <t>_Glob_MedDisc_OplVol_04</t>
  </si>
  <si>
    <t>_Glob_MedDisc_OplVol_05</t>
  </si>
  <si>
    <t>_Glob_MedDisc_OplVol_06</t>
  </si>
  <si>
    <t>_Glob_MedDisc_OplVol_07</t>
  </si>
  <si>
    <t>_Glob_MedDisc_OplVol_08</t>
  </si>
  <si>
    <t>_Glob_MedDisc_OplVol_09</t>
  </si>
  <si>
    <t>_Glob_MedDisc_OplVol_10</t>
  </si>
  <si>
    <t>_Glob_MedDisc_OplVol_11</t>
  </si>
  <si>
    <t>_Glob_MedDisc_OplVol_12</t>
  </si>
  <si>
    <t>_Glob_MedDisc_OplVol_13</t>
  </si>
  <si>
    <t>_Glob_MedDisc_OplVol_14</t>
  </si>
  <si>
    <t>_Glob_MedDisc_OplVol_15</t>
  </si>
  <si>
    <t>_Glob_MedDisc_OplVol_16</t>
  </si>
  <si>
    <t>_Glob_MedDisc_OplVol_17</t>
  </si>
  <si>
    <t>_Glob_MedDisc_OplVol_18</t>
  </si>
  <si>
    <t>_Glob_MedDisc_OplVol_19</t>
  </si>
  <si>
    <t>_Glob_MedDisc_OplVol_20</t>
  </si>
  <si>
    <t>_Glob_MedDisc_OplVol_21</t>
  </si>
  <si>
    <t>_Glob_MedDisc_OplVol_22</t>
  </si>
  <si>
    <t>_Glob_MedDisc_OplVol_23</t>
  </si>
  <si>
    <t>_Glob_MedDisc_OplVol_24</t>
  </si>
  <si>
    <t>_Glob_MedDisc_OplVol_25</t>
  </si>
  <si>
    <t>_Glob_MedDisc_OplVol_26</t>
  </si>
  <si>
    <t>_Glob_MedDisc_OplVol_27</t>
  </si>
  <si>
    <t>_Glob_MedDisc_OplVol_28</t>
  </si>
  <si>
    <t>_Glob_MedDisc_OplVol_29</t>
  </si>
  <si>
    <t>_Glob_MedDisc_OplVol_30</t>
  </si>
  <si>
    <t>_Glob_MedDisc_Opm_01</t>
  </si>
  <si>
    <t>_Glob_MedDisc_Opm_02</t>
  </si>
  <si>
    <t>_Glob_MedDisc_Opm_03</t>
  </si>
  <si>
    <t>_Glob_MedDisc_Opm_04</t>
  </si>
  <si>
    <t>_Glob_MedDisc_Opm_05</t>
  </si>
  <si>
    <t>_Glob_MedDisc_Opm_06</t>
  </si>
  <si>
    <t>_Glob_MedDisc_Opm_07</t>
  </si>
  <si>
    <t>_Glob_MedDisc_Opm_08</t>
  </si>
  <si>
    <t>_Glob_MedDisc_Opm_09</t>
  </si>
  <si>
    <t>_Glob_MedDisc_Opm_10</t>
  </si>
  <si>
    <t>_Glob_MedDisc_Opm_11</t>
  </si>
  <si>
    <t>_Glob_MedDisc_Opm_12</t>
  </si>
  <si>
    <t>_Glob_MedDisc_Opm_13</t>
  </si>
  <si>
    <t>_Glob_MedDisc_Opm_14</t>
  </si>
  <si>
    <t>_Glob_MedDisc_Opm_15</t>
  </si>
  <si>
    <t>_Glob_MedDisc_Opm_16</t>
  </si>
  <si>
    <t>_Glob_MedDisc_Opm_17</t>
  </si>
  <si>
    <t>_Glob_MedDisc_Opm_18</t>
  </si>
  <si>
    <t>_Glob_MedDisc_Opm_19</t>
  </si>
  <si>
    <t>_Glob_MedDisc_Opm_20</t>
  </si>
  <si>
    <t>_Glob_MedDisc_Opm_21</t>
  </si>
  <si>
    <t>_Glob_MedDisc_Opm_22</t>
  </si>
  <si>
    <t>_Glob_MedDisc_Opm_23</t>
  </si>
  <si>
    <t>_Glob_MedDisc_Opm_24</t>
  </si>
  <si>
    <t>_Glob_MedDisc_Opm_25</t>
  </si>
  <si>
    <t>_Glob_MedDisc_Opm_26</t>
  </si>
  <si>
    <t>_Glob_MedDisc_Opm_27</t>
  </si>
  <si>
    <t>_Glob_MedDisc_Opm_28</t>
  </si>
  <si>
    <t>_Glob_MedDisc_Opm_29</t>
  </si>
  <si>
    <t>_Glob_MedDisc_Opm_30</t>
  </si>
  <si>
    <t>_Glob_MedDisc_StandDose_01</t>
  </si>
  <si>
    <t>_Glob_MedDisc_StandDose_02</t>
  </si>
  <si>
    <t>_Glob_MedDisc_StandDose_03</t>
  </si>
  <si>
    <t>_Glob_MedDisc_StandDose_04</t>
  </si>
  <si>
    <t>_Glob_MedDisc_StandDose_05</t>
  </si>
  <si>
    <t>_Glob_MedDisc_StandDose_06</t>
  </si>
  <si>
    <t>_Glob_MedDisc_StandDose_07</t>
  </si>
  <si>
    <t>_Glob_MedDisc_StandDose_08</t>
  </si>
  <si>
    <t>_Glob_MedDisc_StandDose_09</t>
  </si>
  <si>
    <t>_Glob_MedDisc_StandDose_10</t>
  </si>
  <si>
    <t>_Glob_MedDisc_StandDose_11</t>
  </si>
  <si>
    <t>_Glob_MedDisc_StandDose_12</t>
  </si>
  <si>
    <t>_Glob_MedDisc_StandDose_13</t>
  </si>
  <si>
    <t>_Glob_MedDisc_StandDose_14</t>
  </si>
  <si>
    <t>_Glob_MedDisc_StandDose_15</t>
  </si>
  <si>
    <t>_Glob_MedDisc_StandDose_16</t>
  </si>
  <si>
    <t>_Glob_MedDisc_StandDose_17</t>
  </si>
  <si>
    <t>_Glob_MedDisc_StandDose_18</t>
  </si>
  <si>
    <t>_Glob_MedDisc_StandDose_19</t>
  </si>
  <si>
    <t>_Glob_MedDisc_StandDose_20</t>
  </si>
  <si>
    <t>_Glob_MedDisc_StandDose_21</t>
  </si>
  <si>
    <t>_Glob_MedDisc_StandDose_22</t>
  </si>
  <si>
    <t>_Glob_MedDisc_StandDose_23</t>
  </si>
  <si>
    <t>_Glob_MedDisc_StandDose_24</t>
  </si>
  <si>
    <t>_Glob_MedDisc_StandDose_25</t>
  </si>
  <si>
    <t>_Glob_MedDisc_StandDose_26</t>
  </si>
  <si>
    <t>_Glob_MedDisc_StandDose_27</t>
  </si>
  <si>
    <t>_Glob_MedDisc_StandDose_28</t>
  </si>
  <si>
    <t>_Glob_MedDisc_StandDose_29</t>
  </si>
  <si>
    <t>_Glob_MedDisc_StandDose_30</t>
  </si>
  <si>
    <t>_Glob_MedDisc_Sterkte_01</t>
  </si>
  <si>
    <t>_Glob_MedDisc_Sterkte_02</t>
  </si>
  <si>
    <t>_Glob_MedDisc_Sterkte_03</t>
  </si>
  <si>
    <t>_Glob_MedDisc_Sterkte_04</t>
  </si>
  <si>
    <t>_Glob_MedDisc_Sterkte_05</t>
  </si>
  <si>
    <t>_Glob_MedDisc_Sterkte_06</t>
  </si>
  <si>
    <t>_Glob_MedDisc_Sterkte_07</t>
  </si>
  <si>
    <t>_Glob_MedDisc_Sterkte_08</t>
  </si>
  <si>
    <t>_Glob_MedDisc_Sterkte_09</t>
  </si>
  <si>
    <t>_Glob_MedDisc_Sterkte_10</t>
  </si>
  <si>
    <t>_Glob_MedDisc_Sterkte_11</t>
  </si>
  <si>
    <t>_Glob_MedDisc_Sterkte_12</t>
  </si>
  <si>
    <t>_Glob_MedDisc_Sterkte_13</t>
  </si>
  <si>
    <t>_Glob_MedDisc_Sterkte_14</t>
  </si>
  <si>
    <t>_Glob_MedDisc_Sterkte_15</t>
  </si>
  <si>
    <t>_Glob_MedDisc_Sterkte_16</t>
  </si>
  <si>
    <t>_Glob_MedDisc_Sterkte_17</t>
  </si>
  <si>
    <t>_Glob_MedDisc_Sterkte_18</t>
  </si>
  <si>
    <t>_Glob_MedDisc_Sterkte_19</t>
  </si>
  <si>
    <t>_Glob_MedDisc_Sterkte_20</t>
  </si>
  <si>
    <t>_Glob_MedDisc_Sterkte_21</t>
  </si>
  <si>
    <t>_Glob_MedDisc_Sterkte_22</t>
  </si>
  <si>
    <t>_Glob_MedDisc_Sterkte_23</t>
  </si>
  <si>
    <t>_Glob_MedDisc_Sterkte_24</t>
  </si>
  <si>
    <t>_Glob_MedDisc_Sterkte_25</t>
  </si>
  <si>
    <t>_Glob_MedDisc_Sterkte_26</t>
  </si>
  <si>
    <t>_Glob_MedDisc_Sterkte_27</t>
  </si>
  <si>
    <t>_Glob_MedDisc_Sterkte_28</t>
  </si>
  <si>
    <t>_Glob_MedDisc_Sterkte_29</t>
  </si>
  <si>
    <t>_Glob_MedDisc_Sterkte_30</t>
  </si>
  <si>
    <t>_Glob_MedDisc_SterkteEenh_01</t>
  </si>
  <si>
    <t>_Glob_MedDisc_SterkteEenh_02</t>
  </si>
  <si>
    <t>_Glob_MedDisc_SterkteEenh_03</t>
  </si>
  <si>
    <t>_Glob_MedDisc_SterkteEenh_04</t>
  </si>
  <si>
    <t>_Glob_MedDisc_SterkteEenh_05</t>
  </si>
  <si>
    <t>_Glob_MedDisc_SterkteEenh_06</t>
  </si>
  <si>
    <t>_Glob_MedDisc_SterkteEenh_07</t>
  </si>
  <si>
    <t>_Glob_MedDisc_SterkteEenh_08</t>
  </si>
  <si>
    <t>_Glob_MedDisc_SterkteEenh_09</t>
  </si>
  <si>
    <t>_Glob_MedDisc_SterkteEenh_10</t>
  </si>
  <si>
    <t>_Glob_MedDisc_SterkteEenh_11</t>
  </si>
  <si>
    <t>_Glob_MedDisc_SterkteEenh_12</t>
  </si>
  <si>
    <t>_Glob_MedDisc_SterkteEenh_13</t>
  </si>
  <si>
    <t>_Glob_MedDisc_SterkteEenh_14</t>
  </si>
  <si>
    <t>_Glob_MedDisc_SterkteEenh_15</t>
  </si>
  <si>
    <t>_Glob_MedDisc_SterkteEenh_16</t>
  </si>
  <si>
    <t>_Glob_MedDisc_SterkteEenh_17</t>
  </si>
  <si>
    <t>_Glob_MedDisc_SterkteEenh_18</t>
  </si>
  <si>
    <t>_Glob_MedDisc_SterkteEenh_19</t>
  </si>
  <si>
    <t>_Glob_MedDisc_SterkteEenh_20</t>
  </si>
  <si>
    <t>_Glob_MedDisc_SterkteEenh_21</t>
  </si>
  <si>
    <t>_Glob_MedDisc_SterkteEenh_22</t>
  </si>
  <si>
    <t>_Glob_MedDisc_SterkteEenh_23</t>
  </si>
  <si>
    <t>_Glob_MedDisc_SterkteEenh_24</t>
  </si>
  <si>
    <t>_Glob_MedDisc_SterkteEenh_25</t>
  </si>
  <si>
    <t>_Glob_MedDisc_SterkteEenh_26</t>
  </si>
  <si>
    <t>_Glob_MedDisc_SterkteEenh_27</t>
  </si>
  <si>
    <t>_Glob_MedDisc_SterkteEenh_28</t>
  </si>
  <si>
    <t>_Glob_MedDisc_SterkteEenh_29</t>
  </si>
  <si>
    <t>_Glob_MedDisc_SterkteEenh_30</t>
  </si>
  <si>
    <t>_Glob_MedDisc_Tijden_01</t>
  </si>
  <si>
    <t>_Glob_MedDisc_Tijden_02</t>
  </si>
  <si>
    <t>_Glob_MedDisc_Tijden_03</t>
  </si>
  <si>
    <t>_Glob_MedDisc_Tijden_04</t>
  </si>
  <si>
    <t>_Glob_MedDisc_Tijden_05</t>
  </si>
  <si>
    <t>_Glob_MedDisc_Tijden_06</t>
  </si>
  <si>
    <t>_Glob_MedDisc_Tijden_07</t>
  </si>
  <si>
    <t>_Glob_MedDisc_Tijden_08</t>
  </si>
  <si>
    <t>_Glob_MedDisc_Tijden_09</t>
  </si>
  <si>
    <t>_Glob_MedDisc_Tijden_10</t>
  </si>
  <si>
    <t>_Glob_MedDisc_Tijden_11</t>
  </si>
  <si>
    <t>_Glob_MedDisc_Tijden_12</t>
  </si>
  <si>
    <t>_Glob_MedDisc_Tijden_13</t>
  </si>
  <si>
    <t>_Glob_MedDisc_Tijden_14</t>
  </si>
  <si>
    <t>_Glob_MedDisc_Tijden_15</t>
  </si>
  <si>
    <t>_Glob_MedDisc_Tijden_16</t>
  </si>
  <si>
    <t>_Glob_MedDisc_Tijden_17</t>
  </si>
  <si>
    <t>_Glob_MedDisc_Tijden_18</t>
  </si>
  <si>
    <t>_Glob_MedDisc_Tijden_19</t>
  </si>
  <si>
    <t>_Glob_MedDisc_Tijden_20</t>
  </si>
  <si>
    <t>_Glob_MedDisc_Tijden_21</t>
  </si>
  <si>
    <t>_Glob_MedDisc_Tijden_22</t>
  </si>
  <si>
    <t>_Glob_MedDisc_Tijden_23</t>
  </si>
  <si>
    <t>_Glob_MedDisc_Tijden_24</t>
  </si>
  <si>
    <t>_Glob_MedDisc_Tijden_25</t>
  </si>
  <si>
    <t>_Glob_MedDisc_Tijden_26</t>
  </si>
  <si>
    <t>_Glob_MedDisc_Tijden_27</t>
  </si>
  <si>
    <t>_Glob_MedDisc_Tijden_28</t>
  </si>
  <si>
    <t>_Glob_MedDisc_Tijden_29</t>
  </si>
  <si>
    <t>_Glob_MedDisc_Tijden_30</t>
  </si>
  <si>
    <t>_Glob_MedDisc_Toed_01</t>
  </si>
  <si>
    <t>_Glob_MedDisc_Toed_02</t>
  </si>
  <si>
    <t>_Glob_MedDisc_Toed_03</t>
  </si>
  <si>
    <t>_Glob_MedDisc_Toed_04</t>
  </si>
  <si>
    <t>_Glob_MedDisc_Toed_05</t>
  </si>
  <si>
    <t>_Glob_MedDisc_Toed_06</t>
  </si>
  <si>
    <t>_Glob_MedDisc_Toed_07</t>
  </si>
  <si>
    <t>_Glob_MedDisc_Toed_08</t>
  </si>
  <si>
    <t>_Glob_MedDisc_Toed_09</t>
  </si>
  <si>
    <t>_Glob_MedDisc_Toed_10</t>
  </si>
  <si>
    <t>_Glob_MedDisc_Toed_11</t>
  </si>
  <si>
    <t>_Glob_MedDisc_Toed_12</t>
  </si>
  <si>
    <t>_Glob_MedDisc_Toed_13</t>
  </si>
  <si>
    <t>_Glob_MedDisc_Toed_14</t>
  </si>
  <si>
    <t>_Glob_MedDisc_Toed_15</t>
  </si>
  <si>
    <t>_Glob_MedDisc_Toed_16</t>
  </si>
  <si>
    <t>_Glob_MedDisc_Toed_17</t>
  </si>
  <si>
    <t>_Glob_MedDisc_Toed_18</t>
  </si>
  <si>
    <t>_Glob_MedDisc_Toed_19</t>
  </si>
  <si>
    <t>_Glob_MedDisc_Toed_20</t>
  </si>
  <si>
    <t>_Glob_MedDisc_Toed_21</t>
  </si>
  <si>
    <t>_Glob_MedDisc_Toed_22</t>
  </si>
  <si>
    <t>_Glob_MedDisc_Toed_23</t>
  </si>
  <si>
    <t>_Glob_MedDisc_Toed_24</t>
  </si>
  <si>
    <t>_Glob_MedDisc_Toed_25</t>
  </si>
  <si>
    <t>_Glob_MedDisc_Toed_26</t>
  </si>
  <si>
    <t>_Glob_MedDisc_Toed_27</t>
  </si>
  <si>
    <t>_Glob_MedDisc_Toed_28</t>
  </si>
  <si>
    <t>_Glob_MedDisc_Toed_29</t>
  </si>
  <si>
    <t>_Glob_MedDisc_Toed_30</t>
  </si>
  <si>
    <t>_Neo_InfB_VochtExtra_01</t>
  </si>
  <si>
    <t>_Neo_InfB_VochtExtra_02</t>
  </si>
  <si>
    <t>_Neo_InfB_VochtExtra_11</t>
  </si>
  <si>
    <t>_Neo_InfB_VochtExtra_12</t>
  </si>
  <si>
    <t>_Neo_InfB_VochtExtra_13</t>
  </si>
  <si>
    <t>_Neo_InfB_VochtExtra_14</t>
  </si>
  <si>
    <t>_Neo_InfB_VochtExtra_03</t>
  </si>
  <si>
    <t>_Neo_InfB_VochtExtra_04</t>
  </si>
  <si>
    <t>_Neo_InfB_VochtExtra_05</t>
  </si>
  <si>
    <t>_Neo_InfB_VochtExtra_06</t>
  </si>
  <si>
    <t>_Neo_InfB_VochtExtra_07</t>
  </si>
  <si>
    <t>_Neo_InfB_VochtExtra_08</t>
  </si>
  <si>
    <t>_Neo_InfB_VochtExtra_09</t>
  </si>
  <si>
    <t>_Neo_InfB_VochtExtra_10</t>
  </si>
  <si>
    <t>_Neo_1700_VochtExtra_01</t>
  </si>
  <si>
    <t>_Neo_1700_VochtExtra_02</t>
  </si>
  <si>
    <t>_Neo_1700_VochtExtra_11</t>
  </si>
  <si>
    <t>_Neo_1700_VochtExtra_12</t>
  </si>
  <si>
    <t>_Neo_1700_VochtExtra_13</t>
  </si>
  <si>
    <t>_Neo_1700_VochtExtra_14</t>
  </si>
  <si>
    <t>_Neo_1700_VochtExtra_03</t>
  </si>
  <si>
    <t>_Neo_1700_VochtExtra_04</t>
  </si>
  <si>
    <t>_Neo_1700_VochtExtra_05</t>
  </si>
  <si>
    <t>_Neo_1700_VochtExtra_06</t>
  </si>
  <si>
    <t>_Neo_1700_VochtExtra_07</t>
  </si>
  <si>
    <t>_Neo_1700_VochtExtra_08</t>
  </si>
  <si>
    <t>_Neo_1700_VochtExtra_09</t>
  </si>
  <si>
    <t>_Neo_1700_VochtExtra_10</t>
  </si>
  <si>
    <t>_Neo_InfB_ArtLijn</t>
  </si>
  <si>
    <t>_Neo_1700_ArtLijn</t>
  </si>
  <si>
    <t>_Neo_InfB_Arts</t>
  </si>
  <si>
    <t>_Neo_1700_Arts</t>
  </si>
  <si>
    <t>_Neo_InfB_DagKeuze</t>
  </si>
  <si>
    <t>_Neo_1700_CaCl2</t>
  </si>
  <si>
    <t>_Neo_1700_DagKeuze</t>
  </si>
  <si>
    <t>_Neo_InfB_Fototherapie</t>
  </si>
  <si>
    <t>_Neo_1700_Fototherapie</t>
  </si>
  <si>
    <t>_Neo_InfB_Frequentie_1</t>
  </si>
  <si>
    <t>_Neo_InfB_Frequentie_2</t>
  </si>
  <si>
    <t>_Neo_1700_Frequentie_1</t>
  </si>
  <si>
    <t>_Neo_1700_Frequentie_2</t>
  </si>
  <si>
    <t>_Neo_InfB_GlucSterkte</t>
  </si>
  <si>
    <t>_Neo_1700_GlucSterkte</t>
  </si>
  <si>
    <t>_Neo_InfB_Hoeveelheid_1</t>
  </si>
  <si>
    <t>_Neo_InfB_Hoeveelheid_2</t>
  </si>
  <si>
    <t>_Neo_1700_Hoeveelheid_1</t>
  </si>
  <si>
    <t>_Neo_1700_Hoeveelheid_2</t>
  </si>
  <si>
    <t>_Neo_InfB_IntakePerKg</t>
  </si>
  <si>
    <t>_Neo_1700_IntakePerKg</t>
  </si>
  <si>
    <t>_Neo_InfB_IntraLipid</t>
  </si>
  <si>
    <t>_Neo_1700_IntraLipid</t>
  </si>
  <si>
    <t>_Neo_InfB_KCl</t>
  </si>
  <si>
    <t>_Neo_1700_KCl</t>
  </si>
  <si>
    <t>_Neo_InfB_Medicament_1</t>
  </si>
  <si>
    <t>_Neo_InfB_Medicament_2</t>
  </si>
  <si>
    <t>_Neo_InfB_Medicament_3</t>
  </si>
  <si>
    <t>_Neo_InfB_Medicament_4</t>
  </si>
  <si>
    <t>_Neo_InfB_Medicament_5</t>
  </si>
  <si>
    <t>_Neo_InfB_Medicament_6</t>
  </si>
  <si>
    <t>_Neo_InfB_Medicament_7</t>
  </si>
  <si>
    <t>_Neo_InfB_Medicament_8</t>
  </si>
  <si>
    <t>_Neo_InfB_Medicament_9</t>
  </si>
  <si>
    <t>_Neo_1700_Medicament_1</t>
  </si>
  <si>
    <t>_Neo_1700_Medicament_2</t>
  </si>
  <si>
    <t>_Neo_1700_Medicament_3</t>
  </si>
  <si>
    <t>_Neo_1700_Medicament_4</t>
  </si>
  <si>
    <t>_Neo_1700_Medicament_5</t>
  </si>
  <si>
    <t>_Neo_1700_Medicament_6</t>
  </si>
  <si>
    <t>_Neo_1700_Medicament_7</t>
  </si>
  <si>
    <t>_Neo_1700_Medicament_8</t>
  </si>
  <si>
    <t>_Neo_1700_Medicament_9</t>
  </si>
  <si>
    <t>_Neo_InfB_MedSterkte_1</t>
  </si>
  <si>
    <t>_Neo_InfB_MedSterkte_2</t>
  </si>
  <si>
    <t>_Neo_InfB_MedSterkte_3</t>
  </si>
  <si>
    <t>_Neo_InfB_MedSterkte_4</t>
  </si>
  <si>
    <t>_Neo_InfB_MedSterkte_5</t>
  </si>
  <si>
    <t>_Neo_InfB_MedSterkte_6</t>
  </si>
  <si>
    <t>_Neo_InfB_MedSterkte_7</t>
  </si>
  <si>
    <t>_Neo_InfB_MedSterkte_8</t>
  </si>
  <si>
    <t>_Neo_InfB_MedSterkte_9</t>
  </si>
  <si>
    <t>_Neo_1700_MedSterkte_1</t>
  </si>
  <si>
    <t>_Neo_1700_MedSterkte_2</t>
  </si>
  <si>
    <t>_Neo_1700_MedSterkte_3</t>
  </si>
  <si>
    <t>_Neo_1700_MedSterkte_4</t>
  </si>
  <si>
    <t>_Neo_1700_MedSterkte_5</t>
  </si>
  <si>
    <t>_Neo_1700_MedSterkte_6</t>
  </si>
  <si>
    <t>_Neo_1700_MedSterkte_7</t>
  </si>
  <si>
    <t>_Neo_1700_MedSterkte_8</t>
  </si>
  <si>
    <t>_Neo_1700_MedSterkte_9</t>
  </si>
  <si>
    <t>_Neo_InfB_MedTekst_1</t>
  </si>
  <si>
    <t>_Neo_InfB_MedTekst_2</t>
  </si>
  <si>
    <t>_Neo_1700_MedTekst_1</t>
  </si>
  <si>
    <t>_Neo_1700_MedTekst_2</t>
  </si>
  <si>
    <t>_Neo_InfB_MgCl2</t>
  </si>
  <si>
    <t>_Neo_1700_MgCl2</t>
  </si>
  <si>
    <t>_Neo_1700_NaCl</t>
  </si>
  <si>
    <t>_Neo_InfB_NICUMix</t>
  </si>
  <si>
    <t>_Neo_1700_NICUMix</t>
  </si>
  <si>
    <t>_Neo_InfB_OplHoev_1</t>
  </si>
  <si>
    <t>_Neo_InfB_OplHoev_2</t>
  </si>
  <si>
    <t>_Neo_InfB_OplHoev_3</t>
  </si>
  <si>
    <t>_Neo_InfB_OplHoev_4</t>
  </si>
  <si>
    <t>_Neo_InfB_OplHoev_5</t>
  </si>
  <si>
    <t>_Neo_InfB_OplHoev_6</t>
  </si>
  <si>
    <t>_Neo_InfB_OplHoev_7</t>
  </si>
  <si>
    <t>_Neo_InfB_OplHoev_8</t>
  </si>
  <si>
    <t>_Neo_InfB_OplHoev_9</t>
  </si>
  <si>
    <t>_Neo_1700_OplHoev_1</t>
  </si>
  <si>
    <t>_Neo_1700_OplHoev_2</t>
  </si>
  <si>
    <t>_Neo_1700_OplHoev_3</t>
  </si>
  <si>
    <t>_Neo_1700_OplHoev_4</t>
  </si>
  <si>
    <t>_Neo_1700_OplHoev_5</t>
  </si>
  <si>
    <t>_Neo_1700_OplHoev_6</t>
  </si>
  <si>
    <t>_Neo_1700_OplHoev_7</t>
  </si>
  <si>
    <t>_Neo_1700_OplHoev_8</t>
  </si>
  <si>
    <t>_Neo_1700_OplHoev_9</t>
  </si>
  <si>
    <t>_Neo_InfB_Oplossing_10</t>
  </si>
  <si>
    <t>_Neo_InfB_Oplossing_11</t>
  </si>
  <si>
    <t>_Neo_InfB_Oplossing_12</t>
  </si>
  <si>
    <t>_Neo_InfB_Oplossing_01</t>
  </si>
  <si>
    <t>_Neo_InfB_Oplossing_02</t>
  </si>
  <si>
    <t>_Neo_InfB_Oplossing_03</t>
  </si>
  <si>
    <t>_Neo_InfB_Oplossing_04</t>
  </si>
  <si>
    <t>_Neo_InfB_Oplossing_05</t>
  </si>
  <si>
    <t>_Neo_InfB_Oplossing_06</t>
  </si>
  <si>
    <t>_Neo_InfB_Oplossing_07</t>
  </si>
  <si>
    <t>_Neo_InfB_Oplossing_08</t>
  </si>
  <si>
    <t>_Neo_InfB_Oplossing_09</t>
  </si>
  <si>
    <t>_Neo_1700_Oplossing_10</t>
  </si>
  <si>
    <t>_Neo_1700_Oplossing_11</t>
  </si>
  <si>
    <t>_Neo_1700_Oplossing_12</t>
  </si>
  <si>
    <t>_Neo_1700_Oplossing_01</t>
  </si>
  <si>
    <t>_Neo_1700_Oplossing_02</t>
  </si>
  <si>
    <t>_Neo_1700_Oplossing_03</t>
  </si>
  <si>
    <t>_Neo_1700_Oplossing_04</t>
  </si>
  <si>
    <t>_Neo_1700_Oplossing_05</t>
  </si>
  <si>
    <t>_Neo_1700_Oplossing_06</t>
  </si>
  <si>
    <t>_Neo_1700_Oplossing_07</t>
  </si>
  <si>
    <t>_Neo_1700_Oplossing_08</t>
  </si>
  <si>
    <t>_Neo_1700_Oplossing_09</t>
  </si>
  <si>
    <t>_Neo_InfB_Parenteraal</t>
  </si>
  <si>
    <t>_Neo_1700_Parenteraal</t>
  </si>
  <si>
    <t>_Neo_InfB_PercentageKeuze_0</t>
  </si>
  <si>
    <t>_Neo_InfB_PercentageKeuze_1</t>
  </si>
  <si>
    <t>_Neo_InfB_PercentageKeuze_2</t>
  </si>
  <si>
    <t>_Neo_InfB_PercentageKeuze_3</t>
  </si>
  <si>
    <t>_Neo_InfB_PercentageKeuze_4</t>
  </si>
  <si>
    <t>_Neo_InfB_PercentageKeuze_5</t>
  </si>
  <si>
    <t>_Neo_InfB_PercentageKeuze_6</t>
  </si>
  <si>
    <t>_Neo_InfB_PercentageKeuze_7</t>
  </si>
  <si>
    <t>_Neo_InfB_PercentageKeuze_8</t>
  </si>
  <si>
    <t>_Neo_1700_PercentageKeuze_0</t>
  </si>
  <si>
    <t>_Neo_1700_PercentageKeuze_1</t>
  </si>
  <si>
    <t>_Neo_1700_PercentageKeuze_2</t>
  </si>
  <si>
    <t>_Neo_1700_PercentageKeuze_3</t>
  </si>
  <si>
    <t>_Neo_1700_PercentageKeuze_4</t>
  </si>
  <si>
    <t>_Neo_1700_PercentageKeuze_5</t>
  </si>
  <si>
    <t>_Neo_1700_PercentageKeuze_6</t>
  </si>
  <si>
    <t>_Neo_1700_PercentageKeuze_7</t>
  </si>
  <si>
    <t>_Neo_1700_PercentageKeuze_8</t>
  </si>
  <si>
    <t>_Neo_InfB_Primene</t>
  </si>
  <si>
    <t>_Neo_1700_Primene</t>
  </si>
  <si>
    <t>_Neo_InfB_IntralipidSmof</t>
  </si>
  <si>
    <t>_Neo_1700_IntralipidSmof</t>
  </si>
  <si>
    <t>_Neo_InfB_SoluVit</t>
  </si>
  <si>
    <t>_Neo_1700_SoluVit</t>
  </si>
  <si>
    <t>_Neo_InfB_SSTB</t>
  </si>
  <si>
    <t>_Neo_1700_SSTB</t>
  </si>
  <si>
    <t>_Neo_InfB_Stand_10</t>
  </si>
  <si>
    <t>_Neo_InfB_Stand_11</t>
  </si>
  <si>
    <t>_Neo_InfB_Stand_12</t>
  </si>
  <si>
    <t>_Neo_InfB_Stand_01</t>
  </si>
  <si>
    <t>_Neo_InfB_Stand_02</t>
  </si>
  <si>
    <t>_Neo_InfB_Stand_03</t>
  </si>
  <si>
    <t>_Neo_InfB_Stand_04</t>
  </si>
  <si>
    <t>_Neo_InfB_Stand_05</t>
  </si>
  <si>
    <t>_Neo_InfB_Stand_06</t>
  </si>
  <si>
    <t>_Neo_InfB_Stand_07</t>
  </si>
  <si>
    <t>_Neo_InfB_Stand_08</t>
  </si>
  <si>
    <t>_Neo_InfB_Stand_09</t>
  </si>
  <si>
    <t>_Neo_1700_Stand_10</t>
  </si>
  <si>
    <t>_Neo_1700_Stand_11</t>
  </si>
  <si>
    <t>_Neo_1700_Stand_12</t>
  </si>
  <si>
    <t>_Neo_1700_Stand_01</t>
  </si>
  <si>
    <t>_Neo_1700_Stand_02</t>
  </si>
  <si>
    <t>_Neo_1700_Stand_03</t>
  </si>
  <si>
    <t>_Neo_1700_Stand_04</t>
  </si>
  <si>
    <t>_Neo_1700_Stand_05</t>
  </si>
  <si>
    <t>_Neo_1700_Stand_06</t>
  </si>
  <si>
    <t>_Neo_1700_Stand_07</t>
  </si>
  <si>
    <t>_Neo_1700_Stand_08</t>
  </si>
  <si>
    <t>_Neo_1700_Stand_09</t>
  </si>
  <si>
    <t>_Neo_InfB_Sterkte_1</t>
  </si>
  <si>
    <t>_Neo_InfB_Sterkte_2</t>
  </si>
  <si>
    <t>_Neo_InfB_Sterkte_3</t>
  </si>
  <si>
    <t>_Neo_InfB_Sterkte_4</t>
  </si>
  <si>
    <t>_Neo_InfB_Sterkte_5</t>
  </si>
  <si>
    <t>_Neo_InfB_Sterkte_6</t>
  </si>
  <si>
    <t>_Neo_InfB_Sterkte_7</t>
  </si>
  <si>
    <t>_Neo_InfB_Sterkte_8</t>
  </si>
  <si>
    <t>_Neo_InfB_Sterkte_9</t>
  </si>
  <si>
    <t>_Neo_InfB_Supervisor</t>
  </si>
  <si>
    <t>_Neo_1700_Supervisor</t>
  </si>
  <si>
    <t>_Neo_InfB_Toevoeging_0</t>
  </si>
  <si>
    <t>_Neo_InfB_Toevoeging_1</t>
  </si>
  <si>
    <t>_Neo_InfB_Toevoeging_2</t>
  </si>
  <si>
    <t>_Neo_InfB_Toevoeging_3</t>
  </si>
  <si>
    <t>_Neo_InfB_Toevoeging_4</t>
  </si>
  <si>
    <t>_Neo_InfB_Toevoeging_5</t>
  </si>
  <si>
    <t>_Neo_InfB_Toevoeging_6</t>
  </si>
  <si>
    <t>_Neo_InfB_Toevoeging_7</t>
  </si>
  <si>
    <t>_Neo_InfB_Toevoeging_8</t>
  </si>
  <si>
    <t>_Neo_1700_Toevoeging_0</t>
  </si>
  <si>
    <t>_Neo_1700_Toevoeging_1</t>
  </si>
  <si>
    <t>_Neo_1700_Toevoeging_2</t>
  </si>
  <si>
    <t>_Neo_1700_Toevoeging_3</t>
  </si>
  <si>
    <t>_Neo_1700_Toevoeging_4</t>
  </si>
  <si>
    <t>_Neo_1700_Toevoeging_5</t>
  </si>
  <si>
    <t>_Neo_1700_Toevoeging_6</t>
  </si>
  <si>
    <t>_Neo_1700_Toevoeging_7</t>
  </si>
  <si>
    <t>_Neo_1700_Toevoeging_8</t>
  </si>
  <si>
    <t>_Neo_InfB_TPNCaCl2</t>
  </si>
  <si>
    <t>_Neo_InfB_TPNNacl</t>
  </si>
  <si>
    <t>_Neo_InfB_Voeding</t>
  </si>
  <si>
    <t>_Neo_1700_Voeding</t>
  </si>
  <si>
    <t>_Neo_Lab_04_01</t>
  </si>
  <si>
    <t>_Neo_Lab_04_02</t>
  </si>
  <si>
    <t>_Neo_Lab_04_03</t>
  </si>
  <si>
    <t>_Neo_Lab_04_04</t>
  </si>
  <si>
    <t>_Neo_Lab_04_05</t>
  </si>
  <si>
    <t>_Neo_Lab_04_06</t>
  </si>
  <si>
    <t>_Neo_Lab_04_07</t>
  </si>
  <si>
    <t>_Neo_Lab_04_08</t>
  </si>
  <si>
    <t>_Neo_Lab_04_09</t>
  </si>
  <si>
    <t>_Neo_Lab_04_10</t>
  </si>
  <si>
    <t>_Neo_Lab_04_11</t>
  </si>
  <si>
    <t>_Neo_Lab_04_12</t>
  </si>
  <si>
    <t>_Neo_Lab_04_13</t>
  </si>
  <si>
    <t>_Neo_Lab_04_14</t>
  </si>
  <si>
    <t>_Neo_Lab_04_15</t>
  </si>
  <si>
    <t>_Neo_Lab_04_16</t>
  </si>
  <si>
    <t>_Neo_Lab_04_17</t>
  </si>
  <si>
    <t>_Neo_Lab_04_18</t>
  </si>
  <si>
    <t>_Neo_Lab_04_19</t>
  </si>
  <si>
    <t>_Neo_Lab_04_20</t>
  </si>
  <si>
    <t>_Neo_Lab_04_21</t>
  </si>
  <si>
    <t>_Neo_Lab_04_22</t>
  </si>
  <si>
    <t>_Neo_Lab_04_23</t>
  </si>
  <si>
    <t>_Neo_Lab_04_24</t>
  </si>
  <si>
    <t>_Neo_Lab_04_25</t>
  </si>
  <si>
    <t>_Neo_Lab_04_26</t>
  </si>
  <si>
    <t>_Neo_Lab_04_27</t>
  </si>
  <si>
    <t>_Neo_Lab_04_28</t>
  </si>
  <si>
    <t>_Neo_Lab_04_29</t>
  </si>
  <si>
    <t>_Neo_Lab_04_30</t>
  </si>
  <si>
    <t>_Neo_Lab_04_31</t>
  </si>
  <si>
    <t>_Neo_Lab_12_01</t>
  </si>
  <si>
    <t>_Neo_Lab_12_02</t>
  </si>
  <si>
    <t>_Neo_Lab_12_03</t>
  </si>
  <si>
    <t>_Neo_Lab_12_04</t>
  </si>
  <si>
    <t>_Neo_Lab_12_05</t>
  </si>
  <si>
    <t>_Neo_Lab_12_06</t>
  </si>
  <si>
    <t>_Neo_Lab_12_07</t>
  </si>
  <si>
    <t>_Neo_Lab_12_08</t>
  </si>
  <si>
    <t>_Neo_Lab_12_09</t>
  </si>
  <si>
    <t>_Neo_Lab_12_10</t>
  </si>
  <si>
    <t>_Neo_Lab_12_11</t>
  </si>
  <si>
    <t>_Neo_Lab_12_12</t>
  </si>
  <si>
    <t>_Neo_Lab_12_13</t>
  </si>
  <si>
    <t>_Neo_Lab_12_14</t>
  </si>
  <si>
    <t>_Neo_Lab_12_15</t>
  </si>
  <si>
    <t>_Neo_Lab_12_16</t>
  </si>
  <si>
    <t>_Neo_Lab_12_17</t>
  </si>
  <si>
    <t>_Neo_Lab_12_18</t>
  </si>
  <si>
    <t>_Neo_Lab_12_19</t>
  </si>
  <si>
    <t>_Neo_Lab_12_20</t>
  </si>
  <si>
    <t>_Neo_Lab_12_21</t>
  </si>
  <si>
    <t>_Neo_Lab_12_22</t>
  </si>
  <si>
    <t>_Neo_Lab_12_23</t>
  </si>
  <si>
    <t>_Neo_Lab_12_24</t>
  </si>
  <si>
    <t>_Neo_Lab_12_25</t>
  </si>
  <si>
    <t>_Neo_Lab_12_26</t>
  </si>
  <si>
    <t>_Neo_Lab_12_27</t>
  </si>
  <si>
    <t>_Neo_Lab_12_28</t>
  </si>
  <si>
    <t>_Neo_Lab_12_29</t>
  </si>
  <si>
    <t>_Neo_Lab_12_30</t>
  </si>
  <si>
    <t>_Neo_Lab_12_31</t>
  </si>
  <si>
    <t>_Neo_Lab_16_01</t>
  </si>
  <si>
    <t>_Neo_Lab_16_02</t>
  </si>
  <si>
    <t>_Neo_Lab_16_03</t>
  </si>
  <si>
    <t>_Neo_Lab_16_04</t>
  </si>
  <si>
    <t>_Neo_Lab_16_05</t>
  </si>
  <si>
    <t>_Neo_Lab_16_06</t>
  </si>
  <si>
    <t>_Neo_Lab_16_07</t>
  </si>
  <si>
    <t>_Neo_Lab_16_08</t>
  </si>
  <si>
    <t>_Neo_Lab_16_09</t>
  </si>
  <si>
    <t>_Neo_Lab_16_10</t>
  </si>
  <si>
    <t>_Neo_Lab_16_11</t>
  </si>
  <si>
    <t>_Neo_Lab_16_12</t>
  </si>
  <si>
    <t>_Neo_Lab_16_13</t>
  </si>
  <si>
    <t>_Neo_Lab_16_14</t>
  </si>
  <si>
    <t>_Neo_Lab_16_15</t>
  </si>
  <si>
    <t>_Neo_Lab_16_16</t>
  </si>
  <si>
    <t>_Neo_Lab_16_17</t>
  </si>
  <si>
    <t>_Neo_Lab_16_18</t>
  </si>
  <si>
    <t>_Neo_Lab_16_19</t>
  </si>
  <si>
    <t>_Neo_Lab_16_20</t>
  </si>
  <si>
    <t>_Neo_Lab_16_21</t>
  </si>
  <si>
    <t>_Neo_Lab_16_22</t>
  </si>
  <si>
    <t>_Neo_Lab_16_23</t>
  </si>
  <si>
    <t>_Neo_Lab_16_24</t>
  </si>
  <si>
    <t>_Neo_Lab_16_25</t>
  </si>
  <si>
    <t>_Neo_Lab_16_26</t>
  </si>
  <si>
    <t>_Neo_Lab_16_27</t>
  </si>
  <si>
    <t>_Neo_Lab_16_28</t>
  </si>
  <si>
    <t>_Neo_Lab_16_29</t>
  </si>
  <si>
    <t>_Neo_Lab_16_30</t>
  </si>
  <si>
    <t>_Neo_Lab_16_31</t>
  </si>
  <si>
    <t>_Neo_Lab_20_01</t>
  </si>
  <si>
    <t>_Neo_Lab_20_02</t>
  </si>
  <si>
    <t>_Neo_Lab_20_03</t>
  </si>
  <si>
    <t>_Neo_Lab_20_04</t>
  </si>
  <si>
    <t>_Neo_Lab_20_05</t>
  </si>
  <si>
    <t>_Neo_Lab_20_06</t>
  </si>
  <si>
    <t>_Neo_Lab_20_07</t>
  </si>
  <si>
    <t>_Neo_Lab_20_08</t>
  </si>
  <si>
    <t>_Neo_Lab_20_09</t>
  </si>
  <si>
    <t>_Neo_Lab_20_10</t>
  </si>
  <si>
    <t>_Neo_Lab_20_11</t>
  </si>
  <si>
    <t>_Neo_Lab_20_12</t>
  </si>
  <si>
    <t>_Neo_Lab_20_13</t>
  </si>
  <si>
    <t>_Neo_Lab_20_14</t>
  </si>
  <si>
    <t>_Neo_Lab_20_15</t>
  </si>
  <si>
    <t>_Neo_Lab_20_16</t>
  </si>
  <si>
    <t>_Neo_Lab_20_17</t>
  </si>
  <si>
    <t>_Neo_Lab_20_18</t>
  </si>
  <si>
    <t>_Neo_Lab_20_19</t>
  </si>
  <si>
    <t>_Neo_Lab_20_20</t>
  </si>
  <si>
    <t>_Neo_Lab_20_21</t>
  </si>
  <si>
    <t>_Neo_Lab_20_22</t>
  </si>
  <si>
    <t>_Neo_Lab_20_23</t>
  </si>
  <si>
    <t>_Neo_Lab_20_24</t>
  </si>
  <si>
    <t>_Neo_Lab_20_25</t>
  </si>
  <si>
    <t>_Neo_Lab_20_26</t>
  </si>
  <si>
    <t>_Neo_Lab_20_27</t>
  </si>
  <si>
    <t>_Neo_Lab_20_28</t>
  </si>
  <si>
    <t>_Neo_Lab_20_29</t>
  </si>
  <si>
    <t>_Neo_Lab_20_30</t>
  </si>
  <si>
    <t>_Neo_Lab_20_31</t>
  </si>
  <si>
    <t>_Neo_Lab_24_01</t>
  </si>
  <si>
    <t>_Neo_Lab_24_02</t>
  </si>
  <si>
    <t>_Neo_Lab_24_03</t>
  </si>
  <si>
    <t>_Neo_Lab_24_04</t>
  </si>
  <si>
    <t>_Neo_Lab_24_05</t>
  </si>
  <si>
    <t>_Neo_Lab_24_06</t>
  </si>
  <si>
    <t>_Neo_Lab_24_07</t>
  </si>
  <si>
    <t>_Neo_Lab_24_08</t>
  </si>
  <si>
    <t>_Neo_Lab_24_09</t>
  </si>
  <si>
    <t>_Neo_Lab_24_10</t>
  </si>
  <si>
    <t>_Neo_Lab_24_11</t>
  </si>
  <si>
    <t>_Neo_Lab_24_12</t>
  </si>
  <si>
    <t>_Neo_Lab_24_13</t>
  </si>
  <si>
    <t>_Neo_Lab_24_14</t>
  </si>
  <si>
    <t>_Neo_Lab_24_15</t>
  </si>
  <si>
    <t>_Neo_Lab_24_16</t>
  </si>
  <si>
    <t>_Neo_Lab_24_17</t>
  </si>
  <si>
    <t>_Neo_Lab_24_18</t>
  </si>
  <si>
    <t>_Neo_Lab_24_19</t>
  </si>
  <si>
    <t>_Neo_Lab_24_20</t>
  </si>
  <si>
    <t>_Neo_Lab_24_21</t>
  </si>
  <si>
    <t>_Neo_Lab_24_22</t>
  </si>
  <si>
    <t>_Neo_Lab_24_23</t>
  </si>
  <si>
    <t>_Neo_Lab_24_24</t>
  </si>
  <si>
    <t>_Neo_Lab_24_25</t>
  </si>
  <si>
    <t>_Neo_Lab_24_26</t>
  </si>
  <si>
    <t>_Neo_Lab_24_27</t>
  </si>
  <si>
    <t>_Neo_Lab_24_28</t>
  </si>
  <si>
    <t>_Neo_Lab_24_29</t>
  </si>
  <si>
    <t>_Neo_Lab_24_30</t>
  </si>
  <si>
    <t>_Neo_Lab_24_31</t>
  </si>
  <si>
    <t>_Neo_Lab_Dag1_01</t>
  </si>
  <si>
    <t>_Neo_Lab_Dag1_02</t>
  </si>
  <si>
    <t>_Neo_Lab_Dag1_03</t>
  </si>
  <si>
    <t>_Neo_Lab_Dag1_04</t>
  </si>
  <si>
    <t>_Neo_Lab_Dag1_05</t>
  </si>
  <si>
    <t>_Neo_Lab_Dag1_06</t>
  </si>
  <si>
    <t>_Neo_Lab_Dag1_07</t>
  </si>
  <si>
    <t>_Neo_Lab_Dag1_08</t>
  </si>
  <si>
    <t>_Neo_Lab_Dag1_09</t>
  </si>
  <si>
    <t>_Neo_Lab_Dag1_10</t>
  </si>
  <si>
    <t>_Neo_Lab_Dag1_11</t>
  </si>
  <si>
    <t>_Neo_Lab_Dag1_12</t>
  </si>
  <si>
    <t>_Neo_Lab_Dag1_13</t>
  </si>
  <si>
    <t>_Neo_Lab_Dag1_14</t>
  </si>
  <si>
    <t>_Neo_Lab_Dag1_15</t>
  </si>
  <si>
    <t>_Neo_Lab_Dag1_16</t>
  </si>
  <si>
    <t>_Neo_Lab_Dag1_17</t>
  </si>
  <si>
    <t>_Neo_Lab_Dag1_18</t>
  </si>
  <si>
    <t>_Neo_Lab_Dag1_19</t>
  </si>
  <si>
    <t>_Neo_Lab_Dag1_20</t>
  </si>
  <si>
    <t>_Neo_Lab_Dag1_21</t>
  </si>
  <si>
    <t>_Neo_Lab_Dag1_22</t>
  </si>
  <si>
    <t>_Neo_Lab_Dag1_23</t>
  </si>
  <si>
    <t>_Neo_Lab_Dag1_24</t>
  </si>
  <si>
    <t>_Neo_Lab_Dag1_25</t>
  </si>
  <si>
    <t>_Neo_Lab_Dag1_26</t>
  </si>
  <si>
    <t>_Neo_Lab_Dag1_27</t>
  </si>
  <si>
    <t>_Neo_Lab_Dag1_28</t>
  </si>
  <si>
    <t>_Neo_Lab_Dag1_29</t>
  </si>
  <si>
    <t>_Neo_Lab_Dag1_30</t>
  </si>
  <si>
    <t>_Neo_Lab_Dag1_31</t>
  </si>
  <si>
    <t>_Neo_Lab_Dag2_01</t>
  </si>
  <si>
    <t>_Neo_Lab_Dag2_02</t>
  </si>
  <si>
    <t>_Neo_Lab_Dag2_03</t>
  </si>
  <si>
    <t>_Neo_Lab_Dag2_04</t>
  </si>
  <si>
    <t>_Neo_Lab_Dag2_05</t>
  </si>
  <si>
    <t>_Neo_Lab_Dag2_06</t>
  </si>
  <si>
    <t>_Neo_Lab_Dag2_07</t>
  </si>
  <si>
    <t>_Neo_Lab_Dag2_08</t>
  </si>
  <si>
    <t>_Neo_Lab_Dag2_09</t>
  </si>
  <si>
    <t>_Neo_Lab_Dag2_10</t>
  </si>
  <si>
    <t>_Neo_Lab_Dag2_11</t>
  </si>
  <si>
    <t>_Neo_Lab_Dag2_12</t>
  </si>
  <si>
    <t>_Neo_Lab_Dag2_13</t>
  </si>
  <si>
    <t>_Neo_Lab_Dag2_14</t>
  </si>
  <si>
    <t>_Neo_Lab_Dag2_15</t>
  </si>
  <si>
    <t>_Neo_Lab_Dag2_16</t>
  </si>
  <si>
    <t>_Neo_Lab_Dag2_17</t>
  </si>
  <si>
    <t>_Neo_Lab_Dag2_18</t>
  </si>
  <si>
    <t>_Neo_Lab_Dag2_19</t>
  </si>
  <si>
    <t>_Neo_Lab_Dag2_20</t>
  </si>
  <si>
    <t>_Neo_Lab_Dag2_21</t>
  </si>
  <si>
    <t>_Neo_Lab_Dag2_22</t>
  </si>
  <si>
    <t>_Neo_Lab_Dag2_23</t>
  </si>
  <si>
    <t>_Neo_Lab_Dag2_24</t>
  </si>
  <si>
    <t>_Neo_Lab_Dag2_25</t>
  </si>
  <si>
    <t>_Neo_Lab_Dag2_26</t>
  </si>
  <si>
    <t>_Neo_Lab_Dag2_27</t>
  </si>
  <si>
    <t>_Neo_Lab_Dag2_28</t>
  </si>
  <si>
    <t>_Neo_Lab_Dag2_29</t>
  </si>
  <si>
    <t>_Neo_Lab_Dag2_30</t>
  </si>
  <si>
    <t>_Neo_Lab_Dag2_31</t>
  </si>
  <si>
    <t>_Neo_Lab_Dag3_01</t>
  </si>
  <si>
    <t>_Neo_Lab_Dag3_02</t>
  </si>
  <si>
    <t>_Neo_Lab_Dag3_03</t>
  </si>
  <si>
    <t>_Neo_Lab_Dag3_04</t>
  </si>
  <si>
    <t>_Neo_Lab_Dag3_05</t>
  </si>
  <si>
    <t>_Neo_Lab_Dag3_06</t>
  </si>
  <si>
    <t>_Neo_Lab_Dag3_07</t>
  </si>
  <si>
    <t>_Neo_Lab_Dag3_08</t>
  </si>
  <si>
    <t>_Neo_Lab_Dag3_09</t>
  </si>
  <si>
    <t>_Neo_Lab_Dag3_10</t>
  </si>
  <si>
    <t>_Neo_Lab_Dag3_11</t>
  </si>
  <si>
    <t>_Neo_Lab_Dag3_12</t>
  </si>
  <si>
    <t>_Neo_Lab_Dag3_13</t>
  </si>
  <si>
    <t>_Neo_Lab_Dag3_14</t>
  </si>
  <si>
    <t>_Neo_Lab_Dag3_15</t>
  </si>
  <si>
    <t>_Neo_Lab_Dag3_16</t>
  </si>
  <si>
    <t>_Neo_Lab_Dag3_17</t>
  </si>
  <si>
    <t>_Neo_Lab_Dag3_18</t>
  </si>
  <si>
    <t>_Neo_Lab_Dag3_19</t>
  </si>
  <si>
    <t>_Neo_Lab_Dag3_20</t>
  </si>
  <si>
    <t>_Neo_Lab_Dag3_21</t>
  </si>
  <si>
    <t>_Neo_Lab_Dag3_22</t>
  </si>
  <si>
    <t>_Neo_Lab_Dag3_23</t>
  </si>
  <si>
    <t>_Neo_Lab_Dag3_24</t>
  </si>
  <si>
    <t>_Neo_Lab_Dag3_25</t>
  </si>
  <si>
    <t>_Neo_Lab_Dag3_26</t>
  </si>
  <si>
    <t>_Neo_Lab_Dag3_27</t>
  </si>
  <si>
    <t>_Neo_Lab_Dag3_28</t>
  </si>
  <si>
    <t>_Neo_Lab_Dag3_29</t>
  </si>
  <si>
    <t>_Neo_Lab_Dag3_30</t>
  </si>
  <si>
    <t>_Neo_Lab_Dag3_31</t>
  </si>
  <si>
    <t>_Neo_Lab_Opm</t>
  </si>
  <si>
    <t>_Neo_Lab_Opn_01</t>
  </si>
  <si>
    <t>_Neo_Lab_Opn_02</t>
  </si>
  <si>
    <t>_Neo_Lab_Opn_03</t>
  </si>
  <si>
    <t>_Neo_Lab_Opn_04</t>
  </si>
  <si>
    <t>_Neo_Lab_Opn_05</t>
  </si>
  <si>
    <t>_Neo_Lab_Opn_06</t>
  </si>
  <si>
    <t>_Neo_Lab_Opn_07</t>
  </si>
  <si>
    <t>_Neo_Lab_Opn_08</t>
  </si>
  <si>
    <t>_Neo_Lab_Opn_09</t>
  </si>
  <si>
    <t>_Neo_Lab_Opn_10</t>
  </si>
  <si>
    <t>_Neo_Lab_Opn_11</t>
  </si>
  <si>
    <t>_Neo_Lab_Opn_12</t>
  </si>
  <si>
    <t>_Neo_Lab_Opn_13</t>
  </si>
  <si>
    <t>_Neo_Lab_Opn_14</t>
  </si>
  <si>
    <t>_Neo_Lab_Opn_15</t>
  </si>
  <si>
    <t>_Neo_Lab_Opn_16</t>
  </si>
  <si>
    <t>_Neo_Lab_Opn_17</t>
  </si>
  <si>
    <t>_Neo_Lab_Opn_18</t>
  </si>
  <si>
    <t>_Neo_Lab_Opn_19</t>
  </si>
  <si>
    <t>_Neo_Lab_Opn_20</t>
  </si>
  <si>
    <t>_Neo_Lab_Opn_21</t>
  </si>
  <si>
    <t>_Neo_Lab_Opn_22</t>
  </si>
  <si>
    <t>_Neo_Lab_Opn_23</t>
  </si>
  <si>
    <t>_Neo_Lab_Opn_24</t>
  </si>
  <si>
    <t>_Neo_Lab_Opn_25</t>
  </si>
  <si>
    <t>_Neo_Lab_Opn_26</t>
  </si>
  <si>
    <t>_Neo_Lab_Opn_27</t>
  </si>
  <si>
    <t>_Neo_Lab_Opn_28</t>
  </si>
  <si>
    <t>_Neo_Lab_Opn_29</t>
  </si>
  <si>
    <t>_Neo_Lab_Opn_30</t>
  </si>
  <si>
    <t>_Neo_Lab_Opn_31</t>
  </si>
  <si>
    <t>_Neo_Lab_Opn_32</t>
  </si>
  <si>
    <t>_Ped_AfsprD_Verliezen</t>
  </si>
  <si>
    <t>_Ped_Ent_Freq_1</t>
  </si>
  <si>
    <t>_Ped_Ent_Freq_2</t>
  </si>
  <si>
    <t>_Ped_Ent_Freq_3</t>
  </si>
  <si>
    <t>_Ped_Ent_Freq_4</t>
  </si>
  <si>
    <t>_Ped_Ent_Keuze_1</t>
  </si>
  <si>
    <t>_Ped_Ent_Keuze_2</t>
  </si>
  <si>
    <t>_Ped_Ent_Keuze_3</t>
  </si>
  <si>
    <t>_Ped_Ent_Keuze_4</t>
  </si>
  <si>
    <t>_Ped_Ent_Opm</t>
  </si>
  <si>
    <t>_Ped_Ent_Sonde</t>
  </si>
  <si>
    <t>_Ped_Ent_Speciale_01</t>
  </si>
  <si>
    <t>_Ped_Ent_Speciale_02</t>
  </si>
  <si>
    <t>_Ped_Ent_Speciale_03</t>
  </si>
  <si>
    <t>_Ped_Ent_Speciale_04</t>
  </si>
  <si>
    <t>_Ped_Ent_Speciale_05</t>
  </si>
  <si>
    <t>_Ped_Ent_Speciale_06</t>
  </si>
  <si>
    <t>_Ped_Ent_Speciale_07</t>
  </si>
  <si>
    <t>_Ped_Ent_Speciale_08</t>
  </si>
  <si>
    <t>_Ped_Ent_Speciale_09</t>
  </si>
  <si>
    <t>_Ped_Ent_Speciale_10</t>
  </si>
  <si>
    <t>_Ped_Ent_Speciale_11</t>
  </si>
  <si>
    <t>_Ped_Ent_Speciale_12</t>
  </si>
  <si>
    <t>_Ped_Ent_Vol_1</t>
  </si>
  <si>
    <t>_Ped_Ent_Vol_2</t>
  </si>
  <si>
    <t>_Ped_Ent_Vol_3</t>
  </si>
  <si>
    <t>_Ped_Ent_Vol_4</t>
  </si>
  <si>
    <t>_Ped_IVLijn_Opm</t>
  </si>
  <si>
    <t>_Ped_Lab_14_01</t>
  </si>
  <si>
    <t>_Ped_Lab_14_02</t>
  </si>
  <si>
    <t>_Ped_Lab_14_03</t>
  </si>
  <si>
    <t>_Ped_Lab_14_04</t>
  </si>
  <si>
    <t>_Ped_Lab_14_05</t>
  </si>
  <si>
    <t>_Ped_Lab_14_06</t>
  </si>
  <si>
    <t>_Ped_Lab_14_07</t>
  </si>
  <si>
    <t>_Ped_Lab_14_08</t>
  </si>
  <si>
    <t>_Ped_Lab_14_09</t>
  </si>
  <si>
    <t>_Ped_Lab_14_10</t>
  </si>
  <si>
    <t>_Ped_Lab_14_11</t>
  </si>
  <si>
    <t>_Ped_Lab_14_12</t>
  </si>
  <si>
    <t>_Ped_Lab_14_13</t>
  </si>
  <si>
    <t>_Ped_Lab_14_14</t>
  </si>
  <si>
    <t>_Ped_Lab_14_15</t>
  </si>
  <si>
    <t>_Ped_Lab_14_16</t>
  </si>
  <si>
    <t>_Ped_Lab_14_17</t>
  </si>
  <si>
    <t>_Ped_Lab_14_18</t>
  </si>
  <si>
    <t>_Ped_Lab_14_19</t>
  </si>
  <si>
    <t>_Ped_Lab_14_20</t>
  </si>
  <si>
    <t>_Ped_Lab_14_21</t>
  </si>
  <si>
    <t>_Ped_Lab_14_22</t>
  </si>
  <si>
    <t>_Ped_Lab_14_23</t>
  </si>
  <si>
    <t>_Ped_Lab_14_24</t>
  </si>
  <si>
    <t>_Ped_Lab_14_25</t>
  </si>
  <si>
    <t>_Ped_Lab_14_26</t>
  </si>
  <si>
    <t>_Ped_Lab_14_27</t>
  </si>
  <si>
    <t>_Ped_Lab_14_28</t>
  </si>
  <si>
    <t>_Ped_Lab_14_29</t>
  </si>
  <si>
    <t>_Ped_Lab_14_30</t>
  </si>
  <si>
    <t>_Ped_Lab_14_31</t>
  </si>
  <si>
    <t>_Ped_Lab_19_01</t>
  </si>
  <si>
    <t>_Ped_Lab_19_02</t>
  </si>
  <si>
    <t>_Ped_Lab_19_03</t>
  </si>
  <si>
    <t>_Ped_Lab_19_04</t>
  </si>
  <si>
    <t>_Ped_Lab_19_05</t>
  </si>
  <si>
    <t>_Ped_Lab_19_06</t>
  </si>
  <si>
    <t>_Ped_Lab_19_07</t>
  </si>
  <si>
    <t>_Ped_Lab_19_08</t>
  </si>
  <si>
    <t>_Ped_Lab_19_09</t>
  </si>
  <si>
    <t>_Ped_Lab_19_10</t>
  </si>
  <si>
    <t>_Ped_Lab_19_11</t>
  </si>
  <si>
    <t>_Ped_Lab_19_12</t>
  </si>
  <si>
    <t>_Ped_Lab_19_13</t>
  </si>
  <si>
    <t>_Ped_Lab_19_14</t>
  </si>
  <si>
    <t>_Ped_Lab_19_15</t>
  </si>
  <si>
    <t>_Ped_Lab_19_16</t>
  </si>
  <si>
    <t>_Ped_Lab_19_17</t>
  </si>
  <si>
    <t>_Ped_Lab_19_18</t>
  </si>
  <si>
    <t>_Ped_Lab_19_19</t>
  </si>
  <si>
    <t>_Ped_Lab_19_20</t>
  </si>
  <si>
    <t>_Ped_Lab_19_21</t>
  </si>
  <si>
    <t>_Ped_Lab_19_22</t>
  </si>
  <si>
    <t>_Ped_Lab_19_23</t>
  </si>
  <si>
    <t>_Ped_Lab_19_24</t>
  </si>
  <si>
    <t>_Ped_Lab_19_25</t>
  </si>
  <si>
    <t>_Ped_Lab_19_26</t>
  </si>
  <si>
    <t>_Ped_Lab_19_27</t>
  </si>
  <si>
    <t>_Ped_Lab_19_28</t>
  </si>
  <si>
    <t>_Ped_Lab_19_29</t>
  </si>
  <si>
    <t>_Ped_Lab_19_30</t>
  </si>
  <si>
    <t>_Ped_Lab_19_31</t>
  </si>
  <si>
    <t>_Ped_Lab_19_32</t>
  </si>
  <si>
    <t>_Ped_Lab_24_01</t>
  </si>
  <si>
    <t>_Ped_Lab_24_02</t>
  </si>
  <si>
    <t>_Ped_Lab_24_03</t>
  </si>
  <si>
    <t>_Ped_Lab_24_04</t>
  </si>
  <si>
    <t>_Ped_Lab_24_05</t>
  </si>
  <si>
    <t>_Ped_Lab_24_06</t>
  </si>
  <si>
    <t>_Ped_Lab_24_07</t>
  </si>
  <si>
    <t>_Ped_Lab_24_08</t>
  </si>
  <si>
    <t>_Ped_Lab_24_09</t>
  </si>
  <si>
    <t>_Ped_Lab_24_10</t>
  </si>
  <si>
    <t>_Ped_Lab_24_11</t>
  </si>
  <si>
    <t>_Ped_Lab_24_12</t>
  </si>
  <si>
    <t>_Ped_Lab_24_13</t>
  </si>
  <si>
    <t>_Ped_Lab_24_14</t>
  </si>
  <si>
    <t>_Ped_Lab_24_15</t>
  </si>
  <si>
    <t>_Ped_Lab_24_16</t>
  </si>
  <si>
    <t>_Ped_Lab_24_17</t>
  </si>
  <si>
    <t>_Ped_Lab_24_18</t>
  </si>
  <si>
    <t>_Ped_Lab_24_19</t>
  </si>
  <si>
    <t>_Ped_Lab_24_20</t>
  </si>
  <si>
    <t>_Ped_Lab_24_21</t>
  </si>
  <si>
    <t>_Ped_Lab_24_22</t>
  </si>
  <si>
    <t>_Ped_Lab_24_23</t>
  </si>
  <si>
    <t>_Ped_Lab_24_24</t>
  </si>
  <si>
    <t>_Ped_Lab_24_25</t>
  </si>
  <si>
    <t>_Ped_Lab_24_26</t>
  </si>
  <si>
    <t>_Ped_Lab_24_27</t>
  </si>
  <si>
    <t>_Ped_Lab_24_28</t>
  </si>
  <si>
    <t>_Ped_Lab_24_29</t>
  </si>
  <si>
    <t>_Ped_Lab_24_30</t>
  </si>
  <si>
    <t>_Ped_Lab_24_31</t>
  </si>
  <si>
    <t>_Ped_Lab_Dag1_01</t>
  </si>
  <si>
    <t>_Ped_Lab_Dag1_02</t>
  </si>
  <si>
    <t>_Ped_Lab_Dag1_03</t>
  </si>
  <si>
    <t>_Ped_Lab_Dag1_04</t>
  </si>
  <si>
    <t>_Ped_Lab_Dag1_05</t>
  </si>
  <si>
    <t>_Ped_Lab_Dag1_06</t>
  </si>
  <si>
    <t>_Ped_Lab_Dag1_07</t>
  </si>
  <si>
    <t>_Ped_Lab_Dag1_08</t>
  </si>
  <si>
    <t>_Ped_Lab_Dag1_09</t>
  </si>
  <si>
    <t>_Ped_Lab_Dag1_10</t>
  </si>
  <si>
    <t>_Ped_Lab_Dag1_11</t>
  </si>
  <si>
    <t>_Ped_Lab_Dag1_12</t>
  </si>
  <si>
    <t>_Ped_Lab_Dag1_13</t>
  </si>
  <si>
    <t>_Ped_Lab_Dag1_14</t>
  </si>
  <si>
    <t>_Ped_Lab_Dag1_15</t>
  </si>
  <si>
    <t>_Ped_Lab_Dag1_16</t>
  </si>
  <si>
    <t>_Ped_Lab_Dag1_17</t>
  </si>
  <si>
    <t>_Ped_Lab_Dag1_18</t>
  </si>
  <si>
    <t>_Ped_Lab_Dag1_19</t>
  </si>
  <si>
    <t>_Ped_Lab_Dag1_20</t>
  </si>
  <si>
    <t>_Ped_Lab_Dag1_21</t>
  </si>
  <si>
    <t>_Ped_Lab_Dag1_22</t>
  </si>
  <si>
    <t>_Ped_Lab_Dag1_23</t>
  </si>
  <si>
    <t>_Ped_Lab_Dag1_24</t>
  </si>
  <si>
    <t>_Ped_Lab_Dag1_25</t>
  </si>
  <si>
    <t>_Ped_Lab_Dag1_26</t>
  </si>
  <si>
    <t>_Ped_Lab_Dag1_27</t>
  </si>
  <si>
    <t>_Ped_Lab_Dag1_28</t>
  </si>
  <si>
    <t>_Ped_Lab_Dag1_29</t>
  </si>
  <si>
    <t>_Ped_Lab_Dag1_30</t>
  </si>
  <si>
    <t>_Ped_Lab_Dag1_31</t>
  </si>
  <si>
    <t>_Ped_Lab_Opm</t>
  </si>
  <si>
    <t>_Ped_Lab_Opn_01</t>
  </si>
  <si>
    <t>_Ped_Lab_Opn_02</t>
  </si>
  <si>
    <t>_Ped_Lab_Opn_03</t>
  </si>
  <si>
    <t>_Ped_Lab_Opn_04</t>
  </si>
  <si>
    <t>_Ped_Lab_Opn_05</t>
  </si>
  <si>
    <t>_Ped_Lab_Opn_06</t>
  </si>
  <si>
    <t>_Ped_Lab_Opn_07</t>
  </si>
  <si>
    <t>_Ped_Lab_Opn_08</t>
  </si>
  <si>
    <t>_Ped_Lab_Opn_09</t>
  </si>
  <si>
    <t>_Ped_Lab_Opn_10</t>
  </si>
  <si>
    <t>_Ped_Lab_Opn_11</t>
  </si>
  <si>
    <t>_Ped_Lab_Opn_12</t>
  </si>
  <si>
    <t>_Ped_Lab_Opn_13</t>
  </si>
  <si>
    <t>_Ped_Lab_Opn_14</t>
  </si>
  <si>
    <t>_Ped_Lab_Opn_15</t>
  </si>
  <si>
    <t>_Ped_Lab_Opn_16</t>
  </si>
  <si>
    <t>_Ped_Lab_Opn_17</t>
  </si>
  <si>
    <t>_Ped_Lab_Opn_18</t>
  </si>
  <si>
    <t>_Ped_Lab_Opn_19</t>
  </si>
  <si>
    <t>_Ped_Lab_Opn_20</t>
  </si>
  <si>
    <t>_Ped_Lab_Opn_21</t>
  </si>
  <si>
    <t>_Ped_Lab_Opn_22</t>
  </si>
  <si>
    <t>_Ped_Lab_Opn_23</t>
  </si>
  <si>
    <t>_Ped_Lab_Opn_24</t>
  </si>
  <si>
    <t>_Ped_Lab_Opn_25</t>
  </si>
  <si>
    <t>_Ped_Lab_Opn_26</t>
  </si>
  <si>
    <t>_Ped_Lab_Opn_27</t>
  </si>
  <si>
    <t>_Ped_Lab_Opn_28</t>
  </si>
  <si>
    <t>_Ped_Lab_Opn_29</t>
  </si>
  <si>
    <t>_Ped_Lab_Opn_30</t>
  </si>
  <si>
    <t>_Ped_Lab_Opn_31</t>
  </si>
  <si>
    <t>_Ped_Lab_Opn_32</t>
  </si>
  <si>
    <t>_Ped_MedIV_Keuze_01</t>
  </si>
  <si>
    <t>_Ped_MedIV_Keuze_02</t>
  </si>
  <si>
    <t>_Ped_MedIV_Keuze_03</t>
  </si>
  <si>
    <t>_Ped_MedIV_Keuze_04</t>
  </si>
  <si>
    <t>_Ped_MedIV_Keuze_05</t>
  </si>
  <si>
    <t>_Ped_MedIV_Keuze_06</t>
  </si>
  <si>
    <t>_Ped_MedIV_Keuze_07</t>
  </si>
  <si>
    <t>_Ped_MedIV_Keuze_08</t>
  </si>
  <si>
    <t>_Ped_MedIV_Keuze_09</t>
  </si>
  <si>
    <t>_Ped_MedIV_Keuze_10</t>
  </si>
  <si>
    <t>_Ped_MedIV_Keuze_11</t>
  </si>
  <si>
    <t>_Ped_MedIV_Keuze_12</t>
  </si>
  <si>
    <t>_Ped_MedIV_Keuze_13</t>
  </si>
  <si>
    <t>_Ped_MedIV_Keuze_14</t>
  </si>
  <si>
    <t>_Ped_MedIV_Keuze_15</t>
  </si>
  <si>
    <t>_Ped_MedIV_OplVlst_01</t>
  </si>
  <si>
    <t>_Ped_MedIV_OplVlst_02</t>
  </si>
  <si>
    <t>_Ped_MedIV_OplVlst_03</t>
  </si>
  <si>
    <t>_Ped_MedIV_OplVlst_04</t>
  </si>
  <si>
    <t>_Ped_MedIV_OplVlst_05</t>
  </si>
  <si>
    <t>_Ped_MedIV_OplVlst_06</t>
  </si>
  <si>
    <t>_Ped_MedIV_OplVlst_07</t>
  </si>
  <si>
    <t>_Ped_MedIV_OplVlst_08</t>
  </si>
  <si>
    <t>_Ped_MedIV_OplVlst_09</t>
  </si>
  <si>
    <t>_Ped_MedIV_OplVlst_10</t>
  </si>
  <si>
    <t>_Ped_MedIV_OplVlst_11</t>
  </si>
  <si>
    <t>_Ped_MedIV_OplVlst_12</t>
  </si>
  <si>
    <t>_Ped_MedIV_OplVlst_13</t>
  </si>
  <si>
    <t>_Ped_MedIV_OplVlst_14</t>
  </si>
  <si>
    <t>_Ped_MedIV_OplVlst_15</t>
  </si>
  <si>
    <t>_Ped_MedIV_OplVol_01</t>
  </si>
  <si>
    <t>_Ped_MedIV_OplVol_02</t>
  </si>
  <si>
    <t>_Ped_MedIV_OplVol_03</t>
  </si>
  <si>
    <t>_Ped_MedIV_OplVol_04</t>
  </si>
  <si>
    <t>_Ped_MedIV_OplVol_05</t>
  </si>
  <si>
    <t>_Ped_MedIV_OplVol_06</t>
  </si>
  <si>
    <t>_Ped_MedIV_OplVol_07</t>
  </si>
  <si>
    <t>_Ped_MedIV_OplVol_08</t>
  </si>
  <si>
    <t>_Ped_MedIV_OplVol_09</t>
  </si>
  <si>
    <t>_Ped_MedIV_OplVol_10</t>
  </si>
  <si>
    <t>_Ped_MedIV_OplVol_11</t>
  </si>
  <si>
    <t>_Ped_MedIV_OplVol_12</t>
  </si>
  <si>
    <t>_Ped_MedIV_OplVol_13</t>
  </si>
  <si>
    <t>_Ped_MedIV_OplVol_14</t>
  </si>
  <si>
    <t>_Ped_MedIV_OplVol_15</t>
  </si>
  <si>
    <t>_Ped_MedIV_Opm</t>
  </si>
  <si>
    <t>_Ped_MedIV_Stand_01</t>
  </si>
  <si>
    <t>_Ped_MedIV_Stand_02</t>
  </si>
  <si>
    <t>_Ped_MedIV_Stand_03</t>
  </si>
  <si>
    <t>_Ped_MedIV_Stand_04</t>
  </si>
  <si>
    <t>_Ped_MedIV_Stand_05</t>
  </si>
  <si>
    <t>_Ped_MedIV_Stand_06</t>
  </si>
  <si>
    <t>_Ped_MedIV_Stand_07</t>
  </si>
  <si>
    <t>_Ped_MedIV_Stand_08</t>
  </si>
  <si>
    <t>_Ped_MedIV_Stand_09</t>
  </si>
  <si>
    <t>_Ped_MedIV_Stand_10</t>
  </si>
  <si>
    <t>_Ped_MedIV_Stand_11</t>
  </si>
  <si>
    <t>_Ped_MedIV_Stand_12</t>
  </si>
  <si>
    <t>_Ped_MedIV_Stand_13</t>
  </si>
  <si>
    <t>_Ped_MedIV_Stand_14</t>
  </si>
  <si>
    <t>_Ped_MedIV_Stand_15</t>
  </si>
  <si>
    <t>_Ped_MedIV_Sterkte_01</t>
  </si>
  <si>
    <t>_Ped_MedIV_Sterkte_02</t>
  </si>
  <si>
    <t>_Ped_MedIV_Sterkte_03</t>
  </si>
  <si>
    <t>_Ped_MedIV_Sterkte_04</t>
  </si>
  <si>
    <t>_Ped_MedIV_Sterkte_05</t>
  </si>
  <si>
    <t>_Ped_MedIV_Sterkte_06</t>
  </si>
  <si>
    <t>_Ped_MedIV_Sterkte_07</t>
  </si>
  <si>
    <t>_Ped_MedIV_Sterkte_08</t>
  </si>
  <si>
    <t>_Ped_MedIV_Sterkte_09</t>
  </si>
  <si>
    <t>_Ped_MedIV_Sterkte_10</t>
  </si>
  <si>
    <t>_Ped_MedIV_Sterkte_11</t>
  </si>
  <si>
    <t>_Ped_MedIV_Sterkte_12</t>
  </si>
  <si>
    <t>_Ped_MedIV_Sterkte_13</t>
  </si>
  <si>
    <t>_Ped_MedIV_Sterkte_14</t>
  </si>
  <si>
    <t>_Ped_MedIV_Sterkte_15</t>
  </si>
  <si>
    <t>_Ped_PM_Actief</t>
  </si>
  <si>
    <t>_Ped_PM_AO</t>
  </si>
  <si>
    <t>_Ped_PM_AS</t>
  </si>
  <si>
    <t>_Ped_PM_AV</t>
  </si>
  <si>
    <t>_Ped_PM_Freq</t>
  </si>
  <si>
    <t>_Ped_PM_Mod</t>
  </si>
  <si>
    <t>_Ped_PM_VO</t>
  </si>
  <si>
    <t>_Ped_PM_VS</t>
  </si>
  <si>
    <t>_Ped_TPN_CaCl</t>
  </si>
  <si>
    <t>_Ped_TPN_CaGlucVol</t>
  </si>
  <si>
    <t>_Ped_TPN_KCl1</t>
  </si>
  <si>
    <t>_Ped_TPN_KCl2</t>
  </si>
  <si>
    <t>_Ped_TPN_KClVol1</t>
  </si>
  <si>
    <t>_Ped_TPN_KClVol2</t>
  </si>
  <si>
    <t>_Ped_TPN_Keuze</t>
  </si>
  <si>
    <t>_Ped_TPN_KNaFosf</t>
  </si>
  <si>
    <t>_Ped_TPN_KNaFosfVol</t>
  </si>
  <si>
    <t>_Ped_TPN_LipidStand</t>
  </si>
  <si>
    <t>_Ped_TPN_MgCl</t>
  </si>
  <si>
    <t>_Ped_TPN_MgClVol</t>
  </si>
  <si>
    <t>_Ped_TPN_NaCl1</t>
  </si>
  <si>
    <t>_Ped_TPN_NaCl2</t>
  </si>
  <si>
    <t>_Ped_TPN_NaClVol1</t>
  </si>
  <si>
    <t>_Ped_TPN_NaClVol2</t>
  </si>
  <si>
    <t>_Ped_TPN_Opm</t>
  </si>
  <si>
    <t>_Ped_TPN_PediTrace</t>
  </si>
  <si>
    <t>_Ped_TPN_SMOF</t>
  </si>
  <si>
    <t>_Ped_TPN_Soluvit</t>
  </si>
  <si>
    <t>_Ped_TPN_SoluvitVol</t>
  </si>
  <si>
    <t>_Ped_TPN_SST1Keuze</t>
  </si>
  <si>
    <t>_Ped_TPN_SST1Stand</t>
  </si>
  <si>
    <t>_Ped_TPN_SST2Keuze</t>
  </si>
  <si>
    <t>_Ped_TPN_SST2Stand</t>
  </si>
  <si>
    <t>_Ped_TPN_VitIntra</t>
  </si>
  <si>
    <t>_Ped_TPN_VitIntraVol</t>
  </si>
  <si>
    <t>_Ped_TPN_Vol</t>
  </si>
  <si>
    <t>tbl_Neo_MedIV</t>
  </si>
  <si>
    <t>_Pat_OpnDatum</t>
  </si>
  <si>
    <t>_Pat_Dagen</t>
  </si>
  <si>
    <t>_Pat_Weken</t>
  </si>
  <si>
    <t>_Pat_Gewicht</t>
  </si>
  <si>
    <t>_Pat_Lengte</t>
  </si>
  <si>
    <t>Ped</t>
  </si>
  <si>
    <t>Unit 1.1</t>
  </si>
  <si>
    <t>Unit 1.2</t>
  </si>
  <si>
    <t>Unit 1.3</t>
  </si>
  <si>
    <t>Unit 1.4</t>
  </si>
  <si>
    <t>Unit 1.5</t>
  </si>
  <si>
    <t>Unit 1.6</t>
  </si>
  <si>
    <t>Unit 1.7</t>
  </si>
  <si>
    <t>Unit 1.8</t>
  </si>
  <si>
    <t>Unit 1.9</t>
  </si>
  <si>
    <t>Unit 2.1</t>
  </si>
  <si>
    <t>Unit 2.2</t>
  </si>
  <si>
    <t>Unit 2.3</t>
  </si>
  <si>
    <t>Unit 2.4</t>
  </si>
  <si>
    <t>Unit 2.5</t>
  </si>
  <si>
    <t>Unit 2.6</t>
  </si>
  <si>
    <t>Unit 2.7</t>
  </si>
  <si>
    <t>Unit 2.8</t>
  </si>
  <si>
    <t>Unit 2.9</t>
  </si>
  <si>
    <t>H2.01.01</t>
  </si>
  <si>
    <t>H2.01.02</t>
  </si>
  <si>
    <t>H2.01.03</t>
  </si>
  <si>
    <t>H2.01.04</t>
  </si>
  <si>
    <t>H2.01.05</t>
  </si>
  <si>
    <t>H2.01.06</t>
  </si>
  <si>
    <t>H2.01.07</t>
  </si>
  <si>
    <t>H2.01.08</t>
  </si>
  <si>
    <t>H2.02.01</t>
  </si>
  <si>
    <t>H2.02.02</t>
  </si>
  <si>
    <t>H2.02.03</t>
  </si>
  <si>
    <t>H2.02.04</t>
  </si>
  <si>
    <t>H2.02.05</t>
  </si>
  <si>
    <t>H2.02.06</t>
  </si>
  <si>
    <t>H2.02.07</t>
  </si>
  <si>
    <t>H2.02.08</t>
  </si>
  <si>
    <t>H2.02.bo</t>
  </si>
  <si>
    <t>H2.03.01</t>
  </si>
  <si>
    <t>H2.03.02</t>
  </si>
  <si>
    <t>H2.03.03</t>
  </si>
  <si>
    <t>H2.03.04</t>
  </si>
  <si>
    <t>H2.03.05</t>
  </si>
  <si>
    <t>H2.03.06</t>
  </si>
  <si>
    <t>H2.03.07</t>
  </si>
  <si>
    <t>H2.03.08</t>
  </si>
  <si>
    <t>H2.03.bo</t>
  </si>
  <si>
    <t>H2.04.01</t>
  </si>
  <si>
    <t>H2.04.02</t>
  </si>
  <si>
    <t>H2.04.03</t>
  </si>
  <si>
    <t>H2.04.04</t>
  </si>
  <si>
    <t>H2.04.05</t>
  </si>
  <si>
    <t>H2.04.06</t>
  </si>
  <si>
    <t>H2.04.07</t>
  </si>
  <si>
    <t>H2.04.08</t>
  </si>
  <si>
    <t>H3.01.01</t>
  </si>
  <si>
    <t>H3.01.02</t>
  </si>
  <si>
    <t>H3.01.03</t>
  </si>
  <si>
    <t>H3.01.04</t>
  </si>
  <si>
    <t>H3.01.bo</t>
  </si>
  <si>
    <t>H3.02.01</t>
  </si>
  <si>
    <t>H3.02.02</t>
  </si>
  <si>
    <t>H3.02.03</t>
  </si>
  <si>
    <t>H3.02.04</t>
  </si>
  <si>
    <t>H3.02.05</t>
  </si>
  <si>
    <t>H3.02.06</t>
  </si>
  <si>
    <t>H3.02.07</t>
  </si>
  <si>
    <t>H3.03.01</t>
  </si>
  <si>
    <t>H3.03.02</t>
  </si>
  <si>
    <t>H3.03.03</t>
  </si>
  <si>
    <t>H3.03.04</t>
  </si>
  <si>
    <t>H3.03.05</t>
  </si>
  <si>
    <t>H3.03.06</t>
  </si>
  <si>
    <t>H3.03.07</t>
  </si>
  <si>
    <t>GlobSettings!$E$2:$E$54</t>
  </si>
  <si>
    <t>tbl_Neo_Beds</t>
  </si>
  <si>
    <t>GlobSettings!$D$2:$D$19</t>
  </si>
  <si>
    <t>tbl_Ped_Beds</t>
  </si>
  <si>
    <t>F:=CONCATENATE(,IF(B7,A7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t>
  </si>
  <si>
    <t>F:=CONCATENATE(IF(B34,CONCATENATE(A34,"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t>
  </si>
  <si>
    <t>F:=CONCATENATE(IF(F7,E7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(",_Neo_AfsprB_WondkweekTekst,") - "),""))</t>
  </si>
  <si>
    <t>F:=CONCATENATE(,IF(B22,CONCATENATE(A22,"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t>
  </si>
  <si>
    <t>F:=CONCATENATE(,IF(J7,I7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t>
  </si>
  <si>
    <t>F:=IF(M6&lt;&gt;"",M6/24,"")</t>
  </si>
  <si>
    <t>F:=IF(M17&lt;&gt;"",IF(ROUND((M17+N17/100)/24,1)&gt;0,ROUND((M17+N17/100)/24,1),""),"")</t>
  </si>
  <si>
    <t>F:=ROUND(IF(SUM(M8:N16)&gt;0,(SUM(M8:M16)+SUM(N8:N16)/100-M17)*100,""),0)</t>
  </si>
  <si>
    <t>F:=IF(SUM(M8:N16)&gt;0,TRUNC(SUM(M8:M16)+SUM(N8:N16)/100),"")</t>
  </si>
  <si>
    <t>F:=CONCATENATE(IF(B7,CONCATENATE(A7,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t>
  </si>
  <si>
    <t>F:=CONCATENATE(IF(B27,CONCATENATE(A27,"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t>
  </si>
  <si>
    <t>F:=CONCATENATE(IF(B20,CONCATENATE(A20," - "),""),IF(B21,A21 &amp; " - ",""),IF(B22,A22 &amp; " - ",""),IF(B23,A23 &amp; " - ",""),IF(B24,A24 &amp; " - ",""),IF(B25,A25 &amp; " - ",""),)</t>
  </si>
  <si>
    <t>F:=CONCATENATE(IF(F7,E7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t>
  </si>
  <si>
    <t>Leeftijd</t>
  </si>
  <si>
    <t>Opname Datum</t>
  </si>
  <si>
    <t>Geboorte Gewicht</t>
  </si>
  <si>
    <t>Geboorte Datum</t>
  </si>
  <si>
    <t>PatDetails!$B$1</t>
  </si>
  <si>
    <t>PatDetails!$B$3</t>
  </si>
  <si>
    <t>PatDetails!$B$4</t>
  </si>
  <si>
    <t>PatDetails!$B$5</t>
  </si>
  <si>
    <t>GlobBerMedDisc!$AF$2</t>
  </si>
  <si>
    <t>GlobBerMedDisc!$AF$3</t>
  </si>
  <si>
    <t>GlobBerMedDisc!$AF$4</t>
  </si>
  <si>
    <t>GlobBerMedDisc!$AF$5</t>
  </si>
  <si>
    <t>GlobBerMedDisc!$AF$6</t>
  </si>
  <si>
    <t>GlobBerMedDisc!$AF$7</t>
  </si>
  <si>
    <t>GlobBerMedDisc!$AF$8</t>
  </si>
  <si>
    <t>GlobBerMedDisc!$AF$9</t>
  </si>
  <si>
    <t>GlobBerMedDisc!$AF$10</t>
  </si>
  <si>
    <t>GlobBerMedDisc!$AF$11</t>
  </si>
  <si>
    <t>GlobBerMedDisc!$AF$12</t>
  </si>
  <si>
    <t>GlobBerMedDisc!$AF$13</t>
  </si>
  <si>
    <t>GlobBerMedDisc!$AF$14</t>
  </si>
  <si>
    <t>GlobBerMedDisc!$AF$15</t>
  </si>
  <si>
    <t>GlobBerMedDisc!$AF$16</t>
  </si>
  <si>
    <t>GlobBerMedDisc!$AF$17</t>
  </si>
  <si>
    <t>GlobBerMedDisc!$AF$18</t>
  </si>
  <si>
    <t>GlobBerMedDisc!$AF$19</t>
  </si>
  <si>
    <t>GlobBerMedDisc!$AF$20</t>
  </si>
  <si>
    <t>GlobBerMedDisc!$AF$21</t>
  </si>
  <si>
    <t>GlobBerMedDisc!$AF$22</t>
  </si>
  <si>
    <t>GlobBerMedDisc!$AF$23</t>
  </si>
  <si>
    <t>GlobBerMedDisc!$AF$24</t>
  </si>
  <si>
    <t>GlobBerMedDisc!$AF$25</t>
  </si>
  <si>
    <t>GlobBerMedDisc!$AF$26</t>
  </si>
  <si>
    <t>GlobBerMedDisc!$AF$27</t>
  </si>
  <si>
    <t>GlobBerMedDisc!$AF$28</t>
  </si>
  <si>
    <t>GlobBerMedDisc!$AF$29</t>
  </si>
  <si>
    <t>GlobBerMedDisc!$AF$30</t>
  </si>
  <si>
    <t>GlobBerMedDisc!$AF$31</t>
  </si>
  <si>
    <t>GlobBerMedDisc!$F$2</t>
  </si>
  <si>
    <t>GlobBerMedDisc!$F$3</t>
  </si>
  <si>
    <t>GlobBerMedDisc!$F$4</t>
  </si>
  <si>
    <t>GlobBerMedDisc!$F$5</t>
  </si>
  <si>
    <t>GlobBerMedDisc!$F$6</t>
  </si>
  <si>
    <t>GlobBerMedDisc!$F$7</t>
  </si>
  <si>
    <t>GlobBerMedDisc!$F$8</t>
  </si>
  <si>
    <t>GlobBerMedDisc!$F$9</t>
  </si>
  <si>
    <t>GlobBerMedDisc!$F$10</t>
  </si>
  <si>
    <t>GlobBerMedDisc!$F$11</t>
  </si>
  <si>
    <t>GlobBerMedDisc!$F$12</t>
  </si>
  <si>
    <t>GlobBerMedDisc!$F$13</t>
  </si>
  <si>
    <t>GlobBerMedDisc!$F$14</t>
  </si>
  <si>
    <t>GlobBerMedDisc!$F$15</t>
  </si>
  <si>
    <t>GlobBerMedDisc!$F$16</t>
  </si>
  <si>
    <t>GlobBerMedDisc!$F$17</t>
  </si>
  <si>
    <t>GlobBerMedDisc!$F$18</t>
  </si>
  <si>
    <t>GlobBerMedDisc!$F$19</t>
  </si>
  <si>
    <t>GlobBerMedDisc!$F$20</t>
  </si>
  <si>
    <t>GlobBerMedDisc!$F$21</t>
  </si>
  <si>
    <t>GlobBerMedDisc!$F$22</t>
  </si>
  <si>
    <t>GlobBerMedDisc!$F$23</t>
  </si>
  <si>
    <t>GlobBerMedDisc!$F$24</t>
  </si>
  <si>
    <t>GlobBerMedDisc!$F$25</t>
  </si>
  <si>
    <t>GlobBerMedDisc!$F$26</t>
  </si>
  <si>
    <t>GlobBerMedDisc!$F$27</t>
  </si>
  <si>
    <t>GlobBerMedDisc!$F$28</t>
  </si>
  <si>
    <t>GlobBerMedDisc!$F$29</t>
  </si>
  <si>
    <t>GlobBerMedDisc!$F$30</t>
  </si>
  <si>
    <t>GlobBerMedDisc!$F$31</t>
  </si>
  <si>
    <t>GlobBerMedDisc!$G$2</t>
  </si>
  <si>
    <t>GlobBerMedDisc!$G$3</t>
  </si>
  <si>
    <t>GlobBerMedDisc!$G$4</t>
  </si>
  <si>
    <t>GlobBerMedDisc!$G$5</t>
  </si>
  <si>
    <t>GlobBerMedDisc!$G$6</t>
  </si>
  <si>
    <t>GlobBerMedDisc!$G$7</t>
  </si>
  <si>
    <t>GlobBerMedDisc!$G$8</t>
  </si>
  <si>
    <t>GlobBerMedDisc!$G$9</t>
  </si>
  <si>
    <t>GlobBerMedDisc!$G$10</t>
  </si>
  <si>
    <t>GlobBerMedDisc!$G$11</t>
  </si>
  <si>
    <t>GlobBerMedDisc!$G$12</t>
  </si>
  <si>
    <t>GlobBerMedDisc!$G$13</t>
  </si>
  <si>
    <t>GlobBerMedDisc!$G$14</t>
  </si>
  <si>
    <t>GlobBerMedDisc!$G$15</t>
  </si>
  <si>
    <t>GlobBerMedDisc!$G$16</t>
  </si>
  <si>
    <t>GlobBerMedDisc!$G$17</t>
  </si>
  <si>
    <t>GlobBerMedDisc!$G$18</t>
  </si>
  <si>
    <t>GlobBerMedDisc!$G$19</t>
  </si>
  <si>
    <t>GlobBerMedDisc!$G$20</t>
  </si>
  <si>
    <t>GlobBerMedDisc!$G$21</t>
  </si>
  <si>
    <t>GlobBerMedDisc!$G$22</t>
  </si>
  <si>
    <t>GlobBerMedDisc!$G$23</t>
  </si>
  <si>
    <t>GlobBerMedDisc!$G$24</t>
  </si>
  <si>
    <t>GlobBerMedDisc!$G$25</t>
  </si>
  <si>
    <t>GlobBerMedDisc!$G$26</t>
  </si>
  <si>
    <t>GlobBerMedDisc!$G$27</t>
  </si>
  <si>
    <t>GlobBerMedDisc!$G$28</t>
  </si>
  <si>
    <t>GlobBerMedDisc!$G$29</t>
  </si>
  <si>
    <t>GlobBerMedDisc!$G$30</t>
  </si>
  <si>
    <t>GlobBerMedDisc!$G$31</t>
  </si>
  <si>
    <t>GlobBerMedDisc!$AI$2</t>
  </si>
  <si>
    <t>GlobBerMedDisc!$AI$3</t>
  </si>
  <si>
    <t>GlobBerMedDisc!$AI$4</t>
  </si>
  <si>
    <t>GlobBerMedDisc!$AI$5</t>
  </si>
  <si>
    <t>GlobBerMedDisc!$AI$6</t>
  </si>
  <si>
    <t>GlobBerMedDisc!$AI$7</t>
  </si>
  <si>
    <t>GlobBerMedDisc!$AI$8</t>
  </si>
  <si>
    <t>GlobBerMedDisc!$AI$9</t>
  </si>
  <si>
    <t>GlobBerMedDisc!$AI$10</t>
  </si>
  <si>
    <t>GlobBerMedDisc!$AI$11</t>
  </si>
  <si>
    <t>GlobBerMedDisc!$AI$12</t>
  </si>
  <si>
    <t>GlobBerMedDisc!$AI$13</t>
  </si>
  <si>
    <t>GlobBerMedDisc!$AI$14</t>
  </si>
  <si>
    <t>GlobBerMedDisc!$AI$15</t>
  </si>
  <si>
    <t>GlobBerMedDisc!$AI$16</t>
  </si>
  <si>
    <t>GlobBerMedDisc!$AI$17</t>
  </si>
  <si>
    <t>GlobBerMedDisc!$AI$18</t>
  </si>
  <si>
    <t>GlobBerMedDisc!$AI$19</t>
  </si>
  <si>
    <t>GlobBerMedDisc!$AI$20</t>
  </si>
  <si>
    <t>GlobBerMedDisc!$AI$21</t>
  </si>
  <si>
    <t>GlobBerMedDisc!$AI$22</t>
  </si>
  <si>
    <t>GlobBerMedDisc!$AI$23</t>
  </si>
  <si>
    <t>GlobBerMedDisc!$AI$24</t>
  </si>
  <si>
    <t>GlobBerMedDisc!$AI$25</t>
  </si>
  <si>
    <t>GlobBerMedDisc!$AI$26</t>
  </si>
  <si>
    <t>GlobBerMedDisc!$AI$27</t>
  </si>
  <si>
    <t>GlobBerMedDisc!$AI$28</t>
  </si>
  <si>
    <t>GlobBerMedDisc!$AI$29</t>
  </si>
  <si>
    <t>GlobBerMedDisc!$AI$30</t>
  </si>
  <si>
    <t>GlobBerMedDisc!$AI$31</t>
  </si>
  <si>
    <t>GlobBerMedDisc!$D$2</t>
  </si>
  <si>
    <t>GlobBerMedDisc!$D$3</t>
  </si>
  <si>
    <t>GlobBerMedDisc!$D$4</t>
  </si>
  <si>
    <t>GlobBerMedDisc!$D$5</t>
  </si>
  <si>
    <t>GlobBerMedDisc!$D$6</t>
  </si>
  <si>
    <t>GlobBerMedDisc!$D$7</t>
  </si>
  <si>
    <t>GlobBerMedDisc!$D$8</t>
  </si>
  <si>
    <t>GlobBerMedDisc!$D$9</t>
  </si>
  <si>
    <t>GlobBerMedDisc!$D$10</t>
  </si>
  <si>
    <t>GlobBerMedDisc!$D$11</t>
  </si>
  <si>
    <t>GlobBerMedDisc!$D$12</t>
  </si>
  <si>
    <t>GlobBerMedDisc!$D$13</t>
  </si>
  <si>
    <t>GlobBerMedDisc!$D$14</t>
  </si>
  <si>
    <t>GlobBerMedDisc!$D$15</t>
  </si>
  <si>
    <t>GlobBerMedDisc!$D$16</t>
  </si>
  <si>
    <t>GlobBerMedDisc!$D$17</t>
  </si>
  <si>
    <t>GlobBerMedDisc!$D$18</t>
  </si>
  <si>
    <t>GlobBerMedDisc!$D$19</t>
  </si>
  <si>
    <t>GlobBerMedDisc!$D$20</t>
  </si>
  <si>
    <t>GlobBerMedDisc!$D$21</t>
  </si>
  <si>
    <t>GlobBerMedDisc!$D$22</t>
  </si>
  <si>
    <t>GlobBerMedDisc!$D$23</t>
  </si>
  <si>
    <t>GlobBerMedDisc!$D$24</t>
  </si>
  <si>
    <t>GlobBerMedDisc!$D$25</t>
  </si>
  <si>
    <t>GlobBerMedDisc!$D$26</t>
  </si>
  <si>
    <t>GlobBerMedDisc!$D$27</t>
  </si>
  <si>
    <t>GlobBerMedDisc!$D$28</t>
  </si>
  <si>
    <t>GlobBerMedDisc!$D$29</t>
  </si>
  <si>
    <t>GlobBerMedDisc!$D$30</t>
  </si>
  <si>
    <t>GlobBerMedDisc!$D$31</t>
  </si>
  <si>
    <t>GlobBerMedDisc!$U$2</t>
  </si>
  <si>
    <t>GlobBerMedDisc!$U$3</t>
  </si>
  <si>
    <t>GlobBerMedDisc!$U$4</t>
  </si>
  <si>
    <t>GlobBerMedDisc!$U$5</t>
  </si>
  <si>
    <t>GlobBerMedDisc!$U$6</t>
  </si>
  <si>
    <t>GlobBerMedDisc!$U$7</t>
  </si>
  <si>
    <t>GlobBerMedDisc!$U$8</t>
  </si>
  <si>
    <t>GlobBerMedDisc!$U$9</t>
  </si>
  <si>
    <t>GlobBerMedDisc!$U$10</t>
  </si>
  <si>
    <t>GlobBerMedDisc!$U$11</t>
  </si>
  <si>
    <t>GlobBerMedDisc!$U$12</t>
  </si>
  <si>
    <t>GlobBerMedDisc!$U$13</t>
  </si>
  <si>
    <t>GlobBerMedDisc!$U$14</t>
  </si>
  <si>
    <t>GlobBerMedDisc!$U$15</t>
  </si>
  <si>
    <t>GlobBerMedDisc!$U$16</t>
  </si>
  <si>
    <t>GlobBerMedDisc!$U$17</t>
  </si>
  <si>
    <t>GlobBerMedDisc!$U$18</t>
  </si>
  <si>
    <t>GlobBerMedDisc!$U$19</t>
  </si>
  <si>
    <t>GlobBerMedDisc!$U$20</t>
  </si>
  <si>
    <t>GlobBerMedDisc!$U$21</t>
  </si>
  <si>
    <t>GlobBerMedDisc!$U$22</t>
  </si>
  <si>
    <t>GlobBerMedDisc!$U$23</t>
  </si>
  <si>
    <t>GlobBerMedDisc!$U$24</t>
  </si>
  <si>
    <t>GlobBerMedDisc!$U$25</t>
  </si>
  <si>
    <t>GlobBerMedDisc!$U$26</t>
  </si>
  <si>
    <t>GlobBerMedDisc!$U$27</t>
  </si>
  <si>
    <t>GlobBerMedDisc!$U$28</t>
  </si>
  <si>
    <t>GlobBerMedDisc!$U$29</t>
  </si>
  <si>
    <t>GlobBerMedDisc!$U$30</t>
  </si>
  <si>
    <t>GlobBerMedDisc!$U$31</t>
  </si>
  <si>
    <t>GlobBerMedDisc!$B$2</t>
  </si>
  <si>
    <t>GlobBerMedDisc!$B$3</t>
  </si>
  <si>
    <t>GlobBerMedDisc!$B$4</t>
  </si>
  <si>
    <t>GlobBerMedDisc!$B$5</t>
  </si>
  <si>
    <t>GlobBerMedDisc!$B$6</t>
  </si>
  <si>
    <t>GlobBerMedDisc!$B$7</t>
  </si>
  <si>
    <t>GlobBerMedDisc!$B$8</t>
  </si>
  <si>
    <t>GlobBerMedDisc!$B$9</t>
  </si>
  <si>
    <t>GlobBerMedDisc!$B$10</t>
  </si>
  <si>
    <t>GlobBerMedDisc!$B$11</t>
  </si>
  <si>
    <t>GlobBerMedDisc!$B$12</t>
  </si>
  <si>
    <t>GlobBerMedDisc!$B$13</t>
  </si>
  <si>
    <t>GlobBerMedDisc!$B$14</t>
  </si>
  <si>
    <t>GlobBerMedDisc!$B$15</t>
  </si>
  <si>
    <t>GlobBerMedDisc!$B$16</t>
  </si>
  <si>
    <t>GlobBerMedDisc!$B$17</t>
  </si>
  <si>
    <t>GlobBerMedDisc!$B$18</t>
  </si>
  <si>
    <t>GlobBerMedDisc!$B$19</t>
  </si>
  <si>
    <t>GlobBerMedDisc!$B$20</t>
  </si>
  <si>
    <t>GlobBerMedDisc!$B$21</t>
  </si>
  <si>
    <t>GlobBerMedDisc!$B$22</t>
  </si>
  <si>
    <t>GlobBerMedDisc!$B$23</t>
  </si>
  <si>
    <t>GlobBerMedDisc!$B$24</t>
  </si>
  <si>
    <t>GlobBerMedDisc!$B$25</t>
  </si>
  <si>
    <t>GlobBerMedDisc!$B$26</t>
  </si>
  <si>
    <t>GlobBerMedDisc!$B$27</t>
  </si>
  <si>
    <t>GlobBerMedDisc!$B$28</t>
  </si>
  <si>
    <t>GlobBerMedDisc!$B$29</t>
  </si>
  <si>
    <t>GlobBerMedDisc!$B$30</t>
  </si>
  <si>
    <t>GlobBerMedDisc!$B$31</t>
  </si>
  <si>
    <t>GlobBerMedDisc!$Q$2</t>
  </si>
  <si>
    <t>GlobBerMedDisc!$Q$3</t>
  </si>
  <si>
    <t>GlobBerMedDisc!$Q$4</t>
  </si>
  <si>
    <t>GlobBerMedDisc!$Q$5</t>
  </si>
  <si>
    <t>GlobBerMedDisc!$Q$6</t>
  </si>
  <si>
    <t>GlobBerMedDisc!$Q$7</t>
  </si>
  <si>
    <t>GlobBerMedDisc!$Q$8</t>
  </si>
  <si>
    <t>GlobBerMedDisc!$Q$9</t>
  </si>
  <si>
    <t>GlobBerMedDisc!$Q$10</t>
  </si>
  <si>
    <t>GlobBerMedDisc!$Q$11</t>
  </si>
  <si>
    <t>GlobBerMedDisc!$Q$12</t>
  </si>
  <si>
    <t>GlobBerMedDisc!$Q$13</t>
  </si>
  <si>
    <t>GlobBerMedDisc!$Q$14</t>
  </si>
  <si>
    <t>GlobBerMedDisc!$Q$15</t>
  </si>
  <si>
    <t>GlobBerMedDisc!$Q$16</t>
  </si>
  <si>
    <t>GlobBerMedDisc!$Q$17</t>
  </si>
  <si>
    <t>GlobBerMedDisc!$Q$18</t>
  </si>
  <si>
    <t>GlobBerMedDisc!$Q$19</t>
  </si>
  <si>
    <t>GlobBerMedDisc!$Q$20</t>
  </si>
  <si>
    <t>GlobBerMedDisc!$Q$21</t>
  </si>
  <si>
    <t>GlobBerMedDisc!$Q$22</t>
  </si>
  <si>
    <t>GlobBerMedDisc!$Q$23</t>
  </si>
  <si>
    <t>GlobBerMedDisc!$Q$24</t>
  </si>
  <si>
    <t>GlobBerMedDisc!$Q$25</t>
  </si>
  <si>
    <t>GlobBerMedDisc!$Q$26</t>
  </si>
  <si>
    <t>GlobBerMedDisc!$Q$27</t>
  </si>
  <si>
    <t>GlobBerMedDisc!$Q$28</t>
  </si>
  <si>
    <t>GlobBerMedDisc!$Q$29</t>
  </si>
  <si>
    <t>GlobBerMedDisc!$Q$30</t>
  </si>
  <si>
    <t>GlobBerMedDisc!$Q$31</t>
  </si>
  <si>
    <t>GlobBerMedDisc!$C$2</t>
  </si>
  <si>
    <t>GlobBerMedDisc!$C$3</t>
  </si>
  <si>
    <t>GlobBerMedDisc!$C$4</t>
  </si>
  <si>
    <t>GlobBerMedDisc!$C$5</t>
  </si>
  <si>
    <t>GlobBerMedDisc!$C$6</t>
  </si>
  <si>
    <t>GlobBerMedDisc!$C$7</t>
  </si>
  <si>
    <t>GlobBerMedDisc!$C$8</t>
  </si>
  <si>
    <t>GlobBerMedDisc!$C$9</t>
  </si>
  <si>
    <t>GlobBerMedDisc!$C$10</t>
  </si>
  <si>
    <t>GlobBerMedDisc!$C$11</t>
  </si>
  <si>
    <t>GlobBerMedDisc!$C$12</t>
  </si>
  <si>
    <t>GlobBerMedDisc!$C$13</t>
  </si>
  <si>
    <t>GlobBerMedDisc!$C$14</t>
  </si>
  <si>
    <t>GlobBerMedDisc!$C$15</t>
  </si>
  <si>
    <t>GlobBerMedDisc!$C$16</t>
  </si>
  <si>
    <t>GlobBerMedDisc!$C$17</t>
  </si>
  <si>
    <t>GlobBerMedDisc!$C$18</t>
  </si>
  <si>
    <t>GlobBerMedDisc!$C$19</t>
  </si>
  <si>
    <t>GlobBerMedDisc!$C$20</t>
  </si>
  <si>
    <t>GlobBerMedDisc!$C$21</t>
  </si>
  <si>
    <t>GlobBerMedDisc!$C$22</t>
  </si>
  <si>
    <t>GlobBerMedDisc!$C$23</t>
  </si>
  <si>
    <t>GlobBerMedDisc!$C$24</t>
  </si>
  <si>
    <t>GlobBerMedDisc!$C$25</t>
  </si>
  <si>
    <t>GlobBerMedDisc!$C$26</t>
  </si>
  <si>
    <t>GlobBerMedDisc!$C$27</t>
  </si>
  <si>
    <t>GlobBerMedDisc!$C$28</t>
  </si>
  <si>
    <t>GlobBerMedDisc!$C$29</t>
  </si>
  <si>
    <t>GlobBerMedDisc!$C$30</t>
  </si>
  <si>
    <t>GlobBerMedDisc!$C$31</t>
  </si>
  <si>
    <t>GlobBerMedDisc!$O$2</t>
  </si>
  <si>
    <t>GlobBerMedDisc!$O$3</t>
  </si>
  <si>
    <t>GlobBerMedDisc!$O$4</t>
  </si>
  <si>
    <t>GlobBerMedDisc!$O$5</t>
  </si>
  <si>
    <t>GlobBerMedDisc!$O$6</t>
  </si>
  <si>
    <t>GlobBerMedDisc!$O$7</t>
  </si>
  <si>
    <t>GlobBerMedDisc!$O$8</t>
  </si>
  <si>
    <t>GlobBerMedDisc!$O$9</t>
  </si>
  <si>
    <t>GlobBerMedDisc!$O$10</t>
  </si>
  <si>
    <t>GlobBerMedDisc!$O$11</t>
  </si>
  <si>
    <t>GlobBerMedDisc!$O$12</t>
  </si>
  <si>
    <t>GlobBerMedDisc!$O$13</t>
  </si>
  <si>
    <t>GlobBerMedDisc!$O$14</t>
  </si>
  <si>
    <t>GlobBerMedDisc!$O$15</t>
  </si>
  <si>
    <t>GlobBerMedDisc!$O$16</t>
  </si>
  <si>
    <t>GlobBerMedDisc!$O$17</t>
  </si>
  <si>
    <t>GlobBerMedDisc!$O$18</t>
  </si>
  <si>
    <t>GlobBerMedDisc!$O$19</t>
  </si>
  <si>
    <t>GlobBerMedDisc!$O$20</t>
  </si>
  <si>
    <t>GlobBerMedDisc!$O$21</t>
  </si>
  <si>
    <t>GlobBerMedDisc!$O$22</t>
  </si>
  <si>
    <t>GlobBerMedDisc!$O$23</t>
  </si>
  <si>
    <t>GlobBerMedDisc!$O$24</t>
  </si>
  <si>
    <t>GlobBerMedDisc!$O$25</t>
  </si>
  <si>
    <t>GlobBerMedDisc!$O$26</t>
  </si>
  <si>
    <t>GlobBerMedDisc!$O$27</t>
  </si>
  <si>
    <t>GlobBerMedDisc!$O$28</t>
  </si>
  <si>
    <t>GlobBerMedDisc!$O$29</t>
  </si>
  <si>
    <t>GlobBerMedDisc!$O$30</t>
  </si>
  <si>
    <t>GlobBerMedDisc!$O$31</t>
  </si>
  <si>
    <t>GlobBerMedDisc!$N$2</t>
  </si>
  <si>
    <t>GlobBerMedDisc!$N$3</t>
  </si>
  <si>
    <t>GlobBerMedDisc!$N$4</t>
  </si>
  <si>
    <t>GlobBerMedDisc!$N$5</t>
  </si>
  <si>
    <t>GlobBerMedDisc!$N$6</t>
  </si>
  <si>
    <t>GlobBerMedDisc!$N$7</t>
  </si>
  <si>
    <t>GlobBerMedDisc!$N$8</t>
  </si>
  <si>
    <t>GlobBerMedDisc!$N$9</t>
  </si>
  <si>
    <t>GlobBerMedDisc!$N$10</t>
  </si>
  <si>
    <t>GlobBerMedDisc!$N$11</t>
  </si>
  <si>
    <t>GlobBerMedDisc!$N$12</t>
  </si>
  <si>
    <t>GlobBerMedDisc!$N$13</t>
  </si>
  <si>
    <t>GlobBerMedDisc!$N$14</t>
  </si>
  <si>
    <t>GlobBerMedDisc!$N$15</t>
  </si>
  <si>
    <t>GlobBerMedDisc!$N$16</t>
  </si>
  <si>
    <t>GlobBerMedDisc!$N$17</t>
  </si>
  <si>
    <t>GlobBerMedDisc!$N$18</t>
  </si>
  <si>
    <t>GlobBerMedDisc!$N$19</t>
  </si>
  <si>
    <t>GlobBerMedDisc!$N$20</t>
  </si>
  <si>
    <t>GlobBerMedDisc!$N$21</t>
  </si>
  <si>
    <t>GlobBerMedDisc!$N$22</t>
  </si>
  <si>
    <t>GlobBerMedDisc!$N$23</t>
  </si>
  <si>
    <t>GlobBerMedDisc!$N$24</t>
  </si>
  <si>
    <t>GlobBerMedDisc!$N$25</t>
  </si>
  <si>
    <t>GlobBerMedDisc!$N$26</t>
  </si>
  <si>
    <t>GlobBerMedDisc!$N$27</t>
  </si>
  <si>
    <t>GlobBerMedDisc!$N$28</t>
  </si>
  <si>
    <t>GlobBerMedDisc!$N$29</t>
  </si>
  <si>
    <t>GlobBerMedDisc!$N$30</t>
  </si>
  <si>
    <t>GlobBerMedDisc!$N$31</t>
  </si>
  <si>
    <t>GlobBerMedDisc!$E$2</t>
  </si>
  <si>
    <t>GlobBerMedDisc!$E$3</t>
  </si>
  <si>
    <t>GlobBerMedDisc!$E$4</t>
  </si>
  <si>
    <t>GlobBerMedDisc!$E$5</t>
  </si>
  <si>
    <t>GlobBerMedDisc!$E$6</t>
  </si>
  <si>
    <t>GlobBerMedDisc!$E$7</t>
  </si>
  <si>
    <t>GlobBerMedDisc!$E$8</t>
  </si>
  <si>
    <t>GlobBerMedDisc!$E$9</t>
  </si>
  <si>
    <t>GlobBerMedDisc!$E$10</t>
  </si>
  <si>
    <t>GlobBerMedDisc!$E$11</t>
  </si>
  <si>
    <t>GlobBerMedDisc!$E$12</t>
  </si>
  <si>
    <t>GlobBerMedDisc!$E$13</t>
  </si>
  <si>
    <t>GlobBerMedDisc!$E$14</t>
  </si>
  <si>
    <t>GlobBerMedDisc!$E$15</t>
  </si>
  <si>
    <t>GlobBerMedDisc!$E$16</t>
  </si>
  <si>
    <t>GlobBerMedDisc!$E$17</t>
  </si>
  <si>
    <t>GlobBerMedDisc!$E$18</t>
  </si>
  <si>
    <t>GlobBerMedDisc!$E$19</t>
  </si>
  <si>
    <t>GlobBerMedDisc!$E$20</t>
  </si>
  <si>
    <t>GlobBerMedDisc!$E$21</t>
  </si>
  <si>
    <t>GlobBerMedDisc!$E$22</t>
  </si>
  <si>
    <t>GlobBerMedDisc!$E$23</t>
  </si>
  <si>
    <t>GlobBerMedDisc!$E$24</t>
  </si>
  <si>
    <t>GlobBerMedDisc!$E$25</t>
  </si>
  <si>
    <t>GlobBerMedDisc!$E$26</t>
  </si>
  <si>
    <t>GlobBerMedDisc!$E$27</t>
  </si>
  <si>
    <t>GlobBerMedDisc!$E$28</t>
  </si>
  <si>
    <t>GlobBerMedDisc!$E$29</t>
  </si>
  <si>
    <t>GlobBerMedDisc!$E$30</t>
  </si>
  <si>
    <t>GlobBerMedDisc!$E$31</t>
  </si>
  <si>
    <t>GlobBerMedDisc!$AG$2</t>
  </si>
  <si>
    <t>GlobBerMedDisc!$AG$3</t>
  </si>
  <si>
    <t>GlobBerMedDisc!$AG$4</t>
  </si>
  <si>
    <t>GlobBerMedDisc!$AG$5</t>
  </si>
  <si>
    <t>GlobBerMedDisc!$AG$6</t>
  </si>
  <si>
    <t>GlobBerMedDisc!$AG$7</t>
  </si>
  <si>
    <t>GlobBerMedDisc!$AG$8</t>
  </si>
  <si>
    <t>GlobBerMedDisc!$AG$9</t>
  </si>
  <si>
    <t>GlobBerMedDisc!$AG$10</t>
  </si>
  <si>
    <t>GlobBerMedDisc!$AG$11</t>
  </si>
  <si>
    <t>GlobBerMedDisc!$AG$12</t>
  </si>
  <si>
    <t>GlobBerMedDisc!$AG$13</t>
  </si>
  <si>
    <t>GlobBerMedDisc!$AG$14</t>
  </si>
  <si>
    <t>GlobBerMedDisc!$AG$15</t>
  </si>
  <si>
    <t>GlobBerMedDisc!$AG$16</t>
  </si>
  <si>
    <t>GlobBerMedDisc!$AG$17</t>
  </si>
  <si>
    <t>GlobBerMedDisc!$AG$18</t>
  </si>
  <si>
    <t>GlobBerMedDisc!$AG$19</t>
  </si>
  <si>
    <t>GlobBerMedDisc!$AG$20</t>
  </si>
  <si>
    <t>GlobBerMedDisc!$AG$21</t>
  </si>
  <si>
    <t>GlobBerMedDisc!$AG$22</t>
  </si>
  <si>
    <t>GlobBerMedDisc!$AG$23</t>
  </si>
  <si>
    <t>GlobBerMedDisc!$AG$24</t>
  </si>
  <si>
    <t>GlobBerMedDisc!$AG$25</t>
  </si>
  <si>
    <t>GlobBerMedDisc!$AG$26</t>
  </si>
  <si>
    <t>GlobBerMedDisc!$AG$27</t>
  </si>
  <si>
    <t>GlobBerMedDisc!$AG$28</t>
  </si>
  <si>
    <t>GlobBerMedDisc!$AG$29</t>
  </si>
  <si>
    <t>GlobBerMedDisc!$AG$30</t>
  </si>
  <si>
    <t>GlobBerMedDisc!$AG$31</t>
  </si>
  <si>
    <t>GlobBerMedDisc!$AH$2</t>
  </si>
  <si>
    <t>GlobBerMedDisc!$AH$3</t>
  </si>
  <si>
    <t>GlobBerMedDisc!$AH$4</t>
  </si>
  <si>
    <t>GlobBerMedDisc!$AH$5</t>
  </si>
  <si>
    <t>GlobBerMedDisc!$AH$6</t>
  </si>
  <si>
    <t>GlobBerMedDisc!$AH$7</t>
  </si>
  <si>
    <t>GlobBerMedDisc!$AH$8</t>
  </si>
  <si>
    <t>GlobBerMedDisc!$AH$9</t>
  </si>
  <si>
    <t>GlobBerMedDisc!$AH$10</t>
  </si>
  <si>
    <t>GlobBerMedDisc!$AH$11</t>
  </si>
  <si>
    <t>GlobBerMedDisc!$AH$12</t>
  </si>
  <si>
    <t>GlobBerMedDisc!$AH$13</t>
  </si>
  <si>
    <t>GlobBerMedDisc!$AH$14</t>
  </si>
  <si>
    <t>GlobBerMedDisc!$AH$15</t>
  </si>
  <si>
    <t>GlobBerMedDisc!$AH$16</t>
  </si>
  <si>
    <t>GlobBerMedDisc!$AH$17</t>
  </si>
  <si>
    <t>GlobBerMedDisc!$AH$18</t>
  </si>
  <si>
    <t>GlobBerMedDisc!$AH$19</t>
  </si>
  <si>
    <t>GlobBerMedDisc!$AH$20</t>
  </si>
  <si>
    <t>GlobBerMedDisc!$AH$21</t>
  </si>
  <si>
    <t>GlobBerMedDisc!$AH$22</t>
  </si>
  <si>
    <t>GlobBerMedDisc!$AH$23</t>
  </si>
  <si>
    <t>GlobBerMedDisc!$AH$24</t>
  </si>
  <si>
    <t>GlobBerMedDisc!$AH$25</t>
  </si>
  <si>
    <t>GlobBerMedDisc!$AH$26</t>
  </si>
  <si>
    <t>GlobBerMedDisc!$AH$27</t>
  </si>
  <si>
    <t>GlobBerMedDisc!$AH$28</t>
  </si>
  <si>
    <t>GlobBerMedDisc!$AH$29</t>
  </si>
  <si>
    <t>GlobBerMedDisc!$AH$30</t>
  </si>
  <si>
    <t>GlobBerMedDisc!$AH$31</t>
  </si>
  <si>
    <t>GlobBerMedDisc!$I$2</t>
  </si>
  <si>
    <t>GlobBerMedDisc!$I$3</t>
  </si>
  <si>
    <t>GlobBerMedDisc!$I$4</t>
  </si>
  <si>
    <t>GlobBerMedDisc!$I$5</t>
  </si>
  <si>
    <t>GlobBerMedDisc!$I$6</t>
  </si>
  <si>
    <t>GlobBerMedDisc!$I$7</t>
  </si>
  <si>
    <t>GlobBerMedDisc!$I$8</t>
  </si>
  <si>
    <t>GlobBerMedDisc!$I$9</t>
  </si>
  <si>
    <t>GlobBerMedDisc!$I$10</t>
  </si>
  <si>
    <t>GlobBerMedDisc!$I$11</t>
  </si>
  <si>
    <t>GlobBerMedDisc!$I$12</t>
  </si>
  <si>
    <t>GlobBerMedDisc!$I$13</t>
  </si>
  <si>
    <t>GlobBerMedDisc!$I$14</t>
  </si>
  <si>
    <t>GlobBerMedDisc!$I$15</t>
  </si>
  <si>
    <t>GlobBerMedDisc!$I$16</t>
  </si>
  <si>
    <t>GlobBerMedDisc!$I$17</t>
  </si>
  <si>
    <t>GlobBerMedDisc!$I$18</t>
  </si>
  <si>
    <t>GlobBerMedDisc!$I$19</t>
  </si>
  <si>
    <t>GlobBerMedDisc!$I$20</t>
  </si>
  <si>
    <t>GlobBerMedDisc!$I$21</t>
  </si>
  <si>
    <t>GlobBerMedDisc!$I$22</t>
  </si>
  <si>
    <t>GlobBerMedDisc!$I$23</t>
  </si>
  <si>
    <t>GlobBerMedDisc!$I$24</t>
  </si>
  <si>
    <t>GlobBerMedDisc!$I$25</t>
  </si>
  <si>
    <t>GlobBerMedDisc!$I$26</t>
  </si>
  <si>
    <t>GlobBerMedDisc!$I$27</t>
  </si>
  <si>
    <t>GlobBerMedDisc!$I$28</t>
  </si>
  <si>
    <t>GlobBerMedDisc!$I$29</t>
  </si>
  <si>
    <t>GlobBerMedDisc!$I$30</t>
  </si>
  <si>
    <t>GlobBerMedDisc!$I$31</t>
  </si>
  <si>
    <t>GlobBerMedDisc!$L$2</t>
  </si>
  <si>
    <t>GlobBerMedDisc!$L$3</t>
  </si>
  <si>
    <t>GlobBerMedDisc!$L$4</t>
  </si>
  <si>
    <t>GlobBerMedDisc!$L$5</t>
  </si>
  <si>
    <t>GlobBerMedDisc!$L$6</t>
  </si>
  <si>
    <t>GlobBerMedDisc!$L$7</t>
  </si>
  <si>
    <t>GlobBerMedDisc!$L$8</t>
  </si>
  <si>
    <t>GlobBerMedDisc!$L$9</t>
  </si>
  <si>
    <t>GlobBerMedDisc!$L$10</t>
  </si>
  <si>
    <t>GlobBerMedDisc!$L$11</t>
  </si>
  <si>
    <t>GlobBerMedDisc!$L$12</t>
  </si>
  <si>
    <t>GlobBerMedDisc!$L$13</t>
  </si>
  <si>
    <t>GlobBerMedDisc!$L$14</t>
  </si>
  <si>
    <t>GlobBerMedDisc!$L$15</t>
  </si>
  <si>
    <t>GlobBerMedDisc!$L$16</t>
  </si>
  <si>
    <t>GlobBerMedDisc!$L$17</t>
  </si>
  <si>
    <t>GlobBerMedDisc!$L$18</t>
  </si>
  <si>
    <t>GlobBerMedDisc!$L$19</t>
  </si>
  <si>
    <t>GlobBerMedDisc!$L$20</t>
  </si>
  <si>
    <t>GlobBerMedDisc!$L$21</t>
  </si>
  <si>
    <t>GlobBerMedDisc!$L$22</t>
  </si>
  <si>
    <t>GlobBerMedDisc!$L$23</t>
  </si>
  <si>
    <t>GlobBerMedDisc!$L$24</t>
  </si>
  <si>
    <t>GlobBerMedDisc!$L$25</t>
  </si>
  <si>
    <t>GlobBerMedDisc!$L$26</t>
  </si>
  <si>
    <t>GlobBerMedDisc!$L$27</t>
  </si>
  <si>
    <t>GlobBerMedDisc!$L$28</t>
  </si>
  <si>
    <t>GlobBerMedDisc!$L$29</t>
  </si>
  <si>
    <t>GlobBerMedDisc!$L$30</t>
  </si>
  <si>
    <t>GlobBerMedDisc!$L$31</t>
  </si>
  <si>
    <t>NeoBerInfB!$B$18</t>
  </si>
  <si>
    <t>NeoBerInfB!$D$36</t>
  </si>
  <si>
    <t>NeoBerInfB!$B$15</t>
  </si>
  <si>
    <t>NeoBerInfB!$D$10</t>
  </si>
  <si>
    <t>NeoBerInfB!$D$12</t>
  </si>
  <si>
    <t>NeoBerInfB!$D$45</t>
  </si>
  <si>
    <t>NeoBerInfB!$D$11</t>
  </si>
  <si>
    <t>NeoBerInfB!$D$13</t>
  </si>
  <si>
    <t>NeoBerInfB!$D$16</t>
  </si>
  <si>
    <t>NeoBerInfB!$D$35</t>
  </si>
  <si>
    <t>NeoBerInfB!$F$35</t>
  </si>
  <si>
    <t>NeoBerInfB!$D$38</t>
  </si>
  <si>
    <t>NeoBerInfB!$B$20</t>
  </si>
  <si>
    <t>NeoBerInfB!$B$21</t>
  </si>
  <si>
    <t>NeoBerInfB!$B$22</t>
  </si>
  <si>
    <t>NeoBerInfB!$B$23</t>
  </si>
  <si>
    <t>NeoBerInfB!$B$24</t>
  </si>
  <si>
    <t>NeoBerInfB!$B$25</t>
  </si>
  <si>
    <t>NeoBerInfB!$B$26</t>
  </si>
  <si>
    <t>NeoBerInfB!$B$27</t>
  </si>
  <si>
    <t>NeoBerInfB!$B$28</t>
  </si>
  <si>
    <t>NeoBerInfB!$C$20</t>
  </si>
  <si>
    <t>NeoBerInfB!$C$21</t>
  </si>
  <si>
    <t>NeoBerInfB!$C$22</t>
  </si>
  <si>
    <t>NeoBerInfB!$C$23</t>
  </si>
  <si>
    <t>NeoBerInfB!$C$24</t>
  </si>
  <si>
    <t>NeoBerInfB!$C$25</t>
  </si>
  <si>
    <t>NeoBerInfB!$C$26</t>
  </si>
  <si>
    <t>NeoBerInfB!$C$27</t>
  </si>
  <si>
    <t>NeoBerInfB!$C$28</t>
  </si>
  <si>
    <t>NeoBerInfB!$B$32</t>
  </si>
  <si>
    <t>NeoBerInfB!$B$33</t>
  </si>
  <si>
    <t>NeoBerInfB!$D$40</t>
  </si>
  <si>
    <t>NeoBerInfB!$D$43</t>
  </si>
  <si>
    <t>NeoBerInfB!$D$20</t>
  </si>
  <si>
    <t>NeoBerInfB!$D$21</t>
  </si>
  <si>
    <t>NeoBerInfB!$D$22</t>
  </si>
  <si>
    <t>NeoBerInfB!$D$23</t>
  </si>
  <si>
    <t>NeoBerInfB!$D$24</t>
  </si>
  <si>
    <t>NeoBerInfB!$D$25</t>
  </si>
  <si>
    <t>NeoBerInfB!$D$26</t>
  </si>
  <si>
    <t>NeoBerInfB!$D$27</t>
  </si>
  <si>
    <t>NeoBerInfB!$D$28</t>
  </si>
  <si>
    <t>NeoBerInfB!$E$20</t>
  </si>
  <si>
    <t>NeoBerInfB!$E$21</t>
  </si>
  <si>
    <t>NeoBerInfB!$E$22</t>
  </si>
  <si>
    <t>NeoBerInfB!$E$23</t>
  </si>
  <si>
    <t>NeoBerInfB!$E$24</t>
  </si>
  <si>
    <t>NeoBerInfB!$E$25</t>
  </si>
  <si>
    <t>NeoBerInfB!$E$26</t>
  </si>
  <si>
    <t>NeoBerInfB!$E$27</t>
  </si>
  <si>
    <t>NeoBerInfB!$E$28</t>
  </si>
  <si>
    <t>NeoBerInfB!$E$29</t>
  </si>
  <si>
    <t>NeoBerInfB!$E$30</t>
  </si>
  <si>
    <t>NeoBerInfB!$E$31</t>
  </si>
  <si>
    <t>NeoBerInfB!$B$17</t>
  </si>
  <si>
    <t>NeoBerInfB!$J$52</t>
  </si>
  <si>
    <t>NeoBerInfB!$J$53</t>
  </si>
  <si>
    <t>NeoBerInfB!$J$54</t>
  </si>
  <si>
    <t>NeoBerInfB!$J$55</t>
  </si>
  <si>
    <t>NeoBerInfB!$J$56</t>
  </si>
  <si>
    <t>NeoBerInfB!$J$58</t>
  </si>
  <si>
    <t>NeoBerInfB!$J$59</t>
  </si>
  <si>
    <t>NeoBerInfB!$J$60</t>
  </si>
  <si>
    <t>NeoBerInfB!$J$61</t>
  </si>
  <si>
    <t>NeoBerInfB!$D$42</t>
  </si>
  <si>
    <t>NeoBerInfB!$D$41</t>
  </si>
  <si>
    <t>NeoBerInfB!$D$44</t>
  </si>
  <si>
    <t>NeoBerInfB!$F$20</t>
  </si>
  <si>
    <t>NeoBerInfB!$F$21</t>
  </si>
  <si>
    <t>NeoBerInfB!$F$22</t>
  </si>
  <si>
    <t>NeoBerInfB!$F$23</t>
  </si>
  <si>
    <t>NeoBerInfB!$F$24</t>
  </si>
  <si>
    <t>NeoBerInfB!$F$25</t>
  </si>
  <si>
    <t>NeoBerInfB!$F$26</t>
  </si>
  <si>
    <t>NeoBerInfB!$F$27</t>
  </si>
  <si>
    <t>NeoBerInfB!$F$28</t>
  </si>
  <si>
    <t>NeoBerInfB!$F$29</t>
  </si>
  <si>
    <t>NeoBerInfB!$F$30</t>
  </si>
  <si>
    <t>NeoBerInfB!$F$31</t>
  </si>
  <si>
    <t>NeoBerInfB!$B$53</t>
  </si>
  <si>
    <t>NeoBerInfB!$B$54</t>
  </si>
  <si>
    <t>NeoBerInfB!$B$55</t>
  </si>
  <si>
    <t>NeoBerInfB!$B$56</t>
  </si>
  <si>
    <t>NeoBerInfB!$B$58</t>
  </si>
  <si>
    <t>NeoBerInfB!$B$59</t>
  </si>
  <si>
    <t>NeoBerInfB!$B$60</t>
  </si>
  <si>
    <t>NeoBerInfB!$B$61</t>
  </si>
  <si>
    <t>NeoBerInfB!$D$39</t>
  </si>
  <si>
    <t>NeoBerInfB!$D$37</t>
  </si>
  <si>
    <t>NeoBerInfB!$J$14</t>
  </si>
  <si>
    <t>NeoBerInfB!$J$20</t>
  </si>
  <si>
    <t>NeoBerInfB!$J$21</t>
  </si>
  <si>
    <t>NeoBerInfB!$J$22</t>
  </si>
  <si>
    <t>NeoBerInfB!$J$23</t>
  </si>
  <si>
    <t>NeoBerInfB!$J$24</t>
  </si>
  <si>
    <t>NeoBerInfB!$J$25</t>
  </si>
  <si>
    <t>NeoBerInfB!$J$26</t>
  </si>
  <si>
    <t>NeoBerInfB!$J$27</t>
  </si>
  <si>
    <t>NeoBerInfB!$J$28</t>
  </si>
  <si>
    <t>NeoBerInfB!$J$18</t>
  </si>
  <si>
    <t>NeoBerInfB!$J$29</t>
  </si>
  <si>
    <t>NeoBerInfB!$J$30</t>
  </si>
  <si>
    <t>NeoBerInfB!$J$31</t>
  </si>
  <si>
    <t>NeoBerInfB!$D$14</t>
  </si>
  <si>
    <t>NeoBerInfB!$D$5</t>
  </si>
  <si>
    <t>PatDetails!$B$8</t>
  </si>
  <si>
    <t>_Pat_GebGew</t>
  </si>
  <si>
    <t>PatDetails!$B$6</t>
  </si>
  <si>
    <t>PatDetails!$B$7</t>
  </si>
  <si>
    <t>PatDetails!$B$9</t>
  </si>
  <si>
    <t>NeoBerInfB!$D$4</t>
  </si>
  <si>
    <t>PedBerAfspr!$D$11</t>
  </si>
  <si>
    <t>PedBerAfspr!$D$12</t>
  </si>
  <si>
    <t>PedBerAfspr!$D$13</t>
  </si>
  <si>
    <t>PedBerAfspr!$D$14</t>
  </si>
  <si>
    <t>PedBerAfspr!$B$10</t>
  </si>
  <si>
    <t>PedBerAfspr!$F$7</t>
  </si>
  <si>
    <t>PedBerAfspr!$B$20</t>
  </si>
  <si>
    <t>PedBerAfspr!$F$10</t>
  </si>
  <si>
    <t>PedBerAfspr!$B$21</t>
  </si>
  <si>
    <t>PedBerAfspr!$F$12</t>
  </si>
  <si>
    <t>PedBerAfspr!$B$42</t>
  </si>
  <si>
    <t>PedBerAfspr!$B$7</t>
  </si>
  <si>
    <t>PedBerAfspr!$F$15</t>
  </si>
  <si>
    <t>PedBerAfspr!$F$13</t>
  </si>
  <si>
    <t>PedBerAfspr!$B$24</t>
  </si>
  <si>
    <t>PedBerAfspr!$B$8</t>
  </si>
  <si>
    <t>PedBerAfspr!$B$39</t>
  </si>
  <si>
    <t>PedBerAfspr!$F$16</t>
  </si>
  <si>
    <t>PedBerAfspr!$F$9</t>
  </si>
  <si>
    <t>PedBerAfspr!$B$11</t>
  </si>
  <si>
    <t>PedBerAfspr!$B$15</t>
  </si>
  <si>
    <t>PedBerAfspr!$B$22</t>
  </si>
  <si>
    <t>PedBerAfspr!$B$23</t>
  </si>
  <si>
    <t>PedBerAfspr!$F$11</t>
  </si>
  <si>
    <t>PedBerAfspr!$B$36</t>
  </si>
  <si>
    <t>PedBerAfspr!$D$36</t>
  </si>
  <si>
    <t>PedBerAfspr!$B$37</t>
  </si>
  <si>
    <t>PedBerAfspr!$D$37</t>
  </si>
  <si>
    <t>PedBerAfspr!$B$43</t>
  </si>
  <si>
    <t>PedBerAfspr!$B$38</t>
  </si>
  <si>
    <t>PedBerAfspr!$D$38</t>
  </si>
  <si>
    <t>PedBerAfspr!$B$16</t>
  </si>
  <si>
    <t>PedBerAfspr!$B$17</t>
  </si>
  <si>
    <t>PedBerAfspr!$B$9</t>
  </si>
  <si>
    <t>PedBerAfspr!$B$44</t>
  </si>
  <si>
    <t>PedBerAfspr!$B$27</t>
  </si>
  <si>
    <t>PedBerAfspr!$B$30</t>
  </si>
  <si>
    <t>PedBerAfspr!$B$33</t>
  </si>
  <si>
    <t>PedBerAfspr!$B$25</t>
  </si>
  <si>
    <t>PedBerAfspr!$F$8</t>
  </si>
  <si>
    <t>PedBerAfspr!$F$18</t>
  </si>
  <si>
    <t>PedBerAfspr!$F$14</t>
  </si>
  <si>
    <t>PedBerAfspr!$C$42</t>
  </si>
  <si>
    <t>PedBerAfspr!$C$7</t>
  </si>
  <si>
    <t>PedBerAfspr!$D$7</t>
  </si>
  <si>
    <t>PedBerAfspr!$C$8</t>
  </si>
  <si>
    <t>PedBerAfspr!$D$8</t>
  </si>
  <si>
    <t>PedBerAfspr!$D$40</t>
  </si>
  <si>
    <t>PedBerAfspr!$D$39</t>
  </si>
  <si>
    <t>PedBerAfspr!$G$16</t>
  </si>
  <si>
    <t>PedBerAfspr!$B$12</t>
  </si>
  <si>
    <t>PedBerAfspr!$F$17</t>
  </si>
  <si>
    <t>PedBerAfspr!$C$9</t>
  </si>
  <si>
    <t>PedBerAfspr!$D$9</t>
  </si>
  <si>
    <t>PedBerAfspr!$D$29</t>
  </si>
  <si>
    <t>PedBerAfspr!$D$27</t>
  </si>
  <si>
    <t>PedBerAfspr!$D$28</t>
  </si>
  <si>
    <t>PedBerAfspr!$D$32</t>
  </si>
  <si>
    <t>PedBerAfspr!$D$30</t>
  </si>
  <si>
    <t>PedBerAfspr!$D$31</t>
  </si>
  <si>
    <t>PedBerAfspr!$D$35</t>
  </si>
  <si>
    <t>PedBerAfspr!$D$33</t>
  </si>
  <si>
    <t>PedBerAfspr!$D$34</t>
  </si>
  <si>
    <t>PedBerAfspr!$H$18</t>
  </si>
  <si>
    <t>PedBerAfspr!$G$18</t>
  </si>
  <si>
    <t xml:space="preserve">Patient: , </t>
  </si>
  <si>
    <t xml:space="preserve">Naam: , </t>
  </si>
  <si>
    <t>PedBerAfspr!$B$7,PedBerAfspr!$B$8,PedBerAfspr!$B$9,PedBerAfspr!$B$10,PedBerAfspr!$B$11,PedBerAfspr!$D$11,PedBerAfspr!$D$12,PedBerAfspr!$D$13,PedBerAfspr!$D$14,PedBerAfspr!$B$15,PedBerAfspr!$B$16,PedBerAfspr!$B$17,PedBerAfspr!$B$20,PedBerAfspr!$B$21,PedBerAfspr!$B$22,PedBerAfspr!$B$23,PedBerAfspr!$B$24,PedBerAfspr!$B$25,PedBerAfspr!$B$27,PedBerAfspr!$B$30,PedBerAfspr!$B$33,PedBerAfspr!$B$36,PedBerAfspr!$B$37,PedBerAfspr!$B$38,PedBerAfspr!$B$39,PedBerAfspr!$D$36,PedBerAfspr!$D$37,PedBerAfspr!$D$38,PedBerAfspr!$F$7,PedBerAfspr!$F$8,PedBerAfspr!$F$9,PedBerAfspr!$F$10,PedBerAfspr!$F$11,PedBerAfspr!$F$12,PedBerAfspr!$F$13,PedBerAfspr!$F$14,PedBerAfspr!$F$15,PedBerAfspr!$B$42,PedBerAfspr!$B$43,PedBerAfspr!$B$44,PedBerAfspr!$F$16,PedBerAfspr!$F$18</t>
  </si>
  <si>
    <t>PedBerAfspr!$D$7,PedBerAfspr!$D$8,PedBerAfspr!$D$9,PedBerAfspr!$D$10,PedBerAfspr!$B$12,PedBerAfspr!$D$27,PedBerAfspr!$D$28,PedBerAfspr!$D$29,PedBerAfspr!$D$30,PedBerAfspr!$D$31,PedBerAfspr!$D$32,PedBerAfspr!$D$33,PedBerAfspr!$D$34,PedBerAfspr!$D$35,PedBerAfspr!$D$39,PedBerAfspr!$D$40,PedBerAfspr!$F$17,PedBerAfspr!$C$7,PedBerAfspr!$C$8,PedBerAfspr!$C$9,PedBerAfspr!$C$10,PedBerAfspr!$G$16,PedBerAfspr!$G$18,PedBerAfspr!$H$18,PedBerAfspr!$C$42,PedBerAfspr!$C$43</t>
  </si>
  <si>
    <t>PedTblAfspr!$A$2:$A$5</t>
  </si>
  <si>
    <t>PedTblAfspr!$C$2:$C$6</t>
  </si>
  <si>
    <t>PedTblAfspr!$D$2:$D$5</t>
  </si>
  <si>
    <t>PedTblAfspr!$B$2:$B$8</t>
  </si>
  <si>
    <t>PedTblAfspr!$F$2:$F$6</t>
  </si>
  <si>
    <t>PedTblAfspr!$J$2:$J$5</t>
  </si>
  <si>
    <t>PedTblAfspr!$E$2:$E$6</t>
  </si>
  <si>
    <t>PedTblAfspr!$I$2:$I$5</t>
  </si>
  <si>
    <t>PedTblAfspr!$G$2:$H$98</t>
  </si>
  <si>
    <t>GlobBerMedDisc!$C$28:$D$39</t>
  </si>
  <si>
    <t>NeoBerInfB!$B$6</t>
  </si>
  <si>
    <t>NeoBerInfB!$B$90</t>
  </si>
  <si>
    <t>F:=IF(NeoBerInfB!B20&gt;1,INDEX(tbl_Neo_MedIV,NeoBerInfB!B20, 1)&amp;" "&amp;NeoGuiInfB!C32&amp;" "&amp;NeoGuiInfB!D32&amp;" "&amp; INDEX(tbl_Neo_Opl,NeoBerInfB!E20,1)&amp;" " &amp; NeoGuiInfB!G32&amp;" (="&amp;NeoGuiInfB!H32&amp;" "&amp;NeoGuiInfB!I32&amp;"), inlooptijd: "&amp;NeoGuiInfB!N32,"")</t>
  </si>
  <si>
    <t>NeoBerInfB!$B$91</t>
  </si>
  <si>
    <t>F:=IF(NeoBerInfB!B21&gt;1,INDEX(tbl_Neo_MedIV,NeoBerInfB!B21, 1)&amp;" "&amp;NeoGuiInfB!C33&amp;" "&amp;NeoGuiInfB!D33&amp;" "&amp; INDEX(tbl_Neo_Opl,NeoBerInfB!E21,1)&amp;" " &amp; NeoGuiInfB!G33&amp;" (="&amp;NeoGuiInfB!H33&amp;" "&amp;NeoGuiInfB!I33&amp;"), inlooptijd: "&amp;NeoGuiInfB!N33,"")</t>
  </si>
  <si>
    <t>NeoBerInfB!$B$92</t>
  </si>
  <si>
    <t>F:=IF(NeoBerInfB!B22&gt;1,INDEX(tbl_Neo_MedIV,NeoBerInfB!B22, 1)&amp;" "&amp;NeoGuiInfB!C34&amp;" "&amp;NeoGuiInfB!D34&amp;" "&amp; INDEX(tbl_Neo_Opl,NeoBerInfB!E22,1)&amp;" " &amp; NeoGuiInfB!G34&amp;" (="&amp;NeoGuiInfB!H34&amp;" "&amp;NeoGuiInfB!I34&amp;"), inlooptijd: "&amp;NeoGuiInfB!N34,"")</t>
  </si>
  <si>
    <t>NeoBerInfB!$B$93</t>
  </si>
  <si>
    <t>F:=IF(NeoBerInfB!B23&gt;1,INDEX(tbl_Neo_MedIV,NeoBerInfB!B23, 1)&amp;" "&amp;NeoGuiInfB!C35&amp;" "&amp;NeoGuiInfB!D35&amp;" "&amp; INDEX(tbl_Neo_Opl,NeoBerInfB!E23,1)&amp;" " &amp; NeoGuiInfB!G35&amp;" (="&amp;NeoGuiInfB!H35&amp;" "&amp;NeoGuiInfB!I35&amp;"), inlooptijd: "&amp;NeoGuiInfB!N35,"")</t>
  </si>
  <si>
    <t>NeoBerInfB!$B$94</t>
  </si>
  <si>
    <t>F:=IF(NeoBerInfB!B24&gt;1,INDEX(tbl_Neo_MedIV,NeoBerInfB!B24, 1)&amp;" "&amp;NeoGuiInfB!C36&amp;" "&amp;NeoGuiInfB!D36&amp;" "&amp; INDEX(tbl_Neo_Opl,NeoBerInfB!E24,1)&amp;" " &amp; NeoGuiInfB!G36&amp;" (="&amp;NeoGuiInfB!H36&amp;" "&amp;NeoGuiInfB!I36&amp;"), inlooptijd: "&amp;NeoGuiInfB!N36,"")</t>
  </si>
  <si>
    <t>NeoBerInfB!$B$95</t>
  </si>
  <si>
    <t>F:=IF(NeoBerInfB!B25&gt;1,INDEX(tbl_Neo_MedIV,NeoBerInfB!B25, 1)&amp;" "&amp;NeoGuiInfB!C37&amp;" "&amp;NeoGuiInfB!D37&amp;" "&amp; INDEX(tbl_Neo_Opl,NeoBerInfB!E25,1)&amp;" " &amp; NeoGuiInfB!G37&amp;" (="&amp;NeoGuiInfB!H37&amp;" "&amp;NeoGuiInfB!I37&amp;"), inlooptijd: "&amp;NeoGuiInfB!N37,"")</t>
  </si>
  <si>
    <t>NeoBerInfB!$B$96</t>
  </si>
  <si>
    <t>F:=IF(NeoBerInfB!B26&gt;1,INDEX(tbl_Neo_MedIV,NeoBerInfB!B26, 1)&amp;" "&amp;NeoGuiInfB!C38&amp;" "&amp;NeoGuiInfB!D38&amp;" "&amp; INDEX(tbl_Neo_Opl,NeoBerInfB!E26,1)&amp;" " &amp; NeoGuiInfB!G38&amp;" (="&amp;NeoGuiInfB!H38&amp;" "&amp;NeoGuiInfB!I38&amp;"), inlooptijd: "&amp;NeoGuiInfB!N38,"")</t>
  </si>
  <si>
    <t>NeoBerInfB!$B$97</t>
  </si>
  <si>
    <t>F:=IF(NeoBerInfB!B27&gt;1,INDEX(tbl_Neo_MedIV,NeoBerInfB!B27, 1)&amp;" "&amp;NeoGuiInfB!C39&amp;" "&amp;NeoGuiInfB!D39&amp;" "&amp; INDEX(tbl_Neo_Opl,NeoBerInfB!E27,1)&amp;" " &amp; NeoGuiInfB!G39&amp;" (="&amp;NeoGuiInfB!H39&amp;" "&amp;NeoGuiInfB!I39&amp;"), inlooptijd: "&amp;NeoGuiInfB!N39,"")</t>
  </si>
  <si>
    <t>NeoBerInfB!$B$98</t>
  </si>
  <si>
    <t>F:=IF(NeoBerInfB!B28&gt;1,INDEX(tbl_Neo_MedIV,NeoBerInfB!B28, 1)&amp;" "&amp;NeoGuiInfB!C40&amp;" "&amp;NeoGuiInfB!D40&amp;" "&amp; INDEX(tbl_Neo_Opl,NeoBerInfB!E28,1)&amp;" " &amp; NeoGuiInfB!G40&amp;" (="&amp;NeoGuiInfB!H40&amp;" "&amp;NeoGuiInfB!I40&amp;"), inlooptijd: "&amp;NeoGuiInfB!N40,"")</t>
  </si>
  <si>
    <t>NeoBerInfB!$B$99</t>
  </si>
  <si>
    <t>F:=IF(NeoBerInfB!E29&lt;&gt;0, NeoGuiInfB!B42&amp;": "&amp; INDEX(tbl_Neo_Opl,NeoBerInfB!$E29,1)&amp;" " &amp; NeoGuiInfB!G42,"")</t>
  </si>
  <si>
    <t>NeoBerInfB!$B$100</t>
  </si>
  <si>
    <t>F:=IF(NeoBerInfB!E30&lt;&gt;0, NeoGuiInfB!B43&amp;": "&amp; INDEX(tbl_Neo_Opl,NeoBerInfB!$E30,1)&amp;" " &amp; NeoGuiInfB!G43,"")</t>
  </si>
  <si>
    <t>NeoBerInfB!$B$101</t>
  </si>
  <si>
    <t>F:=IF(NeoBerInfB!E31&lt;&gt;0, NeoGuiInfB!B44&amp;": "&amp; INDEX(tbl_Neo_Opl,NeoBerInfB!$E31,1)&amp;" " &amp; NeoGuiInfB!G44,"")</t>
  </si>
  <si>
    <t>NeoBerInfB!$B$102</t>
  </si>
  <si>
    <t>F:=IF(NeoBerInfB!B32="","",NeoBerInfB!B32)</t>
  </si>
  <si>
    <t>NeoBerInfB!$B$103</t>
  </si>
  <si>
    <t>F:=IF(NeoBerInfB!B33="","",NeoBerInfB!B33)</t>
  </si>
  <si>
    <t>NeoBerInfB!$B$104</t>
  </si>
  <si>
    <t>F:=IF(NeoBerInfB!C35&lt;&gt;0,CONCATENATE("Intralipid 20% (incl.vitintra) ",ROUNDUP(NeoBerInfB!C35/24,1)," ml/uur"),"")</t>
  </si>
  <si>
    <t>NeoBerInfB!$B$105</t>
  </si>
  <si>
    <t>NeoBerInfB!$B$106</t>
  </si>
  <si>
    <t>NeoBerInfB!$B$107</t>
  </si>
  <si>
    <t>NeoBerInfB!$B$108</t>
  </si>
  <si>
    <t>NeoBerInfB!$B$109</t>
  </si>
  <si>
    <t>NeoBerInfB!$B$110</t>
  </si>
  <si>
    <t>NeoBerInfB!$B$111</t>
  </si>
  <si>
    <t>NeoBerInfB!$B$112</t>
  </si>
  <si>
    <t>NeoBerInfB!$B$113</t>
  </si>
  <si>
    <t>NeoBerInfB!$B$114</t>
  </si>
  <si>
    <t>NeoBerInfB!$B$115</t>
  </si>
  <si>
    <t>NeoBerInfB!$B$116</t>
  </si>
  <si>
    <t>NeoBerInfB!$B$73</t>
  </si>
  <si>
    <t>F:=IF(NeoGuiInfB!E18=0,"",CONCATENATE(NeoGuiInfB!B18,": ",NeoGuiInfB!E18," ",NeoGuiInfB!F18," = "&amp;NeoBerInfB!K47&amp;" ml"))</t>
  </si>
  <si>
    <t>NeoBerInfB!$B$74</t>
  </si>
  <si>
    <t>F:=IF(INDEX(tbl_Neo_Pos,NeoBerInfB!D14,1)=0,"",CONCATENATE(NeoGuiInfB!H21," ",INDEX(tbl_Neo_Pos,NeoBerInfB!D14,1)))</t>
  </si>
  <si>
    <t>NeoBerInfB!$B$75</t>
  </si>
  <si>
    <t>F:=IF(INDEX(tbl_Neo_Pos,NeoBerInfB!D14,1)=0,"",CONCATENATE("Hoeveelheid 1:  ",NeoGuiInfB!E21," ",NeoGuiInfB!F21," ",NeoGuiInfB!G21))</t>
  </si>
  <si>
    <t>NeoBerInfB!$B$76</t>
  </si>
  <si>
    <t>F:=IF(INDEX(tbl_Neo_Pos,NeoBerInfB!D14,1)=0,"",CONCATENATE("Hoeveelheid 2:  ",NeoGuiInfB!E22," ",NeoGuiInfB!F22," ",NeoGuiInfB!G22))</t>
  </si>
  <si>
    <t>NeoBerInfB!$B$77</t>
  </si>
  <si>
    <t>NeoBerInfB!$B$78</t>
  </si>
  <si>
    <t>NeoBerInfB!$B$79</t>
  </si>
  <si>
    <t>NeoBerInfB!$B$80</t>
  </si>
  <si>
    <t>NeoBerInfB!$B$81</t>
  </si>
  <si>
    <t>NeoBerInfB!$B$82</t>
  </si>
  <si>
    <t>NeoBerInfB!$B$83</t>
  </si>
  <si>
    <t>NeoBerInfB!$B$84</t>
  </si>
  <si>
    <t>NeoBerInfB!$B$85</t>
  </si>
  <si>
    <t>NeoBerInfB!$B$86</t>
  </si>
  <si>
    <t>F:=IF(NeoGuiInfB!E28&gt;0,CONCATENATE(NeoGuiInfB!B28," ",NeoGuiInfB!E28," ",NeoGuiInfB!F28),"")</t>
  </si>
  <si>
    <t>NeoBerInfB!$B$87</t>
  </si>
  <si>
    <t>F:=CONCATENATE(NeoGuiInfB!B19,": ",IF(NeoBerInfB!B15=1,"Ja","Nee"))</t>
  </si>
  <si>
    <t>NeoBerInfB!$K$52</t>
  </si>
  <si>
    <t>F:=INDEX(tbl_Neo_NutrBMFWaard,NeoBerInfB!J52)</t>
  </si>
  <si>
    <t>NeoBerInfB!$K$53</t>
  </si>
  <si>
    <t>F:=INDEX(tbl_Neo_NutrToevWaard,NeoBerInfB!J53)</t>
  </si>
  <si>
    <t>NeoBerInfB!$K$54</t>
  </si>
  <si>
    <t>F:=INDEX(tbl_Neo_NutrToevWaard,NeoBerInfB!J54)</t>
  </si>
  <si>
    <t>NeoBerInfB!$K$55</t>
  </si>
  <si>
    <t>F:=INDEX(tbl_Neo_NutrToevWaard,NeoBerInfB!J55)</t>
  </si>
  <si>
    <t>NeoBerInfB!$K$56</t>
  </si>
  <si>
    <t>F:=INDEX(tbl_Neo_NutrToevWaard,NeoBerInfB!J56)</t>
  </si>
  <si>
    <t>NeoBerInfB!$K$58</t>
  </si>
  <si>
    <t>F:=INDEX(tbl_Neo_NutrToevWaard,NeoBerInfB!J58)</t>
  </si>
  <si>
    <t>NeoBerInfB!$K$59</t>
  </si>
  <si>
    <t>F:=INDEX(tbl_Neo_NutrToevWaard,NeoBerInfB!J59)</t>
  </si>
  <si>
    <t>NeoBerInfB!$K$60</t>
  </si>
  <si>
    <t>F:=INDEX(tbl_Neo_NutrToevWaard,NeoBerInfB!J60)</t>
  </si>
  <si>
    <t>NeoBerInfB!$K$61</t>
  </si>
  <si>
    <t>F:=INDEX(tbl_Neo_NutrToevWaard,NeoBerInfB!J61)</t>
  </si>
  <si>
    <t>F:=IF(NeoBerInfB!B18&gt;0,(24*NeoBerInfB!B18/10-M6)*10,"")</t>
  </si>
  <si>
    <t>F:=IF(24*NeoBerInfB!B18&gt;0,TRUNC(24*NeoBerInfB!B18/10),"")</t>
  </si>
  <si>
    <t>F:=NeoGuiInfB!B30</t>
  </si>
  <si>
    <t>F:=IF(NeoBerInfB!$K$39&gt;0,TRUNC(NeoBerInfB!$C$39),"")</t>
  </si>
  <si>
    <t>F:=IF(NeoBerInfB!$K$45&gt;0,(NeoBerInfB!$K$45-M16)*100,"")</t>
  </si>
  <si>
    <t>F:=IF(NeoBerInfB!$K$45&gt;0,TRUNC(NeoBerInfB!$K$45),"")</t>
  </si>
  <si>
    <t>F:=INDEX(tbl_Neo_Opl,NeoBerInfB!D45+1,1)</t>
  </si>
  <si>
    <t>F:=IF(NeoBerInfB!$K$40&gt;0,TRUNC(NeoBerInfB!$C$40),"")</t>
  </si>
  <si>
    <t>F:=IF(NeoBerInfB!$K$42&gt;0,TRUNC(NeoBerInfB!$C$42),"")</t>
  </si>
  <si>
    <t>F:=IF(NeoBerInfB!$K$41&gt;0,TRUNC(NeoBerInfB!$C$41),"")</t>
  </si>
  <si>
    <t>PedBerAfspr!$B$47</t>
  </si>
  <si>
    <t>PedBerAfspr!$B$49</t>
  </si>
  <si>
    <t>PedBerAfspr!$B$48</t>
  </si>
  <si>
    <t>PedBerAfspr!$B$50</t>
  </si>
  <si>
    <t>GlobBerMedDisc!$P$33</t>
  </si>
  <si>
    <t>PedBerMedIV!$B$18</t>
  </si>
  <si>
    <t>_Ped_MedIV_Keuze_16</t>
  </si>
  <si>
    <t>PedBerMedIV!$B$19</t>
  </si>
  <si>
    <t>_Ped_MedIV_Keuze_17</t>
  </si>
  <si>
    <t>PedBerMedIV!$B$20</t>
  </si>
  <si>
    <t>_Ped_MedIV_Keuze_18</t>
  </si>
  <si>
    <t>PedBerMedIV!$B$21</t>
  </si>
  <si>
    <t>_Ped_MedIV_Keuze_19</t>
  </si>
  <si>
    <t>PedBerMedIV!$B$22</t>
  </si>
  <si>
    <t>_Ped_MedIV_Keuze_20</t>
  </si>
  <si>
    <t>PedBerMedIV!$I$18</t>
  </si>
  <si>
    <t>_Ped_MedIV_OplVlst_16</t>
  </si>
  <si>
    <t>PedBerMedIV!$I$19</t>
  </si>
  <si>
    <t>_Ped_MedIV_OplVlst_17</t>
  </si>
  <si>
    <t>PedBerMedIV!$I$20</t>
  </si>
  <si>
    <t>_Ped_MedIV_OplVlst_18</t>
  </si>
  <si>
    <t>PedBerMedIV!$I$21</t>
  </si>
  <si>
    <t>_Ped_MedIV_OplVlst_19</t>
  </si>
  <si>
    <t>PedBerMedIV!$I$22</t>
  </si>
  <si>
    <t>_Ped_MedIV_OplVlst_20</t>
  </si>
  <si>
    <t>PedBerMedIV!$E$18</t>
  </si>
  <si>
    <t>_Ped_MedIV_OplVol_16</t>
  </si>
  <si>
    <t>PedBerMedIV!$E$19</t>
  </si>
  <si>
    <t>_Ped_MedIV_OplVol_17</t>
  </si>
  <si>
    <t>PedBerMedIV!$E$20</t>
  </si>
  <si>
    <t>_Ped_MedIV_OplVol_18</t>
  </si>
  <si>
    <t>PedBerMedIV!$E$21</t>
  </si>
  <si>
    <t>_Ped_MedIV_OplVol_19</t>
  </si>
  <si>
    <t>PedBerMedIV!$E$22</t>
  </si>
  <si>
    <t>_Ped_MedIV_OplVol_20</t>
  </si>
  <si>
    <t>PedBerMedIV!$J$18</t>
  </si>
  <si>
    <t>_Ped_MedIV_Stand_16</t>
  </si>
  <si>
    <t>PedBerMedIV!$J$19</t>
  </si>
  <si>
    <t>_Ped_MedIV_Stand_17</t>
  </si>
  <si>
    <t>PedBerMedIV!$J$20</t>
  </si>
  <si>
    <t>_Ped_MedIV_Stand_18</t>
  </si>
  <si>
    <t>PedBerMedIV!$J$21</t>
  </si>
  <si>
    <t>_Ped_MedIV_Stand_19</t>
  </si>
  <si>
    <t>PedBerMedIV!$J$22</t>
  </si>
  <si>
    <t>_Ped_MedIV_Stand_20</t>
  </si>
  <si>
    <t>PedBerMedIV!$D$18</t>
  </si>
  <si>
    <t>_Ped_MedIV_Sterkte_16</t>
  </si>
  <si>
    <t>PedBerMedIV!$D$19</t>
  </si>
  <si>
    <t>_Ped_MedIV_Sterkte_17</t>
  </si>
  <si>
    <t>PedBerMedIV!$D$20</t>
  </si>
  <si>
    <t>_Ped_MedIV_Sterkte_18</t>
  </si>
  <si>
    <t>PedBerMedIV!$D$21</t>
  </si>
  <si>
    <t>_Ped_MedIV_Sterkte_19</t>
  </si>
  <si>
    <t>PedBerMedIV!$D$22</t>
  </si>
  <si>
    <t>_Ped_MedIV_Sterkte_20</t>
  </si>
  <si>
    <t>PedBerMedIV!$B$2:$H$17</t>
  </si>
  <si>
    <t>IsStand</t>
  </si>
  <si>
    <t>Verw</t>
  </si>
  <si>
    <t>Eenheid</t>
  </si>
  <si>
    <t>Calc Conc</t>
  </si>
  <si>
    <t>Calc Vol</t>
  </si>
  <si>
    <t>Opl Vol</t>
  </si>
  <si>
    <t>Dose Calc 16-20</t>
  </si>
  <si>
    <t>PRN</t>
  </si>
  <si>
    <t>PRNTekst</t>
  </si>
  <si>
    <t>Dagdosering</t>
  </si>
  <si>
    <t>Acties</t>
  </si>
  <si>
    <t>Conc</t>
  </si>
  <si>
    <t>PRNActie</t>
  </si>
  <si>
    <t>MedicatieIV</t>
  </si>
  <si>
    <t>Full Name</t>
  </si>
  <si>
    <t>Leeftijd jaren maanden</t>
  </si>
  <si>
    <t>Leeftijd weken dagen</t>
  </si>
  <si>
    <t>Opname dag</t>
  </si>
  <si>
    <t xml:space="preserve">Lengte </t>
  </si>
  <si>
    <t>Opname datum</t>
  </si>
  <si>
    <t>Patient nummer</t>
  </si>
  <si>
    <t>Ventric. output:</t>
  </si>
  <si>
    <t>Ventric. sens.:</t>
  </si>
  <si>
    <t>GlobBerMedDisc!$AK$2</t>
  </si>
  <si>
    <t>GlobBerMedDisc!$AK$3</t>
  </si>
  <si>
    <t>GlobBerMedDisc!$AK$4</t>
  </si>
  <si>
    <t>GlobBerMedDisc!$AK$5</t>
  </si>
  <si>
    <t>GlobBerMedDisc!$AK$6</t>
  </si>
  <si>
    <t>GlobBerMedDisc!$AK$7</t>
  </si>
  <si>
    <t>GlobBerMedDisc!$AK$8</t>
  </si>
  <si>
    <t>GlobBerMedDisc!$AK$9</t>
  </si>
  <si>
    <t>GlobBerMedDisc!$AK$10</t>
  </si>
  <si>
    <t>GlobBerMedDisc!$AK$11</t>
  </si>
  <si>
    <t>GlobBerMedDisc!$AK$12</t>
  </si>
  <si>
    <t>GlobBerMedDisc!$AK$13</t>
  </si>
  <si>
    <t>GlobBerMedDisc!$AK$14</t>
  </si>
  <si>
    <t>GlobBerMedDisc!$AK$15</t>
  </si>
  <si>
    <t>GlobBerMedDisc!$AK$16</t>
  </si>
  <si>
    <t>GlobBerMedDisc!$AK$17</t>
  </si>
  <si>
    <t>GlobBerMedDisc!$AK$18</t>
  </si>
  <si>
    <t>GlobBerMedDisc!$AK$19</t>
  </si>
  <si>
    <t>GlobBerMedDisc!$AK$20</t>
  </si>
  <si>
    <t>GlobBerMedDisc!$AK$21</t>
  </si>
  <si>
    <t>GlobBerMedDisc!$AK$22</t>
  </si>
  <si>
    <t>GlobBerMedDisc!$AK$23</t>
  </si>
  <si>
    <t>GlobBerMedDisc!$AK$24</t>
  </si>
  <si>
    <t>GlobBerMedDisc!$AK$25</t>
  </si>
  <si>
    <t>GlobBerMedDisc!$AK$26</t>
  </si>
  <si>
    <t>GlobBerMedDisc!$AK$27</t>
  </si>
  <si>
    <t>GlobBerMedDisc!$AK$28</t>
  </si>
  <si>
    <t>GlobBerMedDisc!$AK$29</t>
  </si>
  <si>
    <t>GlobBerMedDisc!$AK$30</t>
  </si>
  <si>
    <t>GlobBerMedDisc!$AK$31</t>
  </si>
  <si>
    <t>GlobBerMedDisc!$AB$2</t>
  </si>
  <si>
    <t>GlobBerMedDisc!$AB$3</t>
  </si>
  <si>
    <t>GlobBerMedDisc!$AB$4</t>
  </si>
  <si>
    <t>GlobBerMedDisc!$AB$5</t>
  </si>
  <si>
    <t>GlobBerMedDisc!$AB$6</t>
  </si>
  <si>
    <t>GlobBerMedDisc!$AB$7</t>
  </si>
  <si>
    <t>GlobBerMedDisc!$AB$8</t>
  </si>
  <si>
    <t>GlobBerMedDisc!$AB$9</t>
  </si>
  <si>
    <t>GlobBerMedDisc!$AB$10</t>
  </si>
  <si>
    <t>GlobBerMedDisc!$AB$11</t>
  </si>
  <si>
    <t>GlobBerMedDisc!$AB$12</t>
  </si>
  <si>
    <t>GlobBerMedDisc!$AB$13</t>
  </si>
  <si>
    <t>GlobBerMedDisc!$AB$14</t>
  </si>
  <si>
    <t>GlobBerMedDisc!$AB$15</t>
  </si>
  <si>
    <t>GlobBerMedDisc!$AB$16</t>
  </si>
  <si>
    <t>GlobBerMedDisc!$AB$17</t>
  </si>
  <si>
    <t>GlobBerMedDisc!$AB$18</t>
  </si>
  <si>
    <t>GlobBerMedDisc!$AB$19</t>
  </si>
  <si>
    <t>GlobBerMedDisc!$AB$20</t>
  </si>
  <si>
    <t>GlobBerMedDisc!$AB$21</t>
  </si>
  <si>
    <t>GlobBerMedDisc!$AB$22</t>
  </si>
  <si>
    <t>GlobBerMedDisc!$AB$23</t>
  </si>
  <si>
    <t>GlobBerMedDisc!$AB$24</t>
  </si>
  <si>
    <t>GlobBerMedDisc!$AB$25</t>
  </si>
  <si>
    <t>GlobBerMedDisc!$AB$26</t>
  </si>
  <si>
    <t>GlobBerMedDisc!$AB$27</t>
  </si>
  <si>
    <t>GlobBerMedDisc!$AB$28</t>
  </si>
  <si>
    <t>GlobBerMedDisc!$AB$29</t>
  </si>
  <si>
    <t>GlobBerMedDisc!$AB$30</t>
  </si>
  <si>
    <t>GlobBerMedDisc!$AB$31</t>
  </si>
  <si>
    <t>_Glob_MedDisc_PRN_01</t>
  </si>
  <si>
    <t>_Glob_MedDisc_PRN_02</t>
  </si>
  <si>
    <t>_Glob_MedDisc_PRN_03</t>
  </si>
  <si>
    <t>_Glob_MedDisc_PRN_04</t>
  </si>
  <si>
    <t>_Glob_MedDisc_PRN_05</t>
  </si>
  <si>
    <t>_Glob_MedDisc_PRN_06</t>
  </si>
  <si>
    <t>_Glob_MedDisc_PRN_07</t>
  </si>
  <si>
    <t>_Glob_MedDisc_PRN_08</t>
  </si>
  <si>
    <t>_Glob_MedDisc_PRN_09</t>
  </si>
  <si>
    <t>_Glob_MedDisc_PRN_10</t>
  </si>
  <si>
    <t>_Glob_MedDisc_PRN_11</t>
  </si>
  <si>
    <t>_Glob_MedDisc_PRN_12</t>
  </si>
  <si>
    <t>_Glob_MedDisc_PRN_13</t>
  </si>
  <si>
    <t>_Glob_MedDisc_PRN_14</t>
  </si>
  <si>
    <t>_Glob_MedDisc_PRN_15</t>
  </si>
  <si>
    <t>_Glob_MedDisc_PRN_16</t>
  </si>
  <si>
    <t>_Glob_MedDisc_PRN_17</t>
  </si>
  <si>
    <t>_Glob_MedDisc_PRN_18</t>
  </si>
  <si>
    <t>_Glob_MedDisc_PRN_19</t>
  </si>
  <si>
    <t>_Glob_MedDisc_PRN_20</t>
  </si>
  <si>
    <t>_Glob_MedDisc_PRN_21</t>
  </si>
  <si>
    <t>_Glob_MedDisc_PRN_22</t>
  </si>
  <si>
    <t>_Glob_MedDisc_PRN_23</t>
  </si>
  <si>
    <t>_Glob_MedDisc_PRN_24</t>
  </si>
  <si>
    <t>_Glob_MedDisc_PRN_25</t>
  </si>
  <si>
    <t>_Glob_MedDisc_PRN_26</t>
  </si>
  <si>
    <t>_Glob_MedDisc_PRN_27</t>
  </si>
  <si>
    <t>_Glob_MedDisc_PRN_28</t>
  </si>
  <si>
    <t>_Glob_MedDisc_PRN_29</t>
  </si>
  <si>
    <t>_Glob_MedDisc_PRN_30</t>
  </si>
  <si>
    <t>_Glob_MedDisc_PRNText_01</t>
  </si>
  <si>
    <t>_Glob_MedDisc_PRNText_02</t>
  </si>
  <si>
    <t>_Glob_MedDisc_PRNText_03</t>
  </si>
  <si>
    <t>_Glob_MedDisc_PRNText_04</t>
  </si>
  <si>
    <t>_Glob_MedDisc_PRNText_05</t>
  </si>
  <si>
    <t>_Glob_MedDisc_PRNText_06</t>
  </si>
  <si>
    <t>_Glob_MedDisc_PRNText_07</t>
  </si>
  <si>
    <t>_Glob_MedDisc_PRNText_08</t>
  </si>
  <si>
    <t>_Glob_MedDisc_PRNText_09</t>
  </si>
  <si>
    <t>_Glob_MedDisc_PRNText_10</t>
  </si>
  <si>
    <t>_Glob_MedDisc_PRNText_11</t>
  </si>
  <si>
    <t>_Glob_MedDisc_PRNText_12</t>
  </si>
  <si>
    <t>_Glob_MedDisc_PRNText_13</t>
  </si>
  <si>
    <t>_Glob_MedDisc_PRNText_14</t>
  </si>
  <si>
    <t>_Glob_MedDisc_PRNText_15</t>
  </si>
  <si>
    <t>_Glob_MedDisc_PRNText_16</t>
  </si>
  <si>
    <t>_Glob_MedDisc_PRNText_17</t>
  </si>
  <si>
    <t>_Glob_MedDisc_PRNText_18</t>
  </si>
  <si>
    <t>_Glob_MedDisc_PRNText_19</t>
  </si>
  <si>
    <t>_Glob_MedDisc_PRNText_20</t>
  </si>
  <si>
    <t>_Glob_MedDisc_PRNText_21</t>
  </si>
  <si>
    <t>_Glob_MedDisc_PRNText_22</t>
  </si>
  <si>
    <t>_Glob_MedDisc_PRNText_23</t>
  </si>
  <si>
    <t>_Glob_MedDisc_PRNText_24</t>
  </si>
  <si>
    <t>_Glob_MedDisc_PRNText_25</t>
  </si>
  <si>
    <t>_Glob_MedDisc_PRNText_26</t>
  </si>
  <si>
    <t>_Glob_MedDisc_PRNText_27</t>
  </si>
  <si>
    <t>_Glob_MedDisc_PRNText_28</t>
  </si>
  <si>
    <t>_Glob_MedDisc_PRNText_29</t>
  </si>
  <si>
    <t>_Glob_MedDisc_PRNText_30</t>
  </si>
  <si>
    <t>GlobBerMedDisc!$AJ$2</t>
  </si>
  <si>
    <t>GlobBerMedDisc!$AJ$3</t>
  </si>
  <si>
    <t>GlobBerMedDisc!$AJ$4</t>
  </si>
  <si>
    <t>GlobBerMedDisc!$AJ$5</t>
  </si>
  <si>
    <t>GlobBerMedDisc!$AJ$6</t>
  </si>
  <si>
    <t>GlobBerMedDisc!$AJ$7</t>
  </si>
  <si>
    <t>GlobBerMedDisc!$AJ$8</t>
  </si>
  <si>
    <t>GlobBerMedDisc!$AJ$9</t>
  </si>
  <si>
    <t>GlobBerMedDisc!$AJ$10</t>
  </si>
  <si>
    <t>GlobBerMedDisc!$AJ$11</t>
  </si>
  <si>
    <t>GlobBerMedDisc!$AJ$12</t>
  </si>
  <si>
    <t>GlobBerMedDisc!$AJ$13</t>
  </si>
  <si>
    <t>GlobBerMedDisc!$AJ$14</t>
  </si>
  <si>
    <t>GlobBerMedDisc!$AJ$15</t>
  </si>
  <si>
    <t>GlobBerMedDisc!$AJ$16</t>
  </si>
  <si>
    <t>GlobBerMedDisc!$AJ$17</t>
  </si>
  <si>
    <t>GlobBerMedDisc!$AJ$18</t>
  </si>
  <si>
    <t>GlobBerMedDisc!$AJ$19</t>
  </si>
  <si>
    <t>GlobBerMedDisc!$AJ$20</t>
  </si>
  <si>
    <t>GlobBerMedDisc!$AJ$21</t>
  </si>
  <si>
    <t>GlobBerMedDisc!$AJ$22</t>
  </si>
  <si>
    <t>GlobBerMedDisc!$AJ$23</t>
  </si>
  <si>
    <t>GlobBerMedDisc!$AJ$24</t>
  </si>
  <si>
    <t>GlobBerMedDisc!$AJ$25</t>
  </si>
  <si>
    <t>GlobBerMedDisc!$AJ$26</t>
  </si>
  <si>
    <t>GlobBerMedDisc!$AJ$27</t>
  </si>
  <si>
    <t>GlobBerMedDisc!$AJ$28</t>
  </si>
  <si>
    <t>GlobBerMedDisc!$AJ$29</t>
  </si>
  <si>
    <t>GlobBerMedDisc!$AJ$30</t>
  </si>
  <si>
    <t>GlobBerMedDisc!$AJ$31</t>
  </si>
  <si>
    <t>GlobBerOpm!$B$5</t>
  </si>
  <si>
    <t>GlobBerOpm!$B$3</t>
  </si>
  <si>
    <t>GlobBerOpm!$B$4</t>
  </si>
  <si>
    <t>PedTblMedIV!$Y$3:$Y$6</t>
  </si>
  <si>
    <t>PatDetails!$B$11</t>
  </si>
  <si>
    <t>PatDetails!$B$12</t>
  </si>
  <si>
    <t>Vorm</t>
  </si>
  <si>
    <t>_Glob_MedDisc_Vorm_01</t>
  </si>
  <si>
    <t>_Glob_MedDisc_Vorm_02</t>
  </si>
  <si>
    <t>_Glob_MedDisc_Vorm_03</t>
  </si>
  <si>
    <t>_Glob_MedDisc_Vorm_04</t>
  </si>
  <si>
    <t>_Glob_MedDisc_Vorm_05</t>
  </si>
  <si>
    <t>_Glob_MedDisc_Vorm_06</t>
  </si>
  <si>
    <t>_Glob_MedDisc_Vorm_07</t>
  </si>
  <si>
    <t>_Glob_MedDisc_Vorm_08</t>
  </si>
  <si>
    <t>_Glob_MedDisc_Vorm_09</t>
  </si>
  <si>
    <t>_Glob_MedDisc_Vorm_10</t>
  </si>
  <si>
    <t>_Glob_MedDisc_Vorm_11</t>
  </si>
  <si>
    <t>_Glob_MedDisc_Vorm_12</t>
  </si>
  <si>
    <t>_Glob_MedDisc_Vorm_13</t>
  </si>
  <si>
    <t>_Glob_MedDisc_Vorm_14</t>
  </si>
  <si>
    <t>_Glob_MedDisc_Vorm_15</t>
  </si>
  <si>
    <t>_Glob_MedDisc_Vorm_16</t>
  </si>
  <si>
    <t>_Glob_MedDisc_Vorm_17</t>
  </si>
  <si>
    <t>_Glob_MedDisc_Vorm_18</t>
  </si>
  <si>
    <t>_Glob_MedDisc_Vorm_19</t>
  </si>
  <si>
    <t>_Glob_MedDisc_Vorm_20</t>
  </si>
  <si>
    <t>_Glob_MedDisc_Vorm_21</t>
  </si>
  <si>
    <t>_Glob_MedDisc_Vorm_22</t>
  </si>
  <si>
    <t>_Glob_MedDisc_Vorm_23</t>
  </si>
  <si>
    <t>_Glob_MedDisc_Vorm_24</t>
  </si>
  <si>
    <t>_Glob_MedDisc_Vorm_25</t>
  </si>
  <si>
    <t>_Glob_MedDisc_Vorm_26</t>
  </si>
  <si>
    <t>_Glob_MedDisc_Vorm_27</t>
  </si>
  <si>
    <t>_Glob_MedDisc_Vorm_28</t>
  </si>
  <si>
    <t>_Glob_MedDisc_Vorm_29</t>
  </si>
  <si>
    <t>_Glob_MedDisc_Vorm_30</t>
  </si>
  <si>
    <t xml:space="preserve">Medicament </t>
  </si>
  <si>
    <t>Actie</t>
  </si>
  <si>
    <t>Inf Snelheid</t>
  </si>
  <si>
    <t>Pat No:</t>
  </si>
  <si>
    <t>Enteraal</t>
  </si>
  <si>
    <t>Speciale voeding (per 100 mL)</t>
  </si>
  <si>
    <t>Voed Verw</t>
  </si>
  <si>
    <t>Sonde Verw</t>
  </si>
  <si>
    <t>Opmerking bij enterale voeding</t>
  </si>
  <si>
    <t>Opname Datum:</t>
  </si>
  <si>
    <t>Geboorte Datum:</t>
  </si>
  <si>
    <t>Freq Tekst</t>
  </si>
  <si>
    <t>Hoev Tekst</t>
  </si>
  <si>
    <t>Totaal Tekst</t>
  </si>
  <si>
    <t xml:space="preserve">SST 1 </t>
  </si>
  <si>
    <t xml:space="preserve">Peditrace </t>
  </si>
  <si>
    <t xml:space="preserve">NaCl 2,9% </t>
  </si>
  <si>
    <t xml:space="preserve">KCl 7,4% </t>
  </si>
  <si>
    <t xml:space="preserve">CaGluc 10% </t>
  </si>
  <si>
    <t xml:space="preserve">MgCl 10% </t>
  </si>
  <si>
    <t xml:space="preserve">Lipiden </t>
  </si>
  <si>
    <t xml:space="preserve">Intralipid 20% </t>
  </si>
  <si>
    <t xml:space="preserve">Vitintra Infant </t>
  </si>
  <si>
    <t xml:space="preserve">Soluvit </t>
  </si>
  <si>
    <t xml:space="preserve">Opmerking </t>
  </si>
  <si>
    <t xml:space="preserve">SST 2 </t>
  </si>
  <si>
    <t/>
  </si>
  <si>
    <t>Warn</t>
  </si>
  <si>
    <t>Err</t>
  </si>
  <si>
    <t>Stand Sterkte</t>
  </si>
  <si>
    <t>Stand Volume</t>
  </si>
  <si>
    <t>Background</t>
  </si>
  <si>
    <t>Headers</t>
  </si>
  <si>
    <t>Sections</t>
  </si>
  <si>
    <t>Labels</t>
  </si>
  <si>
    <t>Fields</t>
  </si>
  <si>
    <t>Totals</t>
  </si>
  <si>
    <t>Messages</t>
  </si>
  <si>
    <t>Backgrounds</t>
  </si>
  <si>
    <t>Labs</t>
  </si>
  <si>
    <t>PedGuiMedIV</t>
  </si>
  <si>
    <t>Sheet</t>
  </si>
  <si>
    <t>Type</t>
  </si>
  <si>
    <t>Test</t>
  </si>
  <si>
    <t>GlobSettings</t>
  </si>
  <si>
    <t>GlobGuiMedDisc</t>
  </si>
  <si>
    <t>PedGuiLijnPM</t>
  </si>
  <si>
    <t>PedGuiEntTPN</t>
  </si>
  <si>
    <t>PedGuiLab</t>
  </si>
  <si>
    <t>PedGuiAcuut</t>
  </si>
  <si>
    <t>PedGuiAfspr</t>
  </si>
  <si>
    <t>PedBerEnt!$C$16</t>
  </si>
  <si>
    <t>PedBerIVenPM!$B$9</t>
  </si>
  <si>
    <t>PedBerIVenPM!$H$2</t>
  </si>
  <si>
    <t>PedBerIVenPM!$K$2</t>
  </si>
  <si>
    <t>PedBerIVenPM!$K$5</t>
  </si>
  <si>
    <t>PedBerIVenPM!$K$4</t>
  </si>
  <si>
    <t>PedBerIVenPM!$K$1</t>
  </si>
  <si>
    <t>PedBerIVenPM!$I$2</t>
  </si>
  <si>
    <t>PedBerIVenPM!$K$3</t>
  </si>
  <si>
    <t>PedBerIVenPM!$K$6</t>
  </si>
  <si>
    <t>PedBerIVenPM!$K$1:$K$6</t>
  </si>
  <si>
    <t>PedBerIVenPM!$L$1:$L$6</t>
  </si>
  <si>
    <t>PatDetails!$B$13</t>
  </si>
  <si>
    <t>Var_Pat_OpnameDat</t>
  </si>
  <si>
    <t>F:=IF(IsEmptyDate(_Pat_OpnDatum),"",DateToString(_Pat_OpnDatum)&amp;" "&amp;B20)</t>
  </si>
  <si>
    <t>Act</t>
  </si>
  <si>
    <t>17:00</t>
  </si>
  <si>
    <t>Values</t>
  </si>
  <si>
    <t>NeoDataInfB!$D$2</t>
  </si>
  <si>
    <t>NeoDataInfB!$D$4</t>
  </si>
  <si>
    <t>NeoDataInfB!$D$5</t>
  </si>
  <si>
    <t>NeoDataInfB!$D$6</t>
  </si>
  <si>
    <t>NeoDataInfB!$D$7</t>
  </si>
  <si>
    <t>NeoDataInfB!$D$8</t>
  </si>
  <si>
    <t>NeoDataInfB!$D$9</t>
  </si>
  <si>
    <t>NeoDataInfB!$D$10</t>
  </si>
  <si>
    <t>NeoDataInfB!$D$11</t>
  </si>
  <si>
    <t>NeoDataInfB!$D$12</t>
  </si>
  <si>
    <t>NeoDataInfB!$D$13</t>
  </si>
  <si>
    <t>NeoDataInfB!$D$14</t>
  </si>
  <si>
    <t>NeoDataInfB!$D$15</t>
  </si>
  <si>
    <t>NeoDataInfB!$D$16</t>
  </si>
  <si>
    <t>NeoDataInfB!$D$17</t>
  </si>
  <si>
    <t>NeoDataInfB!$D$18</t>
  </si>
  <si>
    <t>NeoDataInfB!$D$19</t>
  </si>
  <si>
    <t>NeoDataInfB!$D$20</t>
  </si>
  <si>
    <t>NeoDataInfB!$D$21</t>
  </si>
  <si>
    <t>NeoDataInfB!$D$22</t>
  </si>
  <si>
    <t>NeoDataInfB!$D$23</t>
  </si>
  <si>
    <t>NeoDataInfB!$D$24</t>
  </si>
  <si>
    <t>NeoDataInfB!$D$25</t>
  </si>
  <si>
    <t>NeoDataInfB!$D$26</t>
  </si>
  <si>
    <t>NeoDataInfB!$D$27</t>
  </si>
  <si>
    <t>NeoDataInfB!$D$28</t>
  </si>
  <si>
    <t>NeoDataInfB!$D$29</t>
  </si>
  <si>
    <t>NeoDataInfB!$D$30</t>
  </si>
  <si>
    <t>NeoDataInfB!$D$31</t>
  </si>
  <si>
    <t>NeoDataInfB!$D$32</t>
  </si>
  <si>
    <t>NeoDataInfB!$D$33</t>
  </si>
  <si>
    <t>NeoDataInfB!$D$34</t>
  </si>
  <si>
    <t>NeoDataInfB!$D$35</t>
  </si>
  <si>
    <t>NeoDataInfB!$D$36</t>
  </si>
  <si>
    <t>NeoDataInfB!$D$37</t>
  </si>
  <si>
    <t>NeoDataInfB!$D$38</t>
  </si>
  <si>
    <t>NeoDataInfB!$D$39</t>
  </si>
  <si>
    <t>NeoDataInfB!$D$40</t>
  </si>
  <si>
    <t>NeoDataInfB!$D$41</t>
  </si>
  <si>
    <t>NeoDataInfB!$D$42</t>
  </si>
  <si>
    <t>NeoDataInfB!$D$43</t>
  </si>
  <si>
    <t>NeoDataInfB!$D$44</t>
  </si>
  <si>
    <t>NeoDataInfB!$D$45</t>
  </si>
  <si>
    <t>NeoDataInfB!$D$46</t>
  </si>
  <si>
    <t>NeoDataInfB!$D$47</t>
  </si>
  <si>
    <t>NeoDataInfB!$D$48</t>
  </si>
  <si>
    <t>NeoDataInfB!$D$49</t>
  </si>
  <si>
    <t>NeoDataInfB!$D$50</t>
  </si>
  <si>
    <t>NeoDataInfB!$D$51</t>
  </si>
  <si>
    <t>NeoDataInfB!$D$52</t>
  </si>
  <si>
    <t>NeoDataInfB!$D$53</t>
  </si>
  <si>
    <t>NeoDataInfB!$D$54</t>
  </si>
  <si>
    <t>NeoDataInfB!$D$55</t>
  </si>
  <si>
    <t>NeoDataInfB!$D$56</t>
  </si>
  <si>
    <t>NeoDataInfB!$D$57</t>
  </si>
  <si>
    <t>NeoDataInfB!$D$58</t>
  </si>
  <si>
    <t>NeoDataInfB!$D$59</t>
  </si>
  <si>
    <t>NeoDataInfB!$D$60</t>
  </si>
  <si>
    <t>NeoDataInfB!$D$61</t>
  </si>
  <si>
    <t>NeoDataInfB!$D$62</t>
  </si>
  <si>
    <t>NeoDataInfB!$D$63</t>
  </si>
  <si>
    <t>NeoDataInfB!$D$64</t>
  </si>
  <si>
    <t>NeoDataInfB!$D$65</t>
  </si>
  <si>
    <t>NeoDataInfB!$D$66</t>
  </si>
  <si>
    <t>NeoDataInfB!$D$67</t>
  </si>
  <si>
    <t>NeoDataInfB!$D$68</t>
  </si>
  <si>
    <t>NeoDataInfB!$D$69</t>
  </si>
  <si>
    <t>NeoDataInfB!$D$70</t>
  </si>
  <si>
    <t>NeoDataInfB!$D$71</t>
  </si>
  <si>
    <t>NeoDataInfB!$D$72</t>
  </si>
  <si>
    <t>NeoDataInfB!$D$73</t>
  </si>
  <si>
    <t>NeoDataInfB!$D$74</t>
  </si>
  <si>
    <t>NeoDataInfB!$D$75</t>
  </si>
  <si>
    <t>NeoDataInfB!$D$76</t>
  </si>
  <si>
    <t>NeoDataInfB!$D$77</t>
  </si>
  <si>
    <t>NeoDataInfB!$D$78</t>
  </si>
  <si>
    <t>NeoDataInfB!$D$79</t>
  </si>
  <si>
    <t>NeoDataInfB!$D$80</t>
  </si>
  <si>
    <t>NeoDataInfB!$D$81</t>
  </si>
  <si>
    <t>NeoDataInfB!$D$82</t>
  </si>
  <si>
    <t>NeoDataInfB!$D$85</t>
  </si>
  <si>
    <t>NeoDataInfB!$D$86</t>
  </si>
  <si>
    <t>NeoDataInfB!$D$87</t>
  </si>
  <si>
    <t>NeoDataInfB!$D$88</t>
  </si>
  <si>
    <t>NeoDataInfB!$D$89</t>
  </si>
  <si>
    <t>NeoDataInfB!$D$90</t>
  </si>
  <si>
    <t>NeoDataInfB!$D$91</t>
  </si>
  <si>
    <t>NeoDataInfB!$D$92</t>
  </si>
  <si>
    <t>NeoDataInfB!$D$93</t>
  </si>
  <si>
    <t>NeoDataInfB!$D$94</t>
  </si>
  <si>
    <t>NeoDataInfB!$D$95</t>
  </si>
  <si>
    <t>NeoDataInfB!$D$96</t>
  </si>
  <si>
    <t>NeoDataInfB!$D$97</t>
  </si>
  <si>
    <t>NeoDataInfB!$D$98</t>
  </si>
  <si>
    <t>NeoDataInfB!$D$99</t>
  </si>
  <si>
    <t>NeoDataInfB!$D$100</t>
  </si>
  <si>
    <t>NeoDataInfB!$D$101</t>
  </si>
  <si>
    <t>NeoDataInfB!$D$102</t>
  </si>
  <si>
    <t>NeoDataInfB!$D$103</t>
  </si>
  <si>
    <t>NeoDataInfB!$D$104</t>
  </si>
  <si>
    <t>NeoDataInfB!$D$105</t>
  </si>
  <si>
    <t>NeoDataInfB!$D$106</t>
  </si>
  <si>
    <t>NeoDataInfB!$D$107</t>
  </si>
  <si>
    <t>NeoDataInfB!$D$108</t>
  </si>
  <si>
    <t>NeoDataInfB!$D$109</t>
  </si>
  <si>
    <t>NeoDataInfB!$B$2</t>
  </si>
  <si>
    <t>NeoDataInfB!$B$4</t>
  </si>
  <si>
    <t>NeoDataInfB!$B$5</t>
  </si>
  <si>
    <t>NeoDataInfB!$B$6</t>
  </si>
  <si>
    <t>NeoDataInfB!$B$7</t>
  </si>
  <si>
    <t>NeoDataInfB!$B$8</t>
  </si>
  <si>
    <t>NeoDataInfB!$B$9</t>
  </si>
  <si>
    <t>NeoDataInfB!$B$10</t>
  </si>
  <si>
    <t>NeoDataInfB!$B$11</t>
  </si>
  <si>
    <t>NeoDataInfB!$B$12</t>
  </si>
  <si>
    <t>NeoDataInfB!$B$13</t>
  </si>
  <si>
    <t>NeoDataInfB!$B$14</t>
  </si>
  <si>
    <t>NeoDataInfB!$B$15</t>
  </si>
  <si>
    <t>NeoDataInfB!$B$16</t>
  </si>
  <si>
    <t>NeoDataInfB!$B$17</t>
  </si>
  <si>
    <t>NeoDataInfB!$B$18</t>
  </si>
  <si>
    <t>NeoDataInfB!$B$19</t>
  </si>
  <si>
    <t>NeoDataInfB!$B$20</t>
  </si>
  <si>
    <t>NeoDataInfB!$B$21</t>
  </si>
  <si>
    <t>NeoDataInfB!$B$22</t>
  </si>
  <si>
    <t>NeoDataInfB!$B$23</t>
  </si>
  <si>
    <t>NeoDataInfB!$B$24</t>
  </si>
  <si>
    <t>NeoDataInfB!$B$25</t>
  </si>
  <si>
    <t>NeoDataInfB!$B$26</t>
  </si>
  <si>
    <t>NeoDataInfB!$B$27</t>
  </si>
  <si>
    <t>NeoDataInfB!$B$28</t>
  </si>
  <si>
    <t>NeoDataInfB!$B$29</t>
  </si>
  <si>
    <t>NeoDataInfB!$B$30</t>
  </si>
  <si>
    <t>NeoDataInfB!$B$31</t>
  </si>
  <si>
    <t>NeoDataInfB!$B$32</t>
  </si>
  <si>
    <t>NeoDataInfB!$B$33</t>
  </si>
  <si>
    <t>NeoDataInfB!$B$34</t>
  </si>
  <si>
    <t>NeoDataInfB!$B$35</t>
  </si>
  <si>
    <t>NeoDataInfB!$B$36</t>
  </si>
  <si>
    <t>NeoDataInfB!$B$37</t>
  </si>
  <si>
    <t>NeoDataInfB!$B$38</t>
  </si>
  <si>
    <t>NeoDataInfB!$B$39</t>
  </si>
  <si>
    <t>NeoDataInfB!$B$40</t>
  </si>
  <si>
    <t>NeoDataInfB!$B$41</t>
  </si>
  <si>
    <t>NeoDataInfB!$B$42</t>
  </si>
  <si>
    <t>NeoDataInfB!$B$43</t>
  </si>
  <si>
    <t>NeoDataInfB!$B$44</t>
  </si>
  <si>
    <t>NeoDataInfB!$B$45</t>
  </si>
  <si>
    <t>NeoDataInfB!$B$46</t>
  </si>
  <si>
    <t>NeoDataInfB!$B$47</t>
  </si>
  <si>
    <t>NeoDataInfB!$B$48</t>
  </si>
  <si>
    <t>NeoDataInfB!$B$49</t>
  </si>
  <si>
    <t>NeoDataInfB!$B$50</t>
  </si>
  <si>
    <t>NeoDataInfB!$B$51</t>
  </si>
  <si>
    <t>NeoDataInfB!$B$52</t>
  </si>
  <si>
    <t>NeoDataInfB!$B$53</t>
  </si>
  <si>
    <t>NeoDataInfB!$B$54</t>
  </si>
  <si>
    <t>NeoDataInfB!$B$55</t>
  </si>
  <si>
    <t>NeoDataInfB!$B$56</t>
  </si>
  <si>
    <t>NeoDataInfB!$B$57</t>
  </si>
  <si>
    <t>NeoDataInfB!$B$58</t>
  </si>
  <si>
    <t>NeoDataInfB!$B$59</t>
  </si>
  <si>
    <t>NeoDataInfB!$B$60</t>
  </si>
  <si>
    <t>NeoDataInfB!$B$61</t>
  </si>
  <si>
    <t>NeoDataInfB!$B$62</t>
  </si>
  <si>
    <t>NeoDataInfB!$B$63</t>
  </si>
  <si>
    <t>NeoDataInfB!$B$64</t>
  </si>
  <si>
    <t>NeoDataInfB!$B$65</t>
  </si>
  <si>
    <t>NeoDataInfB!$B$66</t>
  </si>
  <si>
    <t>NeoDataInfB!$B$67</t>
  </si>
  <si>
    <t>NeoDataInfB!$B$68</t>
  </si>
  <si>
    <t>NeoDataInfB!$B$69</t>
  </si>
  <si>
    <t>NeoDataInfB!$B$70</t>
  </si>
  <si>
    <t>NeoDataInfB!$B$71</t>
  </si>
  <si>
    <t>NeoDataInfB!$B$72</t>
  </si>
  <si>
    <t>NeoDataInfB!$B$73</t>
  </si>
  <si>
    <t>NeoDataInfB!$B$74</t>
  </si>
  <si>
    <t>NeoDataInfB!$B$75</t>
  </si>
  <si>
    <t>NeoDataInfB!$B$76</t>
  </si>
  <si>
    <t>NeoDataInfB!$B$77</t>
  </si>
  <si>
    <t>NeoDataInfB!$B$78</t>
  </si>
  <si>
    <t>NeoDataInfB!$B$79</t>
  </si>
  <si>
    <t>NeoDataInfB!$B$80</t>
  </si>
  <si>
    <t>NeoDataInfB!$B$81</t>
  </si>
  <si>
    <t>NeoDataInfB!$B$82</t>
  </si>
  <si>
    <t>NeoDataInfB!$B$85</t>
  </si>
  <si>
    <t>NeoDataInfB!$B$86</t>
  </si>
  <si>
    <t>NeoDataInfB!$B$87</t>
  </si>
  <si>
    <t>NeoDataInfB!$B$88</t>
  </si>
  <si>
    <t>NeoDataInfB!$B$89</t>
  </si>
  <si>
    <t>NeoDataInfB!$B$90</t>
  </si>
  <si>
    <t>NeoDataInfB!$B$91</t>
  </si>
  <si>
    <t>NeoDataInfB!$B$92</t>
  </si>
  <si>
    <t>NeoDataInfB!$B$93</t>
  </si>
  <si>
    <t>NeoDataInfB!$B$94</t>
  </si>
  <si>
    <t>NeoDataInfB!$B$95</t>
  </si>
  <si>
    <t>NeoDataInfB!$B$96</t>
  </si>
  <si>
    <t>NeoDataInfB!$B$97</t>
  </si>
  <si>
    <t>NeoDataInfB!$B$98</t>
  </si>
  <si>
    <t>NeoDataInfB!$B$99</t>
  </si>
  <si>
    <t>NeoDataInfB!$B$100</t>
  </si>
  <si>
    <t>NeoDataInfB!$B$101</t>
  </si>
  <si>
    <t>NeoDataInfB!$B$102</t>
  </si>
  <si>
    <t>NeoDataInfB!$B$103</t>
  </si>
  <si>
    <t>NeoDataInfB!$B$104</t>
  </si>
  <si>
    <t>NeoDataInfB!$B$105</t>
  </si>
  <si>
    <t>NeoDataInfB!$B$106</t>
  </si>
  <si>
    <t>NeoDataInfB!$B$107</t>
  </si>
  <si>
    <t>NeoDataInfB!$B$108</t>
  </si>
  <si>
    <t>NeoDataInfB!$B$109</t>
  </si>
  <si>
    <t>Versie</t>
  </si>
  <si>
    <t>NeoPrtWerkbr!$N$6</t>
  </si>
  <si>
    <t>NeoPrtWerkbr!$M$6</t>
  </si>
  <si>
    <t>NeoPrtWerkbr!$A$6</t>
  </si>
  <si>
    <t>NeoPrtWerkbr!$C$6</t>
  </si>
  <si>
    <t>NeoPrtWerkbr!$N$10</t>
  </si>
  <si>
    <t>NeoPrtWerkbr!$M$10</t>
  </si>
  <si>
    <t>NeoPrtWerkbr!$H$10</t>
  </si>
  <si>
    <t>NeoPrtWerkbr!$N$16</t>
  </si>
  <si>
    <t>NeoPrtWerkbr!$M$16</t>
  </si>
  <si>
    <t>NeoPrtWerkbr!$H$16</t>
  </si>
  <si>
    <t>NeoPrtWerkbr!$N$9</t>
  </si>
  <si>
    <t>NeoPrtWerkbr!$M$9</t>
  </si>
  <si>
    <t>NeoPrtWerkbr!$H$9</t>
  </si>
  <si>
    <t>NeoPrtWerkbr!$N$11</t>
  </si>
  <si>
    <t>NeoPrtWerkbr!$M$11</t>
  </si>
  <si>
    <t>NeoPrtWerkbr!$H$11</t>
  </si>
  <si>
    <t>NeoPrtWerkbr!$N$8</t>
  </si>
  <si>
    <t>NeoPrtWerkbr!$M$8</t>
  </si>
  <si>
    <t>NeoPrtWerkbr!$H$8</t>
  </si>
  <si>
    <t>NeoPrtWerkbr!$N$14</t>
  </si>
  <si>
    <t>NeoPrtWerkbr!$M$14</t>
  </si>
  <si>
    <t>NeoPrtWerkbr!$H$14</t>
  </si>
  <si>
    <t>NeoPrtWerkbr!$N$13</t>
  </si>
  <si>
    <t>NeoPrtWerkbr!$M$13</t>
  </si>
  <si>
    <t>NeoPrtWerkbr!$H$13</t>
  </si>
  <si>
    <t>NeoPrtWerkbr!$N$15</t>
  </si>
  <si>
    <t>NeoPrtWerkbr!$M$15</t>
  </si>
  <si>
    <t>NeoPrtWerkbr!$H$15</t>
  </si>
  <si>
    <t>NeoPrtWerkbr!$N$12</t>
  </si>
  <si>
    <t>NeoPrtWerkbr!$M$12</t>
  </si>
  <si>
    <t>NeoPrtWerkbr!$H$12</t>
  </si>
  <si>
    <t>NeoPrtWerkbr!$A$8</t>
  </si>
  <si>
    <t>NeoPrtWerkbr!$N$17</t>
  </si>
  <si>
    <t>NeoPrtWerkbr!$M$17</t>
  </si>
  <si>
    <t>GlobNames!$A$1:$I$1948</t>
  </si>
  <si>
    <t>Var</t>
  </si>
  <si>
    <t>Check</t>
  </si>
  <si>
    <t>Txt_Neo_Wb_IVAcc_Breuk</t>
  </si>
  <si>
    <t>Txt_Neo_Wb_IVAcc_Geheel</t>
  </si>
  <si>
    <t>Txt_Neo_Wb_IVAcc_Stand</t>
  </si>
  <si>
    <t>Txt_Neo_Wb_IVAcc_Tekst</t>
  </si>
  <si>
    <t>Txt_Neo_Wb_TPN_CaClBreuk</t>
  </si>
  <si>
    <t>Txt_Neo_Wb_TPN_CaClGeheel</t>
  </si>
  <si>
    <t>Txt_Neo_Wb_TPN_CaClTekst</t>
  </si>
  <si>
    <t>Txt_Neo_Wb_TPN_GlucBreuk</t>
  </si>
  <si>
    <t>Txt_Neo_Wb_TPN_GlucGeheel</t>
  </si>
  <si>
    <t>Txt_Neo_Wb_TPN_GlucTekst</t>
  </si>
  <si>
    <t>Txt_Neo_Wb_TPN_KacetaatBreuk</t>
  </si>
  <si>
    <t>Txt_Neo_Wb_TPN_KacetaatGeheel</t>
  </si>
  <si>
    <t>Txt_Neo_Wb_TPN_KacetaatTekst</t>
  </si>
  <si>
    <t>Txt_Neo_Wb_TPN_MgClBreuk</t>
  </si>
  <si>
    <t>Txt_Neo_Wb_TPN_MgClGeheel</t>
  </si>
  <si>
    <t>Txt_Neo_Wb_TPN_MgClTekst</t>
  </si>
  <si>
    <t>Txt_Neo_Wb_TPN_NaClBreuk</t>
  </si>
  <si>
    <t>Txt_Neo_Wb_TPN_NaClGeheel</t>
  </si>
  <si>
    <t>Txt_Neo_Wb_TPN_NaCLTekst</t>
  </si>
  <si>
    <t>Txt_Neo_Wb_TPN_NICUmixBreuk</t>
  </si>
  <si>
    <t>Txt_Neo_Wb_TPN_NICUmixGeheel</t>
  </si>
  <si>
    <t>Txt_Neo_Wb_TPN_NICUmixTekst</t>
  </si>
  <si>
    <t>Txt_Neo_Wb_TPN_PrimeneBreuk</t>
  </si>
  <si>
    <t>Txt_Neo_Wb_TPN_PrimeneGeheel</t>
  </si>
  <si>
    <t>Txt_Neo_Wb_TPN_PrimeneTekst</t>
  </si>
  <si>
    <t>Txt_Neo_Wb_TPN_SamBBreuk</t>
  </si>
  <si>
    <t>Txt_Neo_Wb_TPN_SamBGeheel</t>
  </si>
  <si>
    <t>Txt_Neo_Wb_TPN_SamBTekst</t>
  </si>
  <si>
    <t>Txt_Neo_Wb_TPN_SoluvitBreuk</t>
  </si>
  <si>
    <t>Txt_Neo_Wb_TPN_SoluvitGeheel</t>
  </si>
  <si>
    <t>Txt_Neo_Wb_TPN_SoluvitTekst</t>
  </si>
  <si>
    <t>Txt_Neo_Wb_TPN_Stand</t>
  </si>
  <si>
    <t>Txt_Neo_Wb_TPN_TotaalBreuk</t>
  </si>
  <si>
    <t>Txt_Neo_Wb_TPN_TotaalGeheel</t>
  </si>
  <si>
    <t>Txt_Neo_InfB_ContIV_01</t>
  </si>
  <si>
    <t>Txt_Neo_InfB_ContIV_02</t>
  </si>
  <si>
    <t>Txt_Neo_InfB_ContIV_03</t>
  </si>
  <si>
    <t>Txt_Neo_InfB_ContIV_04</t>
  </si>
  <si>
    <t>Txt_Neo_InfB_ContIV_05</t>
  </si>
  <si>
    <t>Txt_Neo_InfB_ContIV_06</t>
  </si>
  <si>
    <t>Txt_Neo_InfB_ContIV_07</t>
  </si>
  <si>
    <t>Txt_Neo_InfB_ContIV_08</t>
  </si>
  <si>
    <t>Txt_Neo_InfB_ContIV_09</t>
  </si>
  <si>
    <t>Txt_Neo_InfB_ContIV_10</t>
  </si>
  <si>
    <t>Txt_Neo_InfB_ContIV_11</t>
  </si>
  <si>
    <t>Txt_Neo_InfB_ContIV_12</t>
  </si>
  <si>
    <t>Txt_Neo_InfB_ContIV_13</t>
  </si>
  <si>
    <t>Txt_Neo_InfB_ContIV_14</t>
  </si>
  <si>
    <t>Txt_Neo_InfB_ContIV_15</t>
  </si>
  <si>
    <t>Txt_Neo_InfB_ContIV_16</t>
  </si>
  <si>
    <t>F:=IF(Txt_Neo_Wb_TPN_Stand&lt;&gt;"",CONCATENATE("TPN: ",Txt_Neo_Wb_TPN_Stand, " ml/uur"),"")</t>
  </si>
  <si>
    <t>Txt_Neo_InfB_ContIV_17</t>
  </si>
  <si>
    <t>F:=IF(Txt_Neo_Wb_TPN_Stand&lt;&gt;"",CONCATENATE("TPN Totaal: ",Txt_Neo_Wb_TPN_TotaalGeheel,",",  ROUND(Txt_Neo_Wb_TPN_TotaalBreuk,0), " ml"),"")</t>
  </si>
  <si>
    <t>Txt_Neo_InfB_ContIV_18</t>
  </si>
  <si>
    <t>F:=IF(OR(Txt_Neo_Wb_TPN_NaClGeheel&lt;&gt;"",Txt_Neo_Wb_TPN_NaClBreuk&lt;&gt;""),CONCATENATE(Txt_Neo_Wb_TPN_NaCLTekst," ",Txt_Neo_Wb_TPN_NaClGeheel,",", Txt_Neo_Wb_TPN_NaClBreuk, " ml"),"")</t>
  </si>
  <si>
    <t>Txt_Neo_InfB_ContIV_19</t>
  </si>
  <si>
    <t>F:=IF(OR(Txt_Neo_Wb_TPN_KacetaatGeheel&lt;&gt;"",Txt_Neo_Wb_TPN_KacetaatBreuk&lt;&gt;""),CONCATENATE(Txt_Neo_Wb_TPN_KacetaatTekst," ",Txt_Neo_Wb_TPN_KacetaatGeheel,",", Txt_Neo_Wb_TPN_KacetaatBreuk, " ml"),"")</t>
  </si>
  <si>
    <t>Txt_Neo_InfB_ContIV_20</t>
  </si>
  <si>
    <t>F:=IF(OR(Txt_Neo_Wb_TPN_CaClGeheel&lt;&gt;"",Txt_Neo_Wb_TPN_CaClBreuk&lt;&gt;""),CONCATENATE(Txt_Neo_Wb_TPN_CaClTekst," ",Txt_Neo_Wb_TPN_CaClGeheel,",", Txt_Neo_Wb_TPN_CaClBreuk, " ml"),"")</t>
  </si>
  <si>
    <t>Txt_Neo_InfB_ContIV_21</t>
  </si>
  <si>
    <t>F:=IF(OR(Txt_Neo_Wb_TPN_MgClGeheel&lt;&gt;"",Txt_Neo_Wb_TPN_MgClBreuk&lt;&gt;""),CONCATENATE(Txt_Neo_Wb_TPN_MgClTekst," ",Txt_Neo_Wb_TPN_MgClGeheel,",", Txt_Neo_Wb_TPN_MgClBreuk, " ml"),"")</t>
  </si>
  <si>
    <t>Txt_Neo_InfB_ContIV_22</t>
  </si>
  <si>
    <t>F:=IF(OR(Txt_Neo_Wb_TPN_SoluvitGeheel&lt;&gt;"",Txt_Neo_Wb_TPN_SoluvitBreuk&lt;&gt;""),CONCATENATE(Txt_Neo_Wb_TPN_SoluvitTekst," ",Txt_Neo_Wb_TPN_SoluvitGeheel,",", Txt_Neo_Wb_TPN_SoluvitBreuk, " ml"),"")</t>
  </si>
  <si>
    <t>Txt_Neo_InfB_ContIV_23</t>
  </si>
  <si>
    <t>F:=IF(OR(Txt_Neo_Wb_TPN_PrimeneGeheel&lt;&gt;"",Txt_Neo_Wb_TPN_PrimeneBreuk&lt;&gt;""),CONCATENATE(Txt_Neo_Wb_TPN_PrimeneTekst," ",Txt_Neo_Wb_TPN_PrimeneGeheel,",", Txt_Neo_Wb_TPN_PrimeneBreuk, " ml"),"")</t>
  </si>
  <si>
    <t>Txt_Neo_InfB_ContIV_24</t>
  </si>
  <si>
    <t>F:=IF(OR(Txt_Neo_Wb_TPN_NICUmixGeheel&lt;&gt;"",Txt_Neo_Wb_TPN_NICUmixBreuk&lt;&gt;""),CONCATENATE(Txt_Neo_Wb_TPN_NICUmixTekst," ",Txt_Neo_Wb_TPN_NICUmixGeheel,",", Txt_Neo_Wb_TPN_NICUmixBreuk, " ml"),"")</t>
  </si>
  <si>
    <t>Txt_Neo_InfB_ContIV_25</t>
  </si>
  <si>
    <t>F:=IF(OR(Txt_Neo_Wb_TPN_SamBGeheel&lt;&gt;"",Txt_Neo_Wb_TPN_SamBBreuk&lt;&gt;""),CONCATENATE(Txt_Neo_Wb_TPN_SamBTekst," ",Txt_Neo_Wb_TPN_SamBGeheel,",", Txt_Neo_Wb_TPN_SamBBreuk, " ml"),"")</t>
  </si>
  <si>
    <t>Txt_Neo_InfB_ContIV_26</t>
  </si>
  <si>
    <t>F:=IF(OR(Txt_Neo_Wb_TPN_GlucGeheel&lt;&gt;"",Txt_Neo_Wb_TPN_GlucBreuk&lt;&gt;""),CONCATENATE(Txt_Neo_Wb_TPN_GlucTekst," ",Txt_Neo_Wb_TPN_GlucGeheel,",", ROUND(Txt_Neo_Wb_TPN_GlucBreuk,2), " ml"),"")</t>
  </si>
  <si>
    <t>Txt_Neo_InfB_ContIV_27</t>
  </si>
  <si>
    <t>Txt_Neo_InfB_Voeding_01</t>
  </si>
  <si>
    <t>Txt_Neo_InfB_Voeding_02</t>
  </si>
  <si>
    <t>Txt_Neo_InfB_Voeding_03</t>
  </si>
  <si>
    <t>Txt_Neo_InfB_Voeding_04</t>
  </si>
  <si>
    <t>Txt_Neo_InfB_Voeding_05</t>
  </si>
  <si>
    <t>Txt_Neo_InfB_Voeding_06</t>
  </si>
  <si>
    <t>Txt_Neo_InfB_Voeding_07</t>
  </si>
  <si>
    <t>Txt_Neo_InfB_Voeding_08</t>
  </si>
  <si>
    <t>Txt_Neo_InfB_Voeding_09</t>
  </si>
  <si>
    <t>Txt_Neo_InfB_Voeding_10</t>
  </si>
  <si>
    <t>Txt_Neo_InfB_Voeding_11</t>
  </si>
  <si>
    <t>Txt_Neo_InfB_Voeding_12</t>
  </si>
  <si>
    <t>Txt_Neo_InfB_Voeding_13</t>
  </si>
  <si>
    <t>Txt_Neo_InfB_Voeding_14</t>
  </si>
  <si>
    <t>Txt_Neo_InfB_Voeding_15</t>
  </si>
  <si>
    <t>Actuele Afspraken</t>
  </si>
  <si>
    <t>_Neo_1700_Cont_ArtLijn</t>
  </si>
  <si>
    <t>_Neo_1700_Cont_MedKeuze_1</t>
  </si>
  <si>
    <t>_Neo_1700_Cont_MedKeuze_2</t>
  </si>
  <si>
    <t>_Neo_1700_Cont_MedKeuze_3</t>
  </si>
  <si>
    <t>_Neo_1700_Cont_MedKeuze_4</t>
  </si>
  <si>
    <t>_Neo_1700_Cont_MedKeuze_5</t>
  </si>
  <si>
    <t>_Neo_1700_Cont_MedKeuze_6</t>
  </si>
  <si>
    <t>_Neo_1700_Cont_MedKeuze_7</t>
  </si>
  <si>
    <t>_Neo_1700_Cont_MedKeuze_8</t>
  </si>
  <si>
    <t>_Neo_1700_Cont_MedKeuze_9</t>
  </si>
  <si>
    <t>_Neo_1700_Cont_MedSterkte_1</t>
  </si>
  <si>
    <t>_Neo_1700_Cont_MedSterkte_2</t>
  </si>
  <si>
    <t>_Neo_1700_Cont_MedSterkte_3</t>
  </si>
  <si>
    <t>_Neo_1700_Cont_MedSterkte_4</t>
  </si>
  <si>
    <t>_Neo_1700_Cont_MedSterkte_5</t>
  </si>
  <si>
    <t>_Neo_1700_Cont_MedSterkte_6</t>
  </si>
  <si>
    <t>_Neo_1700_Cont_MedSterkte_7</t>
  </si>
  <si>
    <t>_Neo_1700_Cont_MedSterkte_8</t>
  </si>
  <si>
    <t>_Neo_1700_Cont_MedSterkte_9</t>
  </si>
  <si>
    <t>_Neo_1700_Cont_MedTekst_1</t>
  </si>
  <si>
    <t>_Neo_1700_Cont_MedTekst_2</t>
  </si>
  <si>
    <t>_Neo_1700_Cont_OplHoev_1</t>
  </si>
  <si>
    <t>_Neo_1700_Cont_OplHoev_2</t>
  </si>
  <si>
    <t>_Neo_1700_Cont_OplHoev_3</t>
  </si>
  <si>
    <t>_Neo_1700_Cont_OplHoev_4</t>
  </si>
  <si>
    <t>_Neo_1700_Cont_OplHoev_5</t>
  </si>
  <si>
    <t>_Neo_1700_Cont_OplHoev_6</t>
  </si>
  <si>
    <t>_Neo_1700_Cont_OplHoev_7</t>
  </si>
  <si>
    <t>_Neo_1700_Cont_OplHoev_8</t>
  </si>
  <si>
    <t>_Neo_1700_Cont_OplHoev_9</t>
  </si>
  <si>
    <t>_Neo_1700_Cont_Oplossing_01</t>
  </si>
  <si>
    <t>_Neo_1700_Cont_Oplossing_02</t>
  </si>
  <si>
    <t>_Neo_1700_Cont_Oplossing_03</t>
  </si>
  <si>
    <t>_Neo_1700_Cont_Oplossing_04</t>
  </si>
  <si>
    <t>_Neo_1700_Cont_Oplossing_05</t>
  </si>
  <si>
    <t>_Neo_1700_Cont_Oplossing_06</t>
  </si>
  <si>
    <t>_Neo_1700_Cont_Oplossing_07</t>
  </si>
  <si>
    <t>_Neo_1700_Cont_Oplossing_08</t>
  </si>
  <si>
    <t>_Neo_1700_Cont_Oplossing_09</t>
  </si>
  <si>
    <t>_Neo_1700_Cont_Oplossing_10</t>
  </si>
  <si>
    <t>_Neo_1700_Cont_Oplossing_11</t>
  </si>
  <si>
    <t>_Neo_1700_Cont_Oplossing_12</t>
  </si>
  <si>
    <t>_Neo_1700_Cont_Stand_01</t>
  </si>
  <si>
    <t>_Neo_1700_Cont_Stand_02</t>
  </si>
  <si>
    <t>_Neo_1700_Cont_Stand_03</t>
  </si>
  <si>
    <t>_Neo_1700_Cont_Stand_04</t>
  </si>
  <si>
    <t>_Neo_1700_Cont_Stand_05</t>
  </si>
  <si>
    <t>_Neo_1700_Cont_Stand_06</t>
  </si>
  <si>
    <t>_Neo_1700_Cont_Stand_07</t>
  </si>
  <si>
    <t>_Neo_1700_Cont_Stand_08</t>
  </si>
  <si>
    <t>_Neo_1700_Cont_Stand_09</t>
  </si>
  <si>
    <t>_Neo_1700_Cont_Stand_10</t>
  </si>
  <si>
    <t>_Neo_1700_Cont_Stand_11</t>
  </si>
  <si>
    <t>_Neo_1700_Cont_Stand_12</t>
  </si>
  <si>
    <t>_Neo_1700_Cont_VochtExtra_01</t>
  </si>
  <si>
    <t>_Neo_1700_Cont_VochtExtra_02</t>
  </si>
  <si>
    <t>_Neo_1700_Cont_VochtExtra_03</t>
  </si>
  <si>
    <t>_Neo_1700_Cont_VochtExtra_04</t>
  </si>
  <si>
    <t>_Neo_1700_Cont_VochtExtra_05</t>
  </si>
  <si>
    <t>_Neo_1700_Cont_VochtExtra_06</t>
  </si>
  <si>
    <t>_Neo_1700_Cont_VochtExtra_07</t>
  </si>
  <si>
    <t>_Neo_1700_Cont_VochtExtra_08</t>
  </si>
  <si>
    <t>_Neo_1700_Cont_VochtExtra_09</t>
  </si>
  <si>
    <t>_Neo_1700_Cont_VochtExtra_10</t>
  </si>
  <si>
    <t>_Neo_1700_Cont_VochtExtra_11</t>
  </si>
  <si>
    <t>_Neo_1700_Cont_VochtExtra_12</t>
  </si>
  <si>
    <t>_Neo_1700_Cont_VochtExtra_13</t>
  </si>
  <si>
    <t>_Neo_1700_Cont_VochtExtra_14</t>
  </si>
  <si>
    <t>_Neo_1700_Ent_Frequentie_1</t>
  </si>
  <si>
    <t>_Neo_1700_Ent_Frequentie_2</t>
  </si>
  <si>
    <t>_Neo_1700_Ent_Hoeveelheid_1</t>
  </si>
  <si>
    <t>_Neo_1700_Ent_Hoeveelheid_2</t>
  </si>
  <si>
    <t>_Neo_1700_Ent_PercentageKeuze_0</t>
  </si>
  <si>
    <t>_Neo_1700_Ent_PercentageKeuze_1</t>
  </si>
  <si>
    <t>_Neo_1700_Ent_PercentageKeuze_2</t>
  </si>
  <si>
    <t>_Neo_1700_Ent_PercentageKeuze_3</t>
  </si>
  <si>
    <t>_Neo_1700_Ent_PercentageKeuze_4</t>
  </si>
  <si>
    <t>_Neo_1700_Ent_PercentageKeuze_5</t>
  </si>
  <si>
    <t>_Neo_1700_Ent_PercentageKeuze_6</t>
  </si>
  <si>
    <t>_Neo_1700_Ent_PercentageKeuze_7</t>
  </si>
  <si>
    <t>_Neo_1700_Ent_PercentageKeuze_8</t>
  </si>
  <si>
    <t>_Neo_1700_Ent_Toevoeging_1</t>
  </si>
  <si>
    <t>_Neo_1700_Ent_Toevoeging_2</t>
  </si>
  <si>
    <t>_Neo_1700_Ent_Toevoeging_3</t>
  </si>
  <si>
    <t>_Neo_1700_Ent_Toevoeging_4</t>
  </si>
  <si>
    <t>_Neo_1700_Ent_Toevoeging_5</t>
  </si>
  <si>
    <t>_Neo_1700_Ent_Toevoeging_6</t>
  </si>
  <si>
    <t>_Neo_1700_Ent_Toevoeging_7</t>
  </si>
  <si>
    <t>_Neo_1700_Ent_Toevoeging_8</t>
  </si>
  <si>
    <t>_Neo_1700_Ent_Voeding</t>
  </si>
  <si>
    <t>_Neo_1700_TPN_CaCl2</t>
  </si>
  <si>
    <t>_Neo_1700_TPN_DagKeuze</t>
  </si>
  <si>
    <t>_Neo_1700_TPN_Fototherapie</t>
  </si>
  <si>
    <t>_Neo_1700_TPN_GlucSterkte</t>
  </si>
  <si>
    <t>_Neo_1700_TPN_IntakePerKg</t>
  </si>
  <si>
    <t>_Neo_1700_TPN_IntraLipid</t>
  </si>
  <si>
    <t>_Neo_1700_TPN_IntralipidSmof</t>
  </si>
  <si>
    <t>_Neo_1700_TPN_KCl</t>
  </si>
  <si>
    <t>_Neo_1700_TPN_MgCl2</t>
  </si>
  <si>
    <t>_Neo_1700_TPN_Nacl</t>
  </si>
  <si>
    <t>_Neo_1700_TPN_NICUMix</t>
  </si>
  <si>
    <t>_Neo_1700_TPN_Parenteraal</t>
  </si>
  <si>
    <t>_Neo_1700_TPN_Primene</t>
  </si>
  <si>
    <t>_Neo_1700_TPN_SoluVit</t>
  </si>
  <si>
    <t>_Neo_1700_TPN_SSTB</t>
  </si>
  <si>
    <t>_Neo_InfB_Cont_ArtLijn</t>
  </si>
  <si>
    <t>_Neo_InfB_Cont_MedKeuze_1</t>
  </si>
  <si>
    <t>_Neo_InfB_Cont_MedKeuze_2</t>
  </si>
  <si>
    <t>_Neo_InfB_Cont_MedKeuze_3</t>
  </si>
  <si>
    <t>_Neo_InfB_Cont_MedKeuze_4</t>
  </si>
  <si>
    <t>_Neo_InfB_Cont_MedKeuze_5</t>
  </si>
  <si>
    <t>_Neo_InfB_Cont_MedKeuze_6</t>
  </si>
  <si>
    <t>_Neo_InfB_Cont_MedKeuze_7</t>
  </si>
  <si>
    <t>_Neo_InfB_Cont_MedKeuze_8</t>
  </si>
  <si>
    <t>_Neo_InfB_Cont_MedKeuze_9</t>
  </si>
  <si>
    <t>_Neo_InfB_Cont_MedSterkte_1</t>
  </si>
  <si>
    <t>_Neo_InfB_Cont_MedSterkte_2</t>
  </si>
  <si>
    <t>_Neo_InfB_Cont_MedSterkte_3</t>
  </si>
  <si>
    <t>_Neo_InfB_Cont_MedSterkte_4</t>
  </si>
  <si>
    <t>_Neo_InfB_Cont_MedSterkte_5</t>
  </si>
  <si>
    <t>_Neo_InfB_Cont_MedSterkte_6</t>
  </si>
  <si>
    <t>_Neo_InfB_Cont_MedSterkte_7</t>
  </si>
  <si>
    <t>_Neo_InfB_Cont_MedSterkte_8</t>
  </si>
  <si>
    <t>_Neo_InfB_Cont_MedSterkte_9</t>
  </si>
  <si>
    <t>_Neo_InfB_Cont_MedTekst_1</t>
  </si>
  <si>
    <t>_Neo_InfB_Cont_MedTekst_2</t>
  </si>
  <si>
    <t>_Neo_InfB_Cont_OplHoev_1</t>
  </si>
  <si>
    <t>_Neo_InfB_Cont_OplHoev_2</t>
  </si>
  <si>
    <t>_Neo_InfB_Cont_OplHoev_3</t>
  </si>
  <si>
    <t>_Neo_InfB_Cont_OplHoev_4</t>
  </si>
  <si>
    <t>_Neo_InfB_Cont_OplHoev_5</t>
  </si>
  <si>
    <t>_Neo_InfB_Cont_OplHoev_6</t>
  </si>
  <si>
    <t>_Neo_InfB_Cont_OplHoev_7</t>
  </si>
  <si>
    <t>_Neo_InfB_Cont_OplHoev_8</t>
  </si>
  <si>
    <t>_Neo_InfB_Cont_OplHoev_9</t>
  </si>
  <si>
    <t>_Neo_InfB_Cont_Oplossing_01</t>
  </si>
  <si>
    <t>_Neo_InfB_Cont_Oplossing_02</t>
  </si>
  <si>
    <t>_Neo_InfB_Cont_Oplossing_03</t>
  </si>
  <si>
    <t>_Neo_InfB_Cont_Oplossing_04</t>
  </si>
  <si>
    <t>_Neo_InfB_Cont_Oplossing_05</t>
  </si>
  <si>
    <t>_Neo_InfB_Cont_Oplossing_06</t>
  </si>
  <si>
    <t>_Neo_InfB_Cont_Oplossing_07</t>
  </si>
  <si>
    <t>_Neo_InfB_Cont_Oplossing_08</t>
  </si>
  <si>
    <t>_Neo_InfB_Cont_Oplossing_09</t>
  </si>
  <si>
    <t>_Neo_InfB_Cont_Oplossing_10</t>
  </si>
  <si>
    <t>_Neo_InfB_Cont_Oplossing_11</t>
  </si>
  <si>
    <t>_Neo_InfB_Cont_Oplossing_12</t>
  </si>
  <si>
    <t>_Neo_InfB_Cont_Stand_01</t>
  </si>
  <si>
    <t>_Neo_InfB_Cont_Stand_02</t>
  </si>
  <si>
    <t>_Neo_InfB_Cont_Stand_03</t>
  </si>
  <si>
    <t>_Neo_InfB_Cont_Stand_04</t>
  </si>
  <si>
    <t>_Neo_InfB_Cont_Stand_05</t>
  </si>
  <si>
    <t>_Neo_InfB_Cont_Stand_06</t>
  </si>
  <si>
    <t>_Neo_InfB_Cont_Stand_07</t>
  </si>
  <si>
    <t>_Neo_InfB_Cont_Stand_08</t>
  </si>
  <si>
    <t>_Neo_InfB_Cont_Stand_09</t>
  </si>
  <si>
    <t>_Neo_InfB_Cont_Stand_10</t>
  </si>
  <si>
    <t>_Neo_InfB_Cont_Stand_11</t>
  </si>
  <si>
    <t>_Neo_InfB_Cont_Stand_12</t>
  </si>
  <si>
    <t>_Neo_InfB_Cont_VochtExtra_01</t>
  </si>
  <si>
    <t>_Neo_InfB_Cont_VochtExtra_02</t>
  </si>
  <si>
    <t>_Neo_InfB_Cont_VochtExtra_03</t>
  </si>
  <si>
    <t>_Neo_InfB_Cont_VochtExtra_04</t>
  </si>
  <si>
    <t>_Neo_InfB_Cont_VochtExtra_05</t>
  </si>
  <si>
    <t>_Neo_InfB_Cont_VochtExtra_06</t>
  </si>
  <si>
    <t>_Neo_InfB_Cont_VochtExtra_07</t>
  </si>
  <si>
    <t>_Neo_InfB_Cont_VochtExtra_08</t>
  </si>
  <si>
    <t>_Neo_InfB_Cont_VochtExtra_09</t>
  </si>
  <si>
    <t>_Neo_InfB_Cont_VochtExtra_10</t>
  </si>
  <si>
    <t>_Neo_InfB_Cont_VochtExtra_11</t>
  </si>
  <si>
    <t>_Neo_InfB_Cont_VochtExtra_12</t>
  </si>
  <si>
    <t>_Neo_InfB_Cont_VochtExtra_13</t>
  </si>
  <si>
    <t>_Neo_InfB_Cont_VochtExtra_14</t>
  </si>
  <si>
    <t>_Neo_InfB_Ent_Frequentie_1</t>
  </si>
  <si>
    <t>_Neo_InfB_Ent_Frequentie_2</t>
  </si>
  <si>
    <t>_Neo_InfB_Ent_Hoeveelheid_1</t>
  </si>
  <si>
    <t>_Neo_InfB_Ent_Hoeveelheid_2</t>
  </si>
  <si>
    <t>_Neo_InfB_Ent_PercentageKeuze_0</t>
  </si>
  <si>
    <t>_Neo_InfB_Ent_PercentageKeuze_1</t>
  </si>
  <si>
    <t>_Neo_InfB_Ent_PercentageKeuze_2</t>
  </si>
  <si>
    <t>_Neo_InfB_Ent_PercentageKeuze_3</t>
  </si>
  <si>
    <t>_Neo_InfB_Ent_PercentageKeuze_4</t>
  </si>
  <si>
    <t>_Neo_InfB_Ent_PercentageKeuze_5</t>
  </si>
  <si>
    <t>_Neo_InfB_Ent_PercentageKeuze_6</t>
  </si>
  <si>
    <t>_Neo_InfB_Ent_PercentageKeuze_7</t>
  </si>
  <si>
    <t>_Neo_InfB_Ent_PercentageKeuze_8</t>
  </si>
  <si>
    <t>_Neo_InfB_Ent_Toevoeging_1</t>
  </si>
  <si>
    <t>_Neo_InfB_Ent_Toevoeging_2</t>
  </si>
  <si>
    <t>_Neo_InfB_Ent_Toevoeging_3</t>
  </si>
  <si>
    <t>_Neo_InfB_Ent_Toevoeging_4</t>
  </si>
  <si>
    <t>_Neo_InfB_Ent_Toevoeging_5</t>
  </si>
  <si>
    <t>_Neo_InfB_Ent_Toevoeging_6</t>
  </si>
  <si>
    <t>_Neo_InfB_Ent_Toevoeging_7</t>
  </si>
  <si>
    <t>_Neo_InfB_Ent_Toevoeging_8</t>
  </si>
  <si>
    <t>_Neo_InfB_Ent_Voeding</t>
  </si>
  <si>
    <t>_Neo_InfB_TPN_CaCl2</t>
  </si>
  <si>
    <t>_Neo_InfB_TPN_DagKeuze</t>
  </si>
  <si>
    <t>_Neo_InfB_TPN_Fototherapie</t>
  </si>
  <si>
    <t>_Neo_InfB_TPN_GlucSterkte</t>
  </si>
  <si>
    <t>_Neo_InfB_TPN_IntakePerKg</t>
  </si>
  <si>
    <t>_Neo_InfB_TPN_IntraLipid</t>
  </si>
  <si>
    <t>_Neo_InfB_TPN_IntralipidSmof</t>
  </si>
  <si>
    <t>_Neo_InfB_TPN_KCl</t>
  </si>
  <si>
    <t>_Neo_InfB_TPN_MgCl2</t>
  </si>
  <si>
    <t>_Neo_InfB_TPN_Nacl</t>
  </si>
  <si>
    <t>_Neo_InfB_TPN_NICUMix</t>
  </si>
  <si>
    <t>_Neo_InfB_TPN_Parenteraal</t>
  </si>
  <si>
    <t>_Neo_InfB_TPN_Primene</t>
  </si>
  <si>
    <t>_Neo_InfB_TPN_SoluVit</t>
  </si>
  <si>
    <t>_Neo_InfB_TPN_SSTB</t>
  </si>
  <si>
    <t>F:=IF(Txt_Neo_Wb_IVAcc_Stand&lt;&gt;"",CONCATENATE(Txt_Neo_Wb_IVAcc_Tekst," ",Txt_Neo_Wb_IVAcc_Stand, " ml/uur"),"")</t>
  </si>
  <si>
    <t>F:=IF(AND(INDEX(tbl_Neo_LijstVoeding,Var_Neo_InfB_Ent_Voeding,14)="MM",Var_Neo_Percentage_0 &gt; 0), CONCATENATE("Toev MM: BMF ",Var_Neo_Percentage_0," %"),"")</t>
  </si>
  <si>
    <t>F:=IF(AND(INDEX(tbl_Neo_LijstVoeding,Var_Neo_InfB_Ent_Voeding,14)="MM",Var_Neo_InfB_Ent_Toevoeging_1 &gt; 1,Var_Neo_Percentage_1 &gt; 0), CONCATENATE("Toev MM: ",INDEX(tbl_Neo_NutrMMToev,Var_Neo_InfB_Ent_Toevoeging_1,1)," ",Var_Neo_Percentage_1," %"),"")</t>
  </si>
  <si>
    <t>F:=IF(AND(INDEX(tbl_Neo_LijstVoeding,Var_Neo_InfB_Ent_Voeding,14)="MM",Var_Neo_InfB_Ent_Toevoeging_2 &gt; 1,Var_Neo_Percentage_2 &gt; 0), CONCATENATE("Toev MM: ",INDEX(tbl_Neo_NutrMMToev,Var_Neo_InfB_Ent_Toevoeging_2,1)," ",Var_Neo_Percentage_2," %"),"")</t>
  </si>
  <si>
    <t>F:=IF(AND(INDEX(tbl_Neo_LijstVoeding,Var_Neo_InfB_Ent_Voeding,14)="MM",Var_Neo_InfB_Ent_Toevoeging_3 &gt; 1,Var_Neo_Percentage_3 &gt; 0), CONCATENATE("Toev MM: ",INDEX(tbl_Neo_NutrMMToev,Var_Neo_InfB_Ent_Toevoeging_3,1)," ",Var_Neo_Percentage_3," %"),"")</t>
  </si>
  <si>
    <t>F:=IF(AND(INDEX(tbl_Neo_LijstVoeding,Var_Neo_InfB_Ent_Voeding,14)="MM",Var_Neo_InfB_Ent_Toevoeging_4 &gt; 1,Var_Neo_Percentage_4 &gt; 0), CONCATENATE("Toev MM: ",INDEX(tbl_Neo_NutrMMToev,Var_Neo_InfB_Ent_Toevoeging_4,1)," ",Var_Neo_Percentage_4," %"),"")</t>
  </si>
  <si>
    <t>F:=IF(AND(INDEX(tbl_Neo_LijstVoeding,Var_Neo_InfB_Ent_Voeding,14)="KV",Var_Neo_InfB_Ent_Toevoeging_5 &gt; 1,Var_Neo_Percentage_5 &gt; 0), CONCATENATE("Toev KV: ",INDEX(tbl_Neo_NutrKunstToev,Var_Neo_InfB_Ent_Toevoeging_5,1)," ",Var_Neo_Percentage_5," %"),"")</t>
  </si>
  <si>
    <t>F:=IF(AND(INDEX(tbl_Neo_LijstVoeding,Var_Neo_InfB_Ent_Voeding,14)="KV",Var_Neo_InfB_Ent_Toevoeging_6 &gt; 1,Var_Neo_Percentage_6 &gt; 0), CONCATENATE("Toev KV: ",INDEX(tbl_Neo_NutrKunstToev,Var_Neo_InfB_Ent_Toevoeging_6,1)," ",Var_Neo_Percentage_6," %"),"")</t>
  </si>
  <si>
    <t>F:=IF(AND(INDEX(tbl_Neo_LijstVoeding,Var_Neo_InfB_Ent_Voeding,14)="KV",Var_Neo_InfB_Ent_Toevoeging_7 &gt; 1,Var_Neo_Percentage_7 &gt; 0), CONCATENATE("Toev KV: ",INDEX(tbl_Neo_NutrKunstToev,Var_Neo_InfB_Ent_Toevoeging_7,1)," ",Var_Neo_Percentage_7," %"),"")</t>
  </si>
  <si>
    <t>F:=IF(AND(INDEX(tbl_Neo_LijstVoeding,Var_Neo_InfB_Ent_Voeding,14)="KV",Var_Neo_InfB_Ent_Toevoeging_8 &gt; 1,Var_Neo_Percentage_8 &gt; 0), CONCATENATE("Toev KV: ",INDEX(tbl_Neo_NutrKunstToev,Var_Neo_InfB_Ent_Toevoeging_8,1)," ",Var_Neo_Percentage_8," %"),"")</t>
  </si>
  <si>
    <t>F:=IF(NeoBerInfB!$K$39&gt;0,IF(_Neo_1700_TPN_DagKeuze=1,NeoBerInfB!$C$39-M10,0),"")</t>
  </si>
  <si>
    <t>F:=IF(NeoBerInfB!$K$38&gt;0,IF(_Neo_1700_TPN_DagKeuze&lt;&gt;2,(NeoBerInfB!$C$38-M9)*100,0),"")</t>
  </si>
  <si>
    <t>F:=IF(NeoBerInfB!$K$38&gt;0,IF(_Neo_1700_TPN_DagKeuze&lt;&gt;2,TRUNC(NeoBerInfB!$C$38),0),"")</t>
  </si>
  <si>
    <t>F:=IF(NeoBerInfB!$K$40&gt;0,IF(_Neo_1700_TPN_DagKeuze=1,(NeoBerInfB!$C$40-M11)*100,0),"")</t>
  </si>
  <si>
    <t>F:=IF(NeoBerInfB!$K$37&gt;0,IF(_Neo_1700_TPN_DagKeuze&lt;&gt;2,(NeoBerInfB!$C$37-M8)*100,0),"")</t>
  </si>
  <si>
    <t>F:=IF(NeoBerInfB!$K$37&gt;0,IF(Var_Neo_InfB_TPN_DagKeuze&lt;&gt;2,TRUNC(NeoBerInfB!$C$37),0),"")</t>
  </si>
  <si>
    <t>F:=IF(Var_Neo_InfB_TPN_DagKeuze=2,(NeoBerInfB!$C$43-M14)*100,"")</t>
  </si>
  <si>
    <t>F:=IF(Var_Neo_InfB_TPN_DagKeuze=2,TRUNC(NeoBerInfB!$C$43),"")</t>
  </si>
  <si>
    <t>F:=IF(NeoBerInfB!$K$42&gt;0,IF(_Neo_1700_TPN_DagKeuze&lt;&gt;1,(NeoBerInfB!$C$42-M13)*100,0),"")</t>
  </si>
  <si>
    <t>F:=IF(Var_Neo_InfB_TPN_DagKeuze=3,(NeoBerInfB!$C$44-M15)*100,"")</t>
  </si>
  <si>
    <t>F:=IF(Var_Neo_InfB_TPN_DagKeuze=3,TRUNC(NeoBerInfB!$C$44),"")</t>
  </si>
  <si>
    <t>F:=IF(NeoBerInfB!$K$41&gt;0,IF(_Neo_1700_TPN_DagKeuze=1,(NeoBerInfB!$C$41-M12)*100,0),"")</t>
  </si>
  <si>
    <t>Var_Neo_InfB_Cont_ArtLijn</t>
  </si>
  <si>
    <t>Var_Neo_InfB_Cont_MedKeuze_1</t>
  </si>
  <si>
    <t>Var_Neo_InfB_Cont_MedKeuze_2</t>
  </si>
  <si>
    <t>Var_Neo_InfB_Cont_MedKeuze_3</t>
  </si>
  <si>
    <t>Var_Neo_InfB_Cont_MedKeuze_4</t>
  </si>
  <si>
    <t>Var_Neo_InfB_Cont_MedKeuze_5</t>
  </si>
  <si>
    <t>Var_Neo_InfB_Cont_MedKeuze_6</t>
  </si>
  <si>
    <t>Var_Neo_InfB_Cont_MedKeuze_7</t>
  </si>
  <si>
    <t>Var_Neo_InfB_Cont_MedKeuze_8</t>
  </si>
  <si>
    <t>Var_Neo_InfB_Cont_MedKeuze_9</t>
  </si>
  <si>
    <t>Var_Neo_InfB_Cont_MedSterkte_1</t>
  </si>
  <si>
    <t>Var_Neo_InfB_Cont_MedSterkte_2</t>
  </si>
  <si>
    <t>Var_Neo_InfB_Cont_MedSterkte_3</t>
  </si>
  <si>
    <t>Var_Neo_InfB_Cont_MedSterkte_4</t>
  </si>
  <si>
    <t>Var_Neo_InfB_Cont_MedSterkte_5</t>
  </si>
  <si>
    <t>Var_Neo_InfB_Cont_MedSterkte_6</t>
  </si>
  <si>
    <t>Var_Neo_InfB_Cont_MedSterkte_7</t>
  </si>
  <si>
    <t>Var_Neo_InfB_Cont_MedSterkte_8</t>
  </si>
  <si>
    <t>Var_Neo_InfB_Cont_MedSterkte_9</t>
  </si>
  <si>
    <t>Var_Neo_InfB_Cont_MedTekst_1</t>
  </si>
  <si>
    <t>Var_Neo_InfB_Cont_MedTekst_2</t>
  </si>
  <si>
    <t>Var_Neo_InfB_Cont_OplHoev_1</t>
  </si>
  <si>
    <t>Var_Neo_InfB_Cont_OplHoev_2</t>
  </si>
  <si>
    <t>Var_Neo_InfB_Cont_OplHoev_3</t>
  </si>
  <si>
    <t>Var_Neo_InfB_Cont_OplHoev_4</t>
  </si>
  <si>
    <t>Var_Neo_InfB_Cont_OplHoev_5</t>
  </si>
  <si>
    <t>Var_Neo_InfB_Cont_OplHoev_6</t>
  </si>
  <si>
    <t>Var_Neo_InfB_Cont_OplHoev_7</t>
  </si>
  <si>
    <t>Var_Neo_InfB_Cont_OplHoev_8</t>
  </si>
  <si>
    <t>Var_Neo_InfB_Cont_OplHoev_9</t>
  </si>
  <si>
    <t>Var_Neo_InfB_Cont_Oplossing_01</t>
  </si>
  <si>
    <t>Var_Neo_InfB_Cont_Oplossing_02</t>
  </si>
  <si>
    <t>Var_Neo_InfB_Cont_Oplossing_03</t>
  </si>
  <si>
    <t>Var_Neo_InfB_Cont_Oplossing_04</t>
  </si>
  <si>
    <t>Var_Neo_InfB_Cont_Oplossing_05</t>
  </si>
  <si>
    <t>Var_Neo_InfB_Cont_Oplossing_06</t>
  </si>
  <si>
    <t>Var_Neo_InfB_Cont_Oplossing_07</t>
  </si>
  <si>
    <t>Var_Neo_InfB_Cont_Oplossing_08</t>
  </si>
  <si>
    <t>Var_Neo_InfB_Cont_Oplossing_09</t>
  </si>
  <si>
    <t>Var_Neo_InfB_Cont_Oplossing_10</t>
  </si>
  <si>
    <t>Var_Neo_InfB_Cont_Oplossing_11</t>
  </si>
  <si>
    <t>Var_Neo_InfB_Cont_Oplossing_12</t>
  </si>
  <si>
    <t>Var_Neo_InfB_Cont_Stand_01</t>
  </si>
  <si>
    <t>Var_Neo_InfB_Cont_Stand_02</t>
  </si>
  <si>
    <t>Var_Neo_InfB_Cont_Stand_03</t>
  </si>
  <si>
    <t>Var_Neo_InfB_Cont_Stand_04</t>
  </si>
  <si>
    <t>Var_Neo_InfB_Cont_Stand_05</t>
  </si>
  <si>
    <t>Var_Neo_InfB_Cont_Stand_06</t>
  </si>
  <si>
    <t>Var_Neo_InfB_Cont_Stand_07</t>
  </si>
  <si>
    <t>Var_Neo_InfB_Cont_Stand_08</t>
  </si>
  <si>
    <t>Var_Neo_InfB_Cont_Stand_09</t>
  </si>
  <si>
    <t>Var_Neo_InfB_Cont_Stand_10</t>
  </si>
  <si>
    <t>Var_Neo_InfB_Cont_Stand_11</t>
  </si>
  <si>
    <t>Var_Neo_InfB_Cont_Stand_12</t>
  </si>
  <si>
    <t>Var_Neo_InfB_Cont_VochtExtra_01</t>
  </si>
  <si>
    <t>Var_Neo_InfB_Cont_VochtExtra_02</t>
  </si>
  <si>
    <t>Var_Neo_InfB_Cont_VochtExtra_03</t>
  </si>
  <si>
    <t>Var_Neo_InfB_Cont_VochtExtra_04</t>
  </si>
  <si>
    <t>Var_Neo_InfB_Cont_VochtExtra_05</t>
  </si>
  <si>
    <t>Var_Neo_InfB_Cont_VochtExtra_06</t>
  </si>
  <si>
    <t>Var_Neo_InfB_Cont_VochtExtra_07</t>
  </si>
  <si>
    <t>Var_Neo_InfB_Cont_VochtExtra_08</t>
  </si>
  <si>
    <t>Var_Neo_InfB_Cont_VochtExtra_09</t>
  </si>
  <si>
    <t>Var_Neo_InfB_Cont_VochtExtra_10</t>
  </si>
  <si>
    <t>Var_Neo_InfB_Cont_VochtExtra_11</t>
  </si>
  <si>
    <t>Var_Neo_InfB_Cont_VochtExtra_12</t>
  </si>
  <si>
    <t>Var_Neo_InfB_Cont_VochtExtra_13</t>
  </si>
  <si>
    <t>Var_Neo_InfB_Cont_VochtExtra_14</t>
  </si>
  <si>
    <t>Var_Neo_InfB_Ent_Frequentie_1</t>
  </si>
  <si>
    <t>Var_Neo_InfB_Ent_Frequentie_2</t>
  </si>
  <si>
    <t>Var_Neo_InfB_Ent_Hoeveelheid_1</t>
  </si>
  <si>
    <t>Var_Neo_InfB_Ent_Hoeveelheid_2</t>
  </si>
  <si>
    <t>Var_Neo_InfB_Ent_PercentageKeuze_0</t>
  </si>
  <si>
    <t>Var_Neo_InfB_Ent_PercentageKeuze_1</t>
  </si>
  <si>
    <t>Var_Neo_InfB_Ent_PercentageKeuze_2</t>
  </si>
  <si>
    <t>Var_Neo_InfB_Ent_PercentageKeuze_3</t>
  </si>
  <si>
    <t>Var_Neo_InfB_Ent_PercentageKeuze_4</t>
  </si>
  <si>
    <t>Var_Neo_InfB_Ent_PercentageKeuze_5</t>
  </si>
  <si>
    <t>Var_Neo_InfB_Ent_PercentageKeuze_6</t>
  </si>
  <si>
    <t>Var_Neo_InfB_Ent_PercentageKeuze_7</t>
  </si>
  <si>
    <t>Var_Neo_InfB_Ent_PercentageKeuze_8</t>
  </si>
  <si>
    <t>Var_Neo_InfB_Ent_Toevoeging_1</t>
  </si>
  <si>
    <t>Var_Neo_InfB_Ent_Toevoeging_2</t>
  </si>
  <si>
    <t>Var_Neo_InfB_Ent_Toevoeging_3</t>
  </si>
  <si>
    <t>Var_Neo_InfB_Ent_Toevoeging_4</t>
  </si>
  <si>
    <t>Var_Neo_InfB_Ent_Toevoeging_5</t>
  </si>
  <si>
    <t>Var_Neo_InfB_Ent_Toevoeging_6</t>
  </si>
  <si>
    <t>Var_Neo_InfB_Ent_Toevoeging_7</t>
  </si>
  <si>
    <t>Var_Neo_InfB_Ent_Toevoeging_8</t>
  </si>
  <si>
    <t>Var_Neo_InfB_Ent_Voeding</t>
  </si>
  <si>
    <t>Var_Neo_InfB_TPN_CaCl2</t>
  </si>
  <si>
    <t>Var_Neo_InfB_TPN_DagKeuze</t>
  </si>
  <si>
    <t>Var_Neo_InfB_TPN_Fototherapie</t>
  </si>
  <si>
    <t>Var_Neo_InfB_TPN_GlucSterkte</t>
  </si>
  <si>
    <t>Var_Neo_InfB_TPN_IntakePerKg</t>
  </si>
  <si>
    <t>Var_Neo_InfB_TPN_IntraLipid</t>
  </si>
  <si>
    <t>Var_Neo_InfB_TPN_IntralipidSmof</t>
  </si>
  <si>
    <t>Var_Neo_InfB_TPN_KCl</t>
  </si>
  <si>
    <t>Var_Neo_InfB_TPN_MgCl2</t>
  </si>
  <si>
    <t>Var_Neo_InfB_TPN_Nacl</t>
  </si>
  <si>
    <t>Var_Neo_InfB_TPN_NICUMix</t>
  </si>
  <si>
    <t>Var_Neo_InfB_TPN_Parenteraal</t>
  </si>
  <si>
    <t>Var_Neo_InfB_TPN_Primene</t>
  </si>
  <si>
    <t>Var_Neo_InfB_TPN_SoluVit</t>
  </si>
  <si>
    <t>Var_Neo_InfB_TPN_SSTB</t>
  </si>
  <si>
    <t>PatData!$A$1:$P$631</t>
  </si>
  <si>
    <t>PatData!$A$1:$B$763</t>
  </si>
  <si>
    <t>Factor</t>
  </si>
  <si>
    <t>Voedingen</t>
  </si>
  <si>
    <t>Poederrs</t>
  </si>
  <si>
    <t>Poeder 1</t>
  </si>
  <si>
    <t>Poeder 2</t>
  </si>
  <si>
    <t>Poeder 3</t>
  </si>
  <si>
    <t>kcal</t>
  </si>
  <si>
    <t>Unit</t>
  </si>
  <si>
    <t>IE</t>
  </si>
  <si>
    <t>Ingredienten per 1 mL</t>
  </si>
  <si>
    <t>Ingredienten per 1 gram</t>
  </si>
  <si>
    <t>Tbl_Ped_Voeding</t>
  </si>
  <si>
    <t>Tlb_Ped_Poeder</t>
  </si>
  <si>
    <t>Tbl_Glob_BerVoeding</t>
  </si>
  <si>
    <t>Tbl_Glob_BerPoeder</t>
  </si>
  <si>
    <t>Tbl_Neo_Voed</t>
  </si>
  <si>
    <t>Tb_Neo_PoedMM</t>
  </si>
  <si>
    <t>Energy</t>
  </si>
  <si>
    <t>Tbl_Neo_PoedKV</t>
  </si>
  <si>
    <t>glucose 12,5 %</t>
  </si>
  <si>
    <t>glucose 17,5%</t>
  </si>
  <si>
    <t>glucose 5% + NaCl 0,45%</t>
  </si>
  <si>
    <t>glucose 5% + NaCl 0,9%</t>
  </si>
  <si>
    <t>Tot</t>
  </si>
  <si>
    <t>Per Kg</t>
  </si>
  <si>
    <t>Tbl_Glob_Conversie</t>
  </si>
  <si>
    <t>Tbl_Glob_ParEnt</t>
  </si>
  <si>
    <t>Tbl_Ped_TPN</t>
  </si>
  <si>
    <t>Tbl_Ped_SST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</si>
</sst>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dd\/mm\/\y\y"/>
    <numFmt numFmtId="165" formatCode="d/mmm/yyyy"/>
    <numFmt numFmtId="166" formatCode="d\ mmmm\ yyyy"/>
    <numFmt numFmtId="167" formatCode="0.0"/>
    <numFmt numFmtId="168" formatCode="0.000"/>
    <numFmt numFmtId="169" formatCode="0.0000"/>
    <numFmt numFmtId="170" formatCode="00"/>
    <numFmt numFmtId="171" formatCode="#,##0.000"/>
    <numFmt numFmtId="172" formatCode="d\ mmmm\ \y\y\y\y"/>
  </numFmts>
  <fonts count="9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9"/>
      <name val="Times New Roman"/>
      <family val="1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b/>
      <sz val="11"/>
      <name val="Times New Roman"/>
      <family val="1"/>
    </font>
    <font>
      <sz val="7"/>
      <name val="Arial"/>
      <family val="2"/>
    </font>
    <font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sz val="9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2"/>
      <name val="Courier"/>
      <family val="3"/>
    </font>
    <font>
      <b/>
      <sz val="10"/>
      <name val="Courier"/>
      <family val="3"/>
    </font>
    <font>
      <sz val="10"/>
      <name val="Courier"/>
      <family val="3"/>
    </font>
    <font>
      <b/>
      <i/>
      <sz val="11"/>
      <color indexed="23"/>
      <name val="Arial"/>
      <family val="2"/>
    </font>
    <font>
      <b/>
      <sz val="12"/>
      <name val="Arial"/>
      <family val="2"/>
    </font>
    <font>
      <i/>
      <sz val="10"/>
      <color indexed="23"/>
      <name val="Arial"/>
      <family val="2"/>
    </font>
    <font>
      <b/>
      <i/>
      <sz val="10"/>
      <color indexed="10"/>
      <name val="Arial"/>
      <family val="2"/>
    </font>
    <font>
      <b/>
      <i/>
      <sz val="12"/>
      <color indexed="18"/>
      <name val="Arial"/>
      <family val="2"/>
    </font>
    <font>
      <i/>
      <sz val="10"/>
      <color indexed="18"/>
      <name val="Arial"/>
      <family val="2"/>
    </font>
    <font>
      <b/>
      <sz val="10"/>
      <color indexed="54"/>
      <name val="Arial"/>
      <family val="2"/>
    </font>
    <font>
      <b/>
      <sz val="10"/>
      <color indexed="10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  <font>
      <sz val="10"/>
      <color indexed="10"/>
      <name val="Arial"/>
      <family val="2"/>
    </font>
    <font>
      <sz val="10"/>
      <color indexed="42"/>
      <name val="Arial"/>
      <family val="2"/>
    </font>
    <font>
      <b/>
      <sz val="10"/>
      <color rgb="FFFF0000"/>
      <name val="Arial"/>
      <family val="2"/>
    </font>
    <font>
      <sz val="11"/>
      <color rgb="FF1F497D"/>
      <name val="Calibri"/>
      <family val="2"/>
    </font>
    <font>
      <sz val="10"/>
      <color indexed="56"/>
      <name val="Arial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b/>
      <sz val="10"/>
      <color theme="1"/>
      <name val="Arial"/>
      <family val="2"/>
    </font>
    <font>
      <sz val="8"/>
      <color indexed="10"/>
      <name val="Arial"/>
      <family val="2"/>
    </font>
    <font>
      <sz val="8"/>
      <color indexed="9"/>
      <name val="Arial"/>
      <family val="2"/>
    </font>
    <font>
      <u/>
      <sz val="8"/>
      <name val="Arial"/>
      <family val="2"/>
    </font>
    <font>
      <b/>
      <sz val="10"/>
      <color rgb="FF5F5F5F"/>
      <name val="Arial"/>
      <family val="2"/>
    </font>
    <font>
      <b/>
      <u val="double"/>
      <sz val="10"/>
      <color theme="0" tint="-0.499984740745262"/>
      <name val="Arial"/>
      <family val="2"/>
    </font>
    <font>
      <b/>
      <u val="double"/>
      <sz val="10"/>
      <color rgb="FF5F5F5F"/>
      <name val="Arial"/>
      <family val="2"/>
    </font>
    <font>
      <sz val="10"/>
      <color rgb="FF5F5F5F"/>
      <name val="Arial"/>
      <family val="2"/>
    </font>
    <font>
      <b/>
      <i/>
      <u/>
      <sz val="10"/>
      <color theme="0"/>
      <name val="Arial"/>
      <family val="2"/>
    </font>
    <font>
      <b/>
      <sz val="9"/>
      <color rgb="FF5F5F5F"/>
      <name val="Arial"/>
      <family val="2"/>
    </font>
    <font>
      <u val="double"/>
      <sz val="10"/>
      <color rgb="FF5F5F5F"/>
      <name val="Arial"/>
      <family val="2"/>
    </font>
    <font>
      <b/>
      <sz val="20"/>
      <color theme="0"/>
      <name val="Arial"/>
      <family val="2"/>
    </font>
    <font>
      <b/>
      <sz val="10"/>
      <color rgb="FFF2F2F2"/>
      <name val="Arial"/>
      <family val="2"/>
    </font>
    <font>
      <b/>
      <sz val="10"/>
      <color rgb="FFFFFFFF"/>
      <name val="Arial"/>
      <family val="2"/>
    </font>
    <font>
      <sz val="10"/>
      <color rgb="FFBFBFBF"/>
      <name val="Arial"/>
      <family val="2"/>
    </font>
    <font>
      <b/>
      <u val="double"/>
      <sz val="10"/>
      <color rgb="FFFFFFFF"/>
      <name val="Arial"/>
      <family val="2"/>
    </font>
    <font>
      <sz val="8"/>
      <color rgb="FF000000"/>
      <name val="Arial"/>
      <family val="2"/>
    </font>
    <font>
      <b/>
      <u/>
      <sz val="10"/>
      <color rgb="FFFFFFFF"/>
      <name val="Arial"/>
      <family val="2"/>
    </font>
  </fonts>
  <fills count="43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215967"/>
        <bgColor indexed="64"/>
      </patternFill>
    </fill>
    <fill>
      <patternFill patternType="solid">
        <fgColor rgb="FF0F243E"/>
        <bgColor indexed="64"/>
      </patternFill>
    </fill>
    <fill>
      <patternFill patternType="solid">
        <fgColor rgb="FF4F6228"/>
        <bgColor indexed="64"/>
      </patternFill>
    </fill>
    <fill>
      <patternFill patternType="solid">
        <fgColor rgb="FF974706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FFFFFF"/>
        <bgColor indexed="64"/>
      </patternFill>
    </fill>
  </fills>
  <borders count="11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9"/>
      </bottom>
      <diagonal/>
    </border>
    <border>
      <left/>
      <right/>
      <top style="thin">
        <color indexed="55"/>
      </top>
      <bottom/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/>
      <top/>
      <bottom style="thick">
        <color indexed="18"/>
      </bottom>
      <diagonal/>
    </border>
    <border>
      <left/>
      <right/>
      <top/>
      <bottom style="thin">
        <color indexed="18"/>
      </bottom>
      <diagonal/>
    </border>
    <border>
      <left/>
      <right/>
      <top/>
      <bottom style="thin">
        <color indexed="54"/>
      </bottom>
      <diagonal/>
    </border>
    <border>
      <left/>
      <right/>
      <top style="thin">
        <color indexed="54"/>
      </top>
      <bottom style="thin">
        <color indexed="54"/>
      </bottom>
      <diagonal/>
    </border>
    <border>
      <left/>
      <right/>
      <top/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54"/>
      </top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thin">
        <color auto="1"/>
      </bottom>
      <diagonal/>
    </border>
    <border>
      <left style="thick">
        <color theme="0" tint="-4.9989318521683403E-2"/>
      </left>
      <right style="thick">
        <color theme="0" tint="-4.9989318521683403E-2"/>
      </right>
      <top/>
      <bottom style="thick">
        <color theme="0" tint="-4.9989318521683403E-2"/>
      </bottom>
      <diagonal/>
    </border>
    <border>
      <left style="thick">
        <color theme="0" tint="-4.9989318521683403E-2"/>
      </left>
      <right/>
      <top/>
      <bottom style="thick">
        <color theme="0" tint="-4.9989318521683403E-2"/>
      </bottom>
      <diagonal/>
    </border>
    <border>
      <left style="thick">
        <color theme="0" tint="-4.9989318521683403E-2"/>
      </left>
      <right style="thick">
        <color theme="0" tint="-4.9989318521683403E-2"/>
      </right>
      <top style="thick">
        <color theme="0" tint="-4.9989318521683403E-2"/>
      </top>
      <bottom style="thick">
        <color theme="0" tint="-4.9989318521683403E-2"/>
      </bottom>
      <diagonal/>
    </border>
    <border>
      <left style="thick">
        <color theme="0" tint="-4.9989318521683403E-2"/>
      </left>
      <right/>
      <top style="thick">
        <color theme="0" tint="-4.9989318521683403E-2"/>
      </top>
      <bottom style="thick">
        <color theme="0" tint="-4.9989318521683403E-2"/>
      </bottom>
      <diagonal/>
    </border>
    <border>
      <left/>
      <right/>
      <top style="thick">
        <color theme="0" tint="-4.9989318521683403E-2"/>
      </top>
      <bottom style="thick">
        <color theme="0" tint="-4.9989318521683403E-2"/>
      </bottom>
      <diagonal/>
    </border>
    <border>
      <left/>
      <right style="thick">
        <color rgb="FFF2F2F2"/>
      </right>
      <top/>
      <bottom/>
      <diagonal/>
    </border>
    <border>
      <left style="thick">
        <color rgb="FFF2F2F2"/>
      </left>
      <right style="thick">
        <color rgb="FFF2F2F2"/>
      </right>
      <top/>
      <bottom/>
      <diagonal/>
    </border>
    <border>
      <left style="thick">
        <color rgb="FFF2F2F2"/>
      </left>
      <right/>
      <top/>
      <bottom/>
      <diagonal/>
    </border>
    <border>
      <left/>
      <right style="thick">
        <color rgb="FFF2F2F2"/>
      </right>
      <top/>
      <bottom style="thick">
        <color rgb="FFF2F2F2"/>
      </bottom>
      <diagonal/>
    </border>
    <border>
      <left style="thick">
        <color rgb="FFF2F2F2"/>
      </left>
      <right style="thick">
        <color rgb="FFF2F2F2"/>
      </right>
      <top/>
      <bottom style="thick">
        <color rgb="FFF2F2F2"/>
      </bottom>
      <diagonal/>
    </border>
    <border>
      <left style="thick">
        <color rgb="FFF2F2F2"/>
      </left>
      <right/>
      <top/>
      <bottom style="thick">
        <color rgb="FFF2F2F2"/>
      </bottom>
      <diagonal/>
    </border>
    <border>
      <left/>
      <right style="thick">
        <color rgb="FFF2F2F2"/>
      </right>
      <top style="thick">
        <color rgb="FFF2F2F2"/>
      </top>
      <bottom style="thick">
        <color rgb="FFF2F2F2"/>
      </bottom>
      <diagonal/>
    </border>
    <border>
      <left style="thick">
        <color rgb="FFF2F2F2"/>
      </left>
      <right style="thick">
        <color rgb="FFF2F2F2"/>
      </right>
      <top style="thick">
        <color rgb="FFF2F2F2"/>
      </top>
      <bottom style="thick">
        <color rgb="FFF2F2F2"/>
      </bottom>
      <diagonal/>
    </border>
    <border>
      <left style="thick">
        <color rgb="FFF2F2F2"/>
      </left>
      <right/>
      <top style="thick">
        <color rgb="FFF2F2F2"/>
      </top>
      <bottom style="thick">
        <color rgb="FFF2F2F2"/>
      </bottom>
      <diagonal/>
    </border>
    <border>
      <left/>
      <right style="thick">
        <color rgb="FFF2F2F2"/>
      </right>
      <top style="thick">
        <color rgb="FFF2F2F2"/>
      </top>
      <bottom style="thick">
        <color theme="0" tint="-4.9989318521683403E-2"/>
      </bottom>
      <diagonal/>
    </border>
    <border>
      <left style="thick">
        <color rgb="FFF2F2F2"/>
      </left>
      <right style="thick">
        <color rgb="FFF2F2F2"/>
      </right>
      <top style="thick">
        <color rgb="FFF2F2F2"/>
      </top>
      <bottom style="thick">
        <color theme="0" tint="-4.9989318521683403E-2"/>
      </bottom>
      <diagonal/>
    </border>
    <border>
      <left style="thick">
        <color rgb="FFF2F2F2"/>
      </left>
      <right/>
      <top style="thick">
        <color rgb="FFF2F2F2"/>
      </top>
      <bottom style="thick">
        <color theme="0" tint="-4.9989318521683403E-2"/>
      </bottom>
      <diagonal/>
    </border>
    <border>
      <left/>
      <right/>
      <top/>
      <bottom style="thin">
        <color rgb="FFF2F2F2"/>
      </bottom>
      <diagonal/>
    </border>
    <border>
      <left/>
      <right/>
      <top style="thin">
        <color rgb="FFF2F2F2"/>
      </top>
      <bottom style="thick">
        <color theme="0" tint="-4.9989318521683403E-2"/>
      </bottom>
      <diagonal/>
    </border>
    <border>
      <left/>
      <right/>
      <top style="thick">
        <color theme="0" tint="-4.9989318521683403E-2"/>
      </top>
      <bottom style="thin">
        <color rgb="FFF2F2F2"/>
      </bottom>
      <diagonal/>
    </border>
    <border>
      <left/>
      <right/>
      <top style="thin">
        <color rgb="FFF2F2F2"/>
      </top>
      <bottom style="thin">
        <color rgb="FFF2F2F2"/>
      </bottom>
      <diagonal/>
    </border>
    <border>
      <left/>
      <right style="thick">
        <color rgb="FFF2F2F2"/>
      </right>
      <top/>
      <bottom style="thin">
        <color rgb="FFF2F2F2"/>
      </bottom>
      <diagonal/>
    </border>
    <border>
      <left style="thick">
        <color rgb="FFF2F2F2"/>
      </left>
      <right style="thick">
        <color theme="0" tint="-4.9989318521683403E-2"/>
      </right>
      <top/>
      <bottom style="thin">
        <color rgb="FFF2F2F2"/>
      </bottom>
      <diagonal/>
    </border>
    <border>
      <left/>
      <right style="thick">
        <color rgb="FFF2F2F2"/>
      </right>
      <top style="thin">
        <color rgb="FFF2F2F2"/>
      </top>
      <bottom style="thin">
        <color rgb="FFF2F2F2"/>
      </bottom>
      <diagonal/>
    </border>
    <border>
      <left style="thick">
        <color rgb="FFF2F2F2"/>
      </left>
      <right style="thick">
        <color theme="0" tint="-4.9989318521683403E-2"/>
      </right>
      <top style="thin">
        <color rgb="FFF2F2F2"/>
      </top>
      <bottom style="thin">
        <color rgb="FFF2F2F2"/>
      </bottom>
      <diagonal/>
    </border>
    <border>
      <left/>
      <right style="thick">
        <color rgb="FFF2F2F2"/>
      </right>
      <top style="thin">
        <color rgb="FFF2F2F2"/>
      </top>
      <bottom style="thick">
        <color theme="0" tint="-4.9989318521683403E-2"/>
      </bottom>
      <diagonal/>
    </border>
    <border>
      <left style="thick">
        <color rgb="FFF2F2F2"/>
      </left>
      <right style="thick">
        <color theme="0" tint="-4.9989318521683403E-2"/>
      </right>
      <top style="thin">
        <color rgb="FFF2F2F2"/>
      </top>
      <bottom style="thick">
        <color theme="0" tint="-4.9989318521683403E-2"/>
      </bottom>
      <diagonal/>
    </border>
    <border>
      <left/>
      <right/>
      <top style="thick">
        <color rgb="FFF2F2F2"/>
      </top>
      <bottom style="thick">
        <color rgb="FFF2F2F2"/>
      </bottom>
      <diagonal/>
    </border>
    <border>
      <left/>
      <right style="thick">
        <color rgb="FFF2F2F2"/>
      </right>
      <top style="medium">
        <color indexed="22"/>
      </top>
      <bottom style="thick">
        <color rgb="FFF2F2F2"/>
      </bottom>
      <diagonal/>
    </border>
    <border>
      <left style="thick">
        <color rgb="FFF2F2F2"/>
      </left>
      <right style="thick">
        <color rgb="FFF2F2F2"/>
      </right>
      <top style="medium">
        <color indexed="22"/>
      </top>
      <bottom style="thick">
        <color rgb="FFF2F2F2"/>
      </bottom>
      <diagonal/>
    </border>
    <border>
      <left style="thick">
        <color rgb="FFF2F2F2"/>
      </left>
      <right/>
      <top style="medium">
        <color indexed="22"/>
      </top>
      <bottom style="thick">
        <color rgb="FFF2F2F2"/>
      </bottom>
      <diagonal/>
    </border>
    <border>
      <left/>
      <right style="thick">
        <color rgb="FFF2F2F2"/>
      </right>
      <top style="thick">
        <color rgb="FFF2F2F2"/>
      </top>
      <bottom style="medium">
        <color indexed="22"/>
      </bottom>
      <diagonal/>
    </border>
    <border>
      <left style="thick">
        <color rgb="FFF2F2F2"/>
      </left>
      <right style="thick">
        <color rgb="FFF2F2F2"/>
      </right>
      <top style="thick">
        <color rgb="FFF2F2F2"/>
      </top>
      <bottom style="medium">
        <color indexed="22"/>
      </bottom>
      <diagonal/>
    </border>
    <border>
      <left style="thick">
        <color rgb="FFF2F2F2"/>
      </left>
      <right/>
      <top style="thick">
        <color rgb="FFF2F2F2"/>
      </top>
      <bottom style="medium">
        <color indexed="22"/>
      </bottom>
      <diagonal/>
    </border>
    <border>
      <left/>
      <right/>
      <top/>
      <bottom style="thick">
        <color rgb="FFF2F2F2"/>
      </bottom>
      <diagonal/>
    </border>
    <border>
      <left/>
      <right/>
      <top style="thick">
        <color rgb="FFF2F2F2"/>
      </top>
      <bottom style="thick">
        <color theme="0" tint="-4.9989318521683403E-2"/>
      </bottom>
      <diagonal/>
    </border>
  </borders>
  <cellStyleXfs count="208">
    <xf numFmtId="0" fontId="0" fillId="0" borderId="0"/>
    <xf numFmtId="0" fontId="33" fillId="2" borderId="0" applyNumberFormat="0" applyBorder="0" applyAlignment="0" applyProtection="0"/>
    <xf numFmtId="0" fontId="33" fillId="3" borderId="0" applyNumberFormat="0" applyBorder="0" applyAlignment="0" applyProtection="0"/>
    <xf numFmtId="0" fontId="33" fillId="4" borderId="0" applyNumberFormat="0" applyBorder="0" applyAlignment="0" applyProtection="0"/>
    <xf numFmtId="0" fontId="33" fillId="5" borderId="0" applyNumberFormat="0" applyBorder="0" applyAlignment="0" applyProtection="0"/>
    <xf numFmtId="0" fontId="33" fillId="6" borderId="0" applyNumberFormat="0" applyBorder="0" applyAlignment="0" applyProtection="0"/>
    <xf numFmtId="0" fontId="33" fillId="7" borderId="0" applyNumberFormat="0" applyBorder="0" applyAlignment="0" applyProtection="0"/>
    <xf numFmtId="0" fontId="33" fillId="8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5" borderId="0" applyNumberFormat="0" applyBorder="0" applyAlignment="0" applyProtection="0"/>
    <xf numFmtId="0" fontId="33" fillId="8" borderId="0" applyNumberFormat="0" applyBorder="0" applyAlignment="0" applyProtection="0"/>
    <xf numFmtId="0" fontId="33" fillId="11" borderId="0" applyNumberFormat="0" applyBorder="0" applyAlignment="0" applyProtection="0"/>
    <xf numFmtId="0" fontId="34" fillId="12" borderId="0" applyNumberFormat="0" applyBorder="0" applyAlignment="0" applyProtection="0"/>
    <xf numFmtId="0" fontId="34" fillId="9" borderId="0" applyNumberFormat="0" applyBorder="0" applyAlignment="0" applyProtection="0"/>
    <xf numFmtId="0" fontId="34" fillId="10" borderId="0" applyNumberFormat="0" applyBorder="0" applyAlignment="0" applyProtection="0"/>
    <xf numFmtId="0" fontId="34" fillId="13" borderId="0" applyNumberFormat="0" applyBorder="0" applyAlignment="0" applyProtection="0"/>
    <xf numFmtId="0" fontId="34" fillId="14" borderId="0" applyNumberFormat="0" applyBorder="0" applyAlignment="0" applyProtection="0"/>
    <xf numFmtId="0" fontId="34" fillId="15" borderId="0" applyNumberFormat="0" applyBorder="0" applyAlignment="0" applyProtection="0"/>
    <xf numFmtId="0" fontId="34" fillId="16" borderId="0" applyNumberFormat="0" applyBorder="0" applyAlignment="0" applyProtection="0"/>
    <xf numFmtId="0" fontId="34" fillId="17" borderId="0" applyNumberFormat="0" applyBorder="0" applyAlignment="0" applyProtection="0"/>
    <xf numFmtId="0" fontId="34" fillId="18" borderId="0" applyNumberFormat="0" applyBorder="0" applyAlignment="0" applyProtection="0"/>
    <xf numFmtId="0" fontId="34" fillId="13" borderId="0" applyNumberFormat="0" applyBorder="0" applyAlignment="0" applyProtection="0"/>
    <xf numFmtId="0" fontId="34" fillId="14" borderId="0" applyNumberFormat="0" applyBorder="0" applyAlignment="0" applyProtection="0"/>
    <xf numFmtId="0" fontId="34" fillId="19" borderId="0" applyNumberFormat="0" applyBorder="0" applyAlignment="0" applyProtection="0"/>
    <xf numFmtId="0" fontId="35" fillId="3" borderId="0" applyNumberFormat="0" applyBorder="0" applyAlignment="0" applyProtection="0"/>
    <xf numFmtId="0" fontId="36" fillId="20" borderId="1" applyNumberFormat="0" applyAlignment="0" applyProtection="0"/>
    <xf numFmtId="0" fontId="37" fillId="21" borderId="2" applyNumberFormat="0" applyAlignment="0" applyProtection="0"/>
    <xf numFmtId="0" fontId="38" fillId="0" borderId="0" applyNumberFormat="0" applyFill="0" applyBorder="0" applyAlignment="0" applyProtection="0"/>
    <xf numFmtId="0" fontId="39" fillId="4" borderId="0" applyNumberFormat="0" applyBorder="0" applyAlignment="0" applyProtection="0"/>
    <xf numFmtId="0" fontId="40" fillId="0" borderId="3" applyNumberFormat="0" applyFill="0" applyAlignment="0" applyProtection="0"/>
    <xf numFmtId="0" fontId="41" fillId="0" borderId="4" applyNumberFormat="0" applyFill="0" applyAlignment="0" applyProtection="0"/>
    <xf numFmtId="0" fontId="42" fillId="0" borderId="5" applyNumberFormat="0" applyFill="0" applyAlignment="0" applyProtection="0"/>
    <xf numFmtId="0" fontId="42" fillId="0" borderId="0" applyNumberFormat="0" applyFill="0" applyBorder="0" applyAlignment="0" applyProtection="0"/>
    <xf numFmtId="0" fontId="43" fillId="7" borderId="1" applyNumberFormat="0" applyAlignment="0" applyProtection="0"/>
    <xf numFmtId="0" fontId="44" fillId="0" borderId="6" applyNumberFormat="0" applyFill="0" applyAlignment="0" applyProtection="0"/>
    <xf numFmtId="0" fontId="45" fillId="22" borderId="0" applyNumberFormat="0" applyBorder="0" applyAlignment="0" applyProtection="0"/>
    <xf numFmtId="0" fontId="10" fillId="23" borderId="7" applyNumberFormat="0" applyFont="0" applyAlignment="0" applyProtection="0"/>
    <xf numFmtId="0" fontId="46" fillId="20" borderId="8" applyNumberFormat="0" applyAlignment="0" applyProtection="0"/>
    <xf numFmtId="0" fontId="47" fillId="0" borderId="0" applyNumberFormat="0" applyFill="0" applyBorder="0" applyAlignment="0" applyProtection="0"/>
    <xf numFmtId="0" fontId="48" fillId="0" borderId="9" applyNumberFormat="0" applyFill="0" applyAlignment="0" applyProtection="0"/>
    <xf numFmtId="0" fontId="49" fillId="0" borderId="0" applyNumberFormat="0" applyFill="0" applyBorder="0" applyAlignment="0" applyProtection="0"/>
    <xf numFmtId="0" fontId="10" fillId="0" borderId="0"/>
    <xf numFmtId="0" fontId="10" fillId="0" borderId="0"/>
    <xf numFmtId="0" fontId="9" fillId="0" borderId="0"/>
    <xf numFmtId="0" fontId="33" fillId="2" borderId="0" applyNumberFormat="0" applyBorder="0" applyAlignment="0" applyProtection="0"/>
    <xf numFmtId="0" fontId="33" fillId="3" borderId="0" applyNumberFormat="0" applyBorder="0" applyAlignment="0" applyProtection="0"/>
    <xf numFmtId="0" fontId="33" fillId="4" borderId="0" applyNumberFormat="0" applyBorder="0" applyAlignment="0" applyProtection="0"/>
    <xf numFmtId="0" fontId="33" fillId="5" borderId="0" applyNumberFormat="0" applyBorder="0" applyAlignment="0" applyProtection="0"/>
    <xf numFmtId="0" fontId="33" fillId="6" borderId="0" applyNumberFormat="0" applyBorder="0" applyAlignment="0" applyProtection="0"/>
    <xf numFmtId="0" fontId="33" fillId="7" borderId="0" applyNumberFormat="0" applyBorder="0" applyAlignment="0" applyProtection="0"/>
    <xf numFmtId="0" fontId="33" fillId="8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5" borderId="0" applyNumberFormat="0" applyBorder="0" applyAlignment="0" applyProtection="0"/>
    <xf numFmtId="0" fontId="33" fillId="8" borderId="0" applyNumberFormat="0" applyBorder="0" applyAlignment="0" applyProtection="0"/>
    <xf numFmtId="0" fontId="33" fillId="11" borderId="0" applyNumberFormat="0" applyBorder="0" applyAlignment="0" applyProtection="0"/>
    <xf numFmtId="0" fontId="34" fillId="12" borderId="0" applyNumberFormat="0" applyBorder="0" applyAlignment="0" applyProtection="0"/>
    <xf numFmtId="0" fontId="34" fillId="9" borderId="0" applyNumberFormat="0" applyBorder="0" applyAlignment="0" applyProtection="0"/>
    <xf numFmtId="0" fontId="34" fillId="10" borderId="0" applyNumberFormat="0" applyBorder="0" applyAlignment="0" applyProtection="0"/>
    <xf numFmtId="0" fontId="34" fillId="13" borderId="0" applyNumberFormat="0" applyBorder="0" applyAlignment="0" applyProtection="0"/>
    <xf numFmtId="0" fontId="34" fillId="14" borderId="0" applyNumberFormat="0" applyBorder="0" applyAlignment="0" applyProtection="0"/>
    <xf numFmtId="0" fontId="34" fillId="15" borderId="0" applyNumberFormat="0" applyBorder="0" applyAlignment="0" applyProtection="0"/>
    <xf numFmtId="0" fontId="34" fillId="16" borderId="0" applyNumberFormat="0" applyBorder="0" applyAlignment="0" applyProtection="0"/>
    <xf numFmtId="0" fontId="34" fillId="17" borderId="0" applyNumberFormat="0" applyBorder="0" applyAlignment="0" applyProtection="0"/>
    <xf numFmtId="0" fontId="34" fillId="18" borderId="0" applyNumberFormat="0" applyBorder="0" applyAlignment="0" applyProtection="0"/>
    <xf numFmtId="0" fontId="34" fillId="13" borderId="0" applyNumberFormat="0" applyBorder="0" applyAlignment="0" applyProtection="0"/>
    <xf numFmtId="0" fontId="34" fillId="14" borderId="0" applyNumberFormat="0" applyBorder="0" applyAlignment="0" applyProtection="0"/>
    <xf numFmtId="0" fontId="34" fillId="19" borderId="0" applyNumberFormat="0" applyBorder="0" applyAlignment="0" applyProtection="0"/>
    <xf numFmtId="0" fontId="8" fillId="0" borderId="0"/>
    <xf numFmtId="0" fontId="7" fillId="0" borderId="0"/>
    <xf numFmtId="0" fontId="10" fillId="0" borderId="0"/>
    <xf numFmtId="0" fontId="33" fillId="2" borderId="0" applyNumberFormat="0" applyBorder="0" applyAlignment="0" applyProtection="0"/>
    <xf numFmtId="0" fontId="33" fillId="3" borderId="0" applyNumberFormat="0" applyBorder="0" applyAlignment="0" applyProtection="0"/>
    <xf numFmtId="0" fontId="33" fillId="4" borderId="0" applyNumberFormat="0" applyBorder="0" applyAlignment="0" applyProtection="0"/>
    <xf numFmtId="0" fontId="33" fillId="5" borderId="0" applyNumberFormat="0" applyBorder="0" applyAlignment="0" applyProtection="0"/>
    <xf numFmtId="0" fontId="33" fillId="6" borderId="0" applyNumberFormat="0" applyBorder="0" applyAlignment="0" applyProtection="0"/>
    <xf numFmtId="0" fontId="33" fillId="7" borderId="0" applyNumberFormat="0" applyBorder="0" applyAlignment="0" applyProtection="0"/>
    <xf numFmtId="0" fontId="33" fillId="8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5" borderId="0" applyNumberFormat="0" applyBorder="0" applyAlignment="0" applyProtection="0"/>
    <xf numFmtId="0" fontId="33" fillId="8" borderId="0" applyNumberFormat="0" applyBorder="0" applyAlignment="0" applyProtection="0"/>
    <xf numFmtId="0" fontId="33" fillId="11" borderId="0" applyNumberFormat="0" applyBorder="0" applyAlignment="0" applyProtection="0"/>
    <xf numFmtId="0" fontId="34" fillId="12" borderId="0" applyNumberFormat="0" applyBorder="0" applyAlignment="0" applyProtection="0"/>
    <xf numFmtId="0" fontId="34" fillId="9" borderId="0" applyNumberFormat="0" applyBorder="0" applyAlignment="0" applyProtection="0"/>
    <xf numFmtId="0" fontId="34" fillId="10" borderId="0" applyNumberFormat="0" applyBorder="0" applyAlignment="0" applyProtection="0"/>
    <xf numFmtId="0" fontId="34" fillId="13" borderId="0" applyNumberFormat="0" applyBorder="0" applyAlignment="0" applyProtection="0"/>
    <xf numFmtId="0" fontId="34" fillId="14" borderId="0" applyNumberFormat="0" applyBorder="0" applyAlignment="0" applyProtection="0"/>
    <xf numFmtId="0" fontId="34" fillId="15" borderId="0" applyNumberFormat="0" applyBorder="0" applyAlignment="0" applyProtection="0"/>
    <xf numFmtId="0" fontId="34" fillId="16" borderId="0" applyNumberFormat="0" applyBorder="0" applyAlignment="0" applyProtection="0"/>
    <xf numFmtId="0" fontId="34" fillId="17" borderId="0" applyNumberFormat="0" applyBorder="0" applyAlignment="0" applyProtection="0"/>
    <xf numFmtId="0" fontId="34" fillId="18" borderId="0" applyNumberFormat="0" applyBorder="0" applyAlignment="0" applyProtection="0"/>
    <xf numFmtId="0" fontId="34" fillId="13" borderId="0" applyNumberFormat="0" applyBorder="0" applyAlignment="0" applyProtection="0"/>
    <xf numFmtId="0" fontId="34" fillId="14" borderId="0" applyNumberFormat="0" applyBorder="0" applyAlignment="0" applyProtection="0"/>
    <xf numFmtId="0" fontId="34" fillId="19" borderId="0" applyNumberFormat="0" applyBorder="0" applyAlignment="0" applyProtection="0"/>
    <xf numFmtId="0" fontId="7" fillId="0" borderId="0"/>
    <xf numFmtId="0" fontId="7" fillId="0" borderId="0"/>
    <xf numFmtId="0" fontId="10" fillId="0" borderId="0"/>
    <xf numFmtId="0" fontId="6" fillId="0" borderId="0"/>
    <xf numFmtId="0" fontId="10" fillId="0" borderId="0"/>
    <xf numFmtId="0" fontId="33" fillId="2" borderId="0" applyNumberFormat="0" applyBorder="0" applyAlignment="0" applyProtection="0"/>
    <xf numFmtId="0" fontId="33" fillId="3" borderId="0" applyNumberFormat="0" applyBorder="0" applyAlignment="0" applyProtection="0"/>
    <xf numFmtId="0" fontId="33" fillId="4" borderId="0" applyNumberFormat="0" applyBorder="0" applyAlignment="0" applyProtection="0"/>
    <xf numFmtId="0" fontId="33" fillId="5" borderId="0" applyNumberFormat="0" applyBorder="0" applyAlignment="0" applyProtection="0"/>
    <xf numFmtId="0" fontId="33" fillId="6" borderId="0" applyNumberFormat="0" applyBorder="0" applyAlignment="0" applyProtection="0"/>
    <xf numFmtId="0" fontId="33" fillId="7" borderId="0" applyNumberFormat="0" applyBorder="0" applyAlignment="0" applyProtection="0"/>
    <xf numFmtId="0" fontId="33" fillId="8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5" borderId="0" applyNumberFormat="0" applyBorder="0" applyAlignment="0" applyProtection="0"/>
    <xf numFmtId="0" fontId="33" fillId="8" borderId="0" applyNumberFormat="0" applyBorder="0" applyAlignment="0" applyProtection="0"/>
    <xf numFmtId="0" fontId="33" fillId="11" borderId="0" applyNumberFormat="0" applyBorder="0" applyAlignment="0" applyProtection="0"/>
    <xf numFmtId="0" fontId="34" fillId="12" borderId="0" applyNumberFormat="0" applyBorder="0" applyAlignment="0" applyProtection="0"/>
    <xf numFmtId="0" fontId="34" fillId="9" borderId="0" applyNumberFormat="0" applyBorder="0" applyAlignment="0" applyProtection="0"/>
    <xf numFmtId="0" fontId="34" fillId="10" borderId="0" applyNumberFormat="0" applyBorder="0" applyAlignment="0" applyProtection="0"/>
    <xf numFmtId="0" fontId="34" fillId="13" borderId="0" applyNumberFormat="0" applyBorder="0" applyAlignment="0" applyProtection="0"/>
    <xf numFmtId="0" fontId="34" fillId="14" borderId="0" applyNumberFormat="0" applyBorder="0" applyAlignment="0" applyProtection="0"/>
    <xf numFmtId="0" fontId="34" fillId="15" borderId="0" applyNumberFormat="0" applyBorder="0" applyAlignment="0" applyProtection="0"/>
    <xf numFmtId="0" fontId="34" fillId="16" borderId="0" applyNumberFormat="0" applyBorder="0" applyAlignment="0" applyProtection="0"/>
    <xf numFmtId="0" fontId="34" fillId="17" borderId="0" applyNumberFormat="0" applyBorder="0" applyAlignment="0" applyProtection="0"/>
    <xf numFmtId="0" fontId="34" fillId="18" borderId="0" applyNumberFormat="0" applyBorder="0" applyAlignment="0" applyProtection="0"/>
    <xf numFmtId="0" fontId="34" fillId="13" borderId="0" applyNumberFormat="0" applyBorder="0" applyAlignment="0" applyProtection="0"/>
    <xf numFmtId="0" fontId="34" fillId="14" borderId="0" applyNumberFormat="0" applyBorder="0" applyAlignment="0" applyProtection="0"/>
    <xf numFmtId="0" fontId="34" fillId="19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0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986">
    <xf numFmtId="0" fontId="0" fillId="0" borderId="0" xfId="0"/>
    <xf numFmtId="0" fontId="12" fillId="0" borderId="0" xfId="0" applyFont="1"/>
    <xf numFmtId="10" fontId="0" fillId="0" borderId="0" xfId="0" applyNumberFormat="1"/>
    <xf numFmtId="0" fontId="0" fillId="0" borderId="0" xfId="0" applyAlignment="1">
      <alignment horizontal="right"/>
    </xf>
    <xf numFmtId="164" fontId="0" fillId="0" borderId="0" xfId="0" applyNumberFormat="1"/>
    <xf numFmtId="0" fontId="12" fillId="0" borderId="0" xfId="0" applyFont="1" applyAlignment="1">
      <alignment horizontal="center"/>
    </xf>
    <xf numFmtId="0" fontId="21" fillId="0" borderId="0" xfId="0" applyFont="1"/>
    <xf numFmtId="0" fontId="12" fillId="0" borderId="10" xfId="0" applyFont="1" applyBorder="1"/>
    <xf numFmtId="0" fontId="0" fillId="0" borderId="11" xfId="0" applyBorder="1"/>
    <xf numFmtId="0" fontId="0" fillId="0" borderId="12" xfId="0" applyBorder="1"/>
    <xf numFmtId="0" fontId="12" fillId="0" borderId="10" xfId="0" applyFont="1" applyBorder="1" applyAlignment="1">
      <alignment horizontal="left"/>
    </xf>
    <xf numFmtId="0" fontId="23" fillId="0" borderId="7" xfId="0" quotePrefix="1" applyNumberFormat="1" applyFont="1" applyBorder="1"/>
    <xf numFmtId="0" fontId="20" fillId="0" borderId="7" xfId="0" applyFont="1" applyBorder="1"/>
    <xf numFmtId="0" fontId="20" fillId="0" borderId="0" xfId="0" applyFont="1"/>
    <xf numFmtId="0" fontId="0" fillId="0" borderId="7" xfId="0" applyBorder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21" fillId="0" borderId="0" xfId="0" applyFont="1" applyFill="1" applyBorder="1"/>
    <xf numFmtId="0" fontId="0" fillId="0" borderId="0" xfId="0" applyAlignment="1">
      <alignment wrapText="1"/>
    </xf>
    <xf numFmtId="0" fontId="21" fillId="0" borderId="0" xfId="0" applyFont="1" applyFill="1" applyProtection="1">
      <protection locked="0" hidden="1"/>
    </xf>
    <xf numFmtId="0" fontId="20" fillId="0" borderId="7" xfId="0" quotePrefix="1" applyNumberFormat="1" applyFont="1" applyBorder="1"/>
    <xf numFmtId="0" fontId="20" fillId="0" borderId="0" xfId="0" quotePrefix="1" applyNumberFormat="1" applyFont="1" applyBorder="1"/>
    <xf numFmtId="0" fontId="20" fillId="0" borderId="7" xfId="0" applyNumberFormat="1" applyFont="1" applyBorder="1"/>
    <xf numFmtId="15" fontId="0" fillId="0" borderId="0" xfId="0" applyNumberFormat="1"/>
    <xf numFmtId="0" fontId="21" fillId="0" borderId="14" xfId="0" applyFont="1" applyBorder="1" applyAlignment="1">
      <alignment vertical="top" wrapText="1"/>
    </xf>
    <xf numFmtId="0" fontId="21" fillId="0" borderId="15" xfId="0" applyFont="1" applyBorder="1" applyAlignment="1">
      <alignment vertical="top" wrapText="1"/>
    </xf>
    <xf numFmtId="0" fontId="21" fillId="0" borderId="16" xfId="0" applyFont="1" applyBorder="1" applyAlignment="1">
      <alignment vertical="top" wrapText="1"/>
    </xf>
    <xf numFmtId="0" fontId="21" fillId="0" borderId="17" xfId="0" applyFont="1" applyBorder="1" applyAlignment="1">
      <alignment vertical="top" wrapText="1"/>
    </xf>
    <xf numFmtId="0" fontId="21" fillId="0" borderId="12" xfId="0" applyFont="1" applyBorder="1" applyAlignment="1">
      <alignment vertical="top" wrapText="1"/>
    </xf>
    <xf numFmtId="0" fontId="21" fillId="0" borderId="0" xfId="0" applyFont="1" applyAlignment="1">
      <alignment vertical="top" wrapText="1"/>
    </xf>
    <xf numFmtId="0" fontId="21" fillId="0" borderId="18" xfId="0" applyFont="1" applyBorder="1" applyAlignment="1">
      <alignment vertical="top" wrapText="1"/>
    </xf>
    <xf numFmtId="0" fontId="21" fillId="0" borderId="19" xfId="0" applyFont="1" applyBorder="1" applyAlignment="1">
      <alignment vertical="top" wrapText="1"/>
    </xf>
    <xf numFmtId="0" fontId="21" fillId="0" borderId="20" xfId="0" applyFont="1" applyBorder="1" applyAlignment="1">
      <alignment vertical="top" wrapText="1"/>
    </xf>
    <xf numFmtId="0" fontId="21" fillId="0" borderId="21" xfId="0" applyFont="1" applyBorder="1" applyAlignment="1">
      <alignment vertical="top" wrapText="1"/>
    </xf>
    <xf numFmtId="0" fontId="21" fillId="0" borderId="22" xfId="0" applyFont="1" applyBorder="1" applyAlignment="1">
      <alignment vertical="top" wrapText="1"/>
    </xf>
    <xf numFmtId="166" fontId="21" fillId="0" borderId="0" xfId="0" applyNumberFormat="1" applyFont="1" applyAlignment="1">
      <alignment horizontal="left"/>
    </xf>
    <xf numFmtId="0" fontId="21" fillId="0" borderId="0" xfId="0" applyFont="1" applyFill="1" applyProtection="1"/>
    <xf numFmtId="0" fontId="21" fillId="0" borderId="0" xfId="0" applyFont="1" applyFill="1" applyBorder="1" applyProtection="1"/>
    <xf numFmtId="0" fontId="12" fillId="0" borderId="0" xfId="0" applyFont="1" applyFill="1" applyBorder="1" applyProtection="1"/>
    <xf numFmtId="0" fontId="21" fillId="0" borderId="23" xfId="0" applyFont="1" applyBorder="1"/>
    <xf numFmtId="0" fontId="21" fillId="0" borderId="25" xfId="0" applyFont="1" applyBorder="1"/>
    <xf numFmtId="0" fontId="21" fillId="0" borderId="22" xfId="0" applyFont="1" applyBorder="1"/>
    <xf numFmtId="0" fontId="21" fillId="0" borderId="18" xfId="0" applyFont="1" applyBorder="1"/>
    <xf numFmtId="0" fontId="21" fillId="0" borderId="14" xfId="0" applyFont="1" applyBorder="1"/>
    <xf numFmtId="0" fontId="21" fillId="0" borderId="0" xfId="0" applyFont="1" applyBorder="1"/>
    <xf numFmtId="0" fontId="21" fillId="0" borderId="15" xfId="0" applyFont="1" applyBorder="1"/>
    <xf numFmtId="15" fontId="21" fillId="0" borderId="14" xfId="0" applyNumberFormat="1" applyFont="1" applyBorder="1"/>
    <xf numFmtId="0" fontId="21" fillId="0" borderId="16" xfId="0" applyFont="1" applyBorder="1"/>
    <xf numFmtId="0" fontId="21" fillId="0" borderId="17" xfId="0" applyFont="1" applyBorder="1"/>
    <xf numFmtId="0" fontId="21" fillId="0" borderId="26" xfId="0" applyFont="1" applyBorder="1" applyAlignment="1">
      <alignment vertical="top" wrapText="1"/>
    </xf>
    <xf numFmtId="0" fontId="21" fillId="0" borderId="14" xfId="0" applyFont="1" applyBorder="1" applyAlignment="1">
      <alignment horizontal="center" vertical="top" wrapText="1"/>
    </xf>
    <xf numFmtId="0" fontId="26" fillId="0" borderId="0" xfId="0" applyFont="1" applyAlignment="1">
      <alignment vertical="top" wrapText="1"/>
    </xf>
    <xf numFmtId="0" fontId="21" fillId="0" borderId="15" xfId="0" applyFont="1" applyBorder="1" applyAlignment="1">
      <alignment horizontal="left" vertical="top" wrapText="1"/>
    </xf>
    <xf numFmtId="0" fontId="21" fillId="0" borderId="15" xfId="0" applyFont="1" applyBorder="1" applyAlignment="1">
      <alignment horizontal="center" vertical="top" wrapText="1"/>
    </xf>
    <xf numFmtId="0" fontId="21" fillId="0" borderId="0" xfId="0" applyFont="1" applyBorder="1" applyAlignment="1">
      <alignment horizontal="center" vertical="top" wrapText="1"/>
    </xf>
    <xf numFmtId="0" fontId="21" fillId="0" borderId="0" xfId="0" applyFont="1" applyAlignment="1">
      <alignment horizontal="center" vertical="top"/>
    </xf>
    <xf numFmtId="0" fontId="21" fillId="0" borderId="0" xfId="0" applyFont="1" applyAlignment="1">
      <alignment horizontal="center" vertical="top" wrapText="1"/>
    </xf>
    <xf numFmtId="0" fontId="26" fillId="0" borderId="22" xfId="0" applyFont="1" applyBorder="1" applyAlignment="1">
      <alignment vertical="top" wrapText="1"/>
    </xf>
    <xf numFmtId="0" fontId="26" fillId="0" borderId="10" xfId="0" applyFont="1" applyBorder="1" applyAlignment="1">
      <alignment vertical="center" wrapText="1"/>
    </xf>
    <xf numFmtId="0" fontId="26" fillId="0" borderId="11" xfId="0" applyFont="1" applyBorder="1" applyAlignment="1">
      <alignment vertical="center" wrapText="1"/>
    </xf>
    <xf numFmtId="0" fontId="26" fillId="0" borderId="12" xfId="0" applyFont="1" applyBorder="1" applyAlignment="1">
      <alignment vertical="center" wrapText="1"/>
    </xf>
    <xf numFmtId="0" fontId="21" fillId="0" borderId="12" xfId="0" applyFont="1" applyBorder="1" applyAlignment="1">
      <alignment horizontal="center" vertical="center" wrapText="1"/>
    </xf>
    <xf numFmtId="0" fontId="26" fillId="0" borderId="16" xfId="0" applyFont="1" applyBorder="1" applyAlignment="1">
      <alignment vertical="center" wrapText="1"/>
    </xf>
    <xf numFmtId="0" fontId="26" fillId="0" borderId="23" xfId="0" applyFont="1" applyBorder="1" applyAlignment="1">
      <alignment vertical="center" wrapText="1"/>
    </xf>
    <xf numFmtId="0" fontId="26" fillId="0" borderId="17" xfId="0" applyFont="1" applyBorder="1" applyAlignment="1">
      <alignment vertical="center" wrapText="1"/>
    </xf>
    <xf numFmtId="0" fontId="21" fillId="0" borderId="17" xfId="0" applyFont="1" applyBorder="1" applyAlignment="1">
      <alignment horizontal="center" vertical="center" wrapText="1"/>
    </xf>
    <xf numFmtId="0" fontId="26" fillId="0" borderId="14" xfId="0" applyFont="1" applyBorder="1" applyAlignment="1">
      <alignment vertical="center" wrapText="1"/>
    </xf>
    <xf numFmtId="0" fontId="26" fillId="0" borderId="0" xfId="0" applyFont="1" applyAlignment="1">
      <alignment vertical="center" wrapText="1"/>
    </xf>
    <xf numFmtId="0" fontId="26" fillId="0" borderId="15" xfId="0" applyFont="1" applyBorder="1" applyAlignment="1">
      <alignment vertical="center" wrapText="1"/>
    </xf>
    <xf numFmtId="0" fontId="26" fillId="0" borderId="10" xfId="0" applyFont="1" applyBorder="1" applyAlignment="1">
      <alignment vertical="center"/>
    </xf>
    <xf numFmtId="0" fontId="26" fillId="0" borderId="16" xfId="0" applyFont="1" applyBorder="1" applyAlignment="1">
      <alignment vertical="center"/>
    </xf>
    <xf numFmtId="0" fontId="26" fillId="0" borderId="11" xfId="0" applyFont="1" applyBorder="1" applyAlignment="1">
      <alignment vertical="center"/>
    </xf>
    <xf numFmtId="0" fontId="26" fillId="0" borderId="12" xfId="0" applyFont="1" applyBorder="1" applyAlignment="1">
      <alignment vertical="center"/>
    </xf>
    <xf numFmtId="0" fontId="26" fillId="0" borderId="23" xfId="0" applyFont="1" applyBorder="1" applyAlignment="1">
      <alignment vertical="center"/>
    </xf>
    <xf numFmtId="0" fontId="26" fillId="0" borderId="17" xfId="0" applyFont="1" applyBorder="1" applyAlignment="1">
      <alignment vertical="center"/>
    </xf>
    <xf numFmtId="0" fontId="27" fillId="0" borderId="12" xfId="0" applyFont="1" applyBorder="1" applyAlignment="1">
      <alignment vertical="center"/>
    </xf>
    <xf numFmtId="0" fontId="21" fillId="0" borderId="12" xfId="0" applyFont="1" applyBorder="1" applyAlignment="1">
      <alignment horizontal="center" vertical="center"/>
    </xf>
    <xf numFmtId="0" fontId="27" fillId="0" borderId="17" xfId="0" applyFont="1" applyBorder="1" applyAlignment="1">
      <alignment vertical="center"/>
    </xf>
    <xf numFmtId="0" fontId="21" fillId="0" borderId="17" xfId="0" applyFont="1" applyBorder="1" applyAlignment="1">
      <alignment horizontal="center" vertical="center"/>
    </xf>
    <xf numFmtId="0" fontId="21" fillId="0" borderId="30" xfId="0" applyFont="1" applyBorder="1" applyAlignment="1">
      <alignment vertical="top" wrapText="1"/>
    </xf>
    <xf numFmtId="0" fontId="21" fillId="0" borderId="31" xfId="0" applyFont="1" applyBorder="1" applyAlignment="1">
      <alignment vertical="top" wrapText="1"/>
    </xf>
    <xf numFmtId="0" fontId="21" fillId="0" borderId="23" xfId="0" applyFont="1" applyBorder="1" applyAlignment="1">
      <alignment horizontal="center" vertical="center" wrapText="1"/>
    </xf>
    <xf numFmtId="0" fontId="26" fillId="0" borderId="22" xfId="0" applyFont="1" applyBorder="1" applyAlignment="1">
      <alignment vertical="center" wrapText="1"/>
    </xf>
    <xf numFmtId="0" fontId="21" fillId="0" borderId="22" xfId="0" applyFont="1" applyBorder="1" applyAlignment="1">
      <alignment horizontal="center" vertical="center" wrapText="1"/>
    </xf>
    <xf numFmtId="0" fontId="21" fillId="0" borderId="24" xfId="0" applyFont="1" applyBorder="1" applyAlignment="1">
      <alignment horizontal="center" vertical="center" wrapText="1"/>
    </xf>
    <xf numFmtId="0" fontId="18" fillId="25" borderId="7" xfId="0" applyFont="1" applyFill="1" applyBorder="1" applyAlignment="1">
      <alignment wrapText="1"/>
    </xf>
    <xf numFmtId="0" fontId="18" fillId="25" borderId="32" xfId="0" applyFont="1" applyFill="1" applyBorder="1"/>
    <xf numFmtId="0" fontId="18" fillId="25" borderId="33" xfId="0" applyFont="1" applyFill="1" applyBorder="1"/>
    <xf numFmtId="0" fontId="18" fillId="25" borderId="34" xfId="0" applyFont="1" applyFill="1" applyBorder="1"/>
    <xf numFmtId="0" fontId="23" fillId="25" borderId="7" xfId="0" quotePrefix="1" applyNumberFormat="1" applyFont="1" applyFill="1" applyBorder="1"/>
    <xf numFmtId="0" fontId="23" fillId="25" borderId="35" xfId="0" quotePrefix="1" applyNumberFormat="1" applyFont="1" applyFill="1" applyBorder="1"/>
    <xf numFmtId="0" fontId="0" fillId="25" borderId="7" xfId="0" applyFill="1" applyBorder="1"/>
    <xf numFmtId="0" fontId="20" fillId="25" borderId="7" xfId="0" applyFont="1" applyFill="1" applyBorder="1"/>
    <xf numFmtId="16" fontId="20" fillId="25" borderId="7" xfId="0" applyNumberFormat="1" applyFont="1" applyFill="1" applyBorder="1" applyAlignment="1">
      <alignment horizontal="center" vertical="center" wrapText="1"/>
    </xf>
    <xf numFmtId="0" fontId="21" fillId="25" borderId="0" xfId="0" applyFont="1" applyFill="1" applyProtection="1"/>
    <xf numFmtId="0" fontId="21" fillId="25" borderId="0" xfId="0" applyFont="1" applyFill="1"/>
    <xf numFmtId="0" fontId="21" fillId="25" borderId="0" xfId="0" applyFont="1" applyFill="1" applyBorder="1" applyAlignment="1">
      <alignment horizontal="left"/>
    </xf>
    <xf numFmtId="15" fontId="12" fillId="25" borderId="0" xfId="0" applyNumberFormat="1" applyFont="1" applyFill="1" applyBorder="1" applyAlignment="1">
      <alignment horizontal="left"/>
    </xf>
    <xf numFmtId="0" fontId="21" fillId="25" borderId="0" xfId="0" applyFont="1" applyFill="1" applyBorder="1" applyAlignment="1"/>
    <xf numFmtId="15" fontId="12" fillId="25" borderId="0" xfId="0" applyNumberFormat="1" applyFont="1" applyFill="1" applyBorder="1" applyAlignment="1" applyProtection="1">
      <alignment horizontal="left"/>
      <protection locked="0"/>
    </xf>
    <xf numFmtId="0" fontId="12" fillId="25" borderId="0" xfId="0" applyFont="1" applyFill="1" applyBorder="1" applyAlignment="1" applyProtection="1">
      <alignment horizontal="left"/>
      <protection locked="0"/>
    </xf>
    <xf numFmtId="0" fontId="12" fillId="25" borderId="0" xfId="0" applyFont="1" applyFill="1" applyBorder="1" applyAlignment="1">
      <alignment horizontal="left"/>
    </xf>
    <xf numFmtId="0" fontId="21" fillId="25" borderId="0" xfId="0" applyFont="1" applyFill="1" applyBorder="1" applyProtection="1"/>
    <xf numFmtId="1" fontId="12" fillId="25" borderId="0" xfId="0" applyNumberFormat="1" applyFont="1" applyFill="1" applyBorder="1" applyAlignment="1">
      <alignment horizontal="left"/>
    </xf>
    <xf numFmtId="0" fontId="17" fillId="0" borderId="0" xfId="0" applyFont="1" applyFill="1" applyBorder="1" applyProtection="1"/>
    <xf numFmtId="0" fontId="17" fillId="24" borderId="0" xfId="0" applyFont="1" applyFill="1" applyBorder="1" applyProtection="1"/>
    <xf numFmtId="0" fontId="21" fillId="25" borderId="0" xfId="0" applyFont="1" applyFill="1" applyBorder="1"/>
    <xf numFmtId="166" fontId="21" fillId="25" borderId="0" xfId="0" applyNumberFormat="1" applyFont="1" applyFill="1" applyBorder="1" applyAlignment="1" applyProtection="1">
      <alignment horizontal="left"/>
    </xf>
    <xf numFmtId="0" fontId="21" fillId="0" borderId="0" xfId="0" applyFont="1" applyFill="1" applyBorder="1" applyAlignment="1" applyProtection="1">
      <alignment horizontal="center" vertical="center"/>
    </xf>
    <xf numFmtId="0" fontId="17" fillId="25" borderId="0" xfId="0" applyFont="1" applyFill="1" applyBorder="1" applyAlignment="1" applyProtection="1">
      <alignment horizontal="center"/>
    </xf>
    <xf numFmtId="0" fontId="31" fillId="25" borderId="0" xfId="0" applyFont="1" applyFill="1" applyBorder="1" applyProtection="1"/>
    <xf numFmtId="0" fontId="17" fillId="0" borderId="0" xfId="0" applyFont="1" applyFill="1" applyBorder="1" applyAlignment="1" applyProtection="1">
      <alignment horizontal="center"/>
    </xf>
    <xf numFmtId="0" fontId="13" fillId="25" borderId="0" xfId="0" applyFont="1" applyFill="1" applyBorder="1" applyProtection="1"/>
    <xf numFmtId="0" fontId="29" fillId="25" borderId="0" xfId="0" applyFont="1" applyFill="1" applyBorder="1" applyProtection="1"/>
    <xf numFmtId="0" fontId="17" fillId="24" borderId="36" xfId="0" applyFont="1" applyFill="1" applyBorder="1" applyProtection="1"/>
    <xf numFmtId="0" fontId="12" fillId="0" borderId="36" xfId="0" applyFont="1" applyFill="1" applyBorder="1" applyProtection="1"/>
    <xf numFmtId="0" fontId="21" fillId="0" borderId="36" xfId="0" applyFont="1" applyFill="1" applyBorder="1" applyProtection="1"/>
    <xf numFmtId="0" fontId="17" fillId="24" borderId="37" xfId="0" applyFont="1" applyFill="1" applyBorder="1" applyProtection="1"/>
    <xf numFmtId="0" fontId="12" fillId="0" borderId="37" xfId="0" applyFont="1" applyFill="1" applyBorder="1" applyProtection="1"/>
    <xf numFmtId="0" fontId="21" fillId="0" borderId="37" xfId="0" applyFont="1" applyFill="1" applyBorder="1" applyProtection="1"/>
    <xf numFmtId="0" fontId="13" fillId="0" borderId="0" xfId="0" applyFont="1" applyFill="1" applyProtection="1"/>
    <xf numFmtId="168" fontId="0" fillId="0" borderId="0" xfId="0" applyNumberFormat="1"/>
    <xf numFmtId="167" fontId="0" fillId="0" borderId="0" xfId="0" applyNumberFormat="1"/>
    <xf numFmtId="165" fontId="21" fillId="25" borderId="0" xfId="0" applyNumberFormat="1" applyFont="1" applyFill="1" applyBorder="1" applyAlignment="1" applyProtection="1">
      <alignment horizontal="left"/>
    </xf>
    <xf numFmtId="0" fontId="25" fillId="0" borderId="33" xfId="0" applyFont="1" applyBorder="1" applyAlignment="1">
      <alignment vertical="top" wrapText="1"/>
    </xf>
    <xf numFmtId="0" fontId="20" fillId="0" borderId="33" xfId="0" applyFont="1" applyBorder="1" applyAlignment="1">
      <alignment horizontal="right" vertical="top" wrapText="1"/>
    </xf>
    <xf numFmtId="0" fontId="20" fillId="0" borderId="33" xfId="0" applyFont="1" applyBorder="1" applyAlignment="1">
      <alignment vertical="top" wrapText="1"/>
    </xf>
    <xf numFmtId="14" fontId="0" fillId="0" borderId="0" xfId="0" applyNumberFormat="1"/>
    <xf numFmtId="49" fontId="0" fillId="0" borderId="0" xfId="0" quotePrefix="1" applyNumberFormat="1"/>
    <xf numFmtId="49" fontId="0" fillId="0" borderId="0" xfId="0" applyNumberFormat="1"/>
    <xf numFmtId="0" fontId="50" fillId="0" borderId="36" xfId="0" applyFont="1" applyFill="1" applyBorder="1" applyProtection="1"/>
    <xf numFmtId="0" fontId="50" fillId="0" borderId="0" xfId="0" applyFont="1" applyFill="1" applyBorder="1" applyProtection="1"/>
    <xf numFmtId="0" fontId="50" fillId="0" borderId="37" xfId="0" applyFont="1" applyFill="1" applyBorder="1" applyProtection="1"/>
    <xf numFmtId="0" fontId="50" fillId="0" borderId="0" xfId="0" applyFont="1" applyFill="1" applyProtection="1"/>
    <xf numFmtId="0" fontId="10" fillId="0" borderId="0" xfId="0" applyFont="1"/>
    <xf numFmtId="0" fontId="21" fillId="26" borderId="0" xfId="0" applyFont="1" applyFill="1" applyProtection="1"/>
    <xf numFmtId="0" fontId="11" fillId="26" borderId="0" xfId="0" applyFont="1" applyFill="1" applyProtection="1"/>
    <xf numFmtId="0" fontId="21" fillId="26" borderId="0" xfId="0" applyFont="1" applyFill="1" applyBorder="1" applyAlignment="1">
      <alignment horizontal="left"/>
    </xf>
    <xf numFmtId="15" fontId="12" fillId="26" borderId="0" xfId="0" applyNumberFormat="1" applyFont="1" applyFill="1" applyBorder="1" applyAlignment="1">
      <alignment horizontal="left"/>
    </xf>
    <xf numFmtId="0" fontId="21" fillId="26" borderId="0" xfId="0" applyFont="1" applyFill="1" applyBorder="1" applyAlignment="1"/>
    <xf numFmtId="15" fontId="12" fillId="26" borderId="0" xfId="0" applyNumberFormat="1" applyFont="1" applyFill="1" applyBorder="1" applyAlignment="1" applyProtection="1">
      <alignment horizontal="left"/>
      <protection locked="0"/>
    </xf>
    <xf numFmtId="0" fontId="21" fillId="26" borderId="0" xfId="0" applyFont="1" applyFill="1"/>
    <xf numFmtId="0" fontId="12" fillId="26" borderId="0" xfId="0" applyFont="1" applyFill="1" applyBorder="1" applyAlignment="1" applyProtection="1">
      <alignment horizontal="left"/>
      <protection locked="0"/>
    </xf>
    <xf numFmtId="0" fontId="12" fillId="26" borderId="0" xfId="0" applyFont="1" applyFill="1" applyBorder="1" applyAlignment="1">
      <alignment horizontal="left"/>
    </xf>
    <xf numFmtId="0" fontId="21" fillId="26" borderId="0" xfId="0" applyFont="1" applyFill="1" applyBorder="1" applyProtection="1"/>
    <xf numFmtId="1" fontId="12" fillId="26" borderId="0" xfId="0" applyNumberFormat="1" applyFont="1" applyFill="1" applyBorder="1" applyAlignment="1">
      <alignment horizontal="left"/>
    </xf>
    <xf numFmtId="0" fontId="16" fillId="26" borderId="0" xfId="0" applyFont="1" applyFill="1" applyProtection="1"/>
    <xf numFmtId="0" fontId="10" fillId="0" borderId="0" xfId="0" applyFont="1" applyFill="1" applyBorder="1"/>
    <xf numFmtId="0" fontId="10" fillId="0" borderId="0" xfId="0" applyFont="1" applyAlignment="1">
      <alignment wrapText="1"/>
    </xf>
    <xf numFmtId="0" fontId="10" fillId="0" borderId="0" xfId="0" applyFont="1" applyFill="1" applyProtection="1">
      <protection locked="0" hidden="1"/>
    </xf>
    <xf numFmtId="169" fontId="0" fillId="0" borderId="0" xfId="0" applyNumberFormat="1"/>
    <xf numFmtId="0" fontId="10" fillId="26" borderId="0" xfId="0" applyFont="1" applyFill="1" applyBorder="1" applyAlignment="1">
      <alignment horizontal="left"/>
    </xf>
    <xf numFmtId="0" fontId="10" fillId="25" borderId="0" xfId="0" applyFont="1" applyFill="1" applyBorder="1" applyAlignment="1">
      <alignment horizontal="left"/>
    </xf>
    <xf numFmtId="0" fontId="10" fillId="0" borderId="0" xfId="42"/>
    <xf numFmtId="49" fontId="10" fillId="0" borderId="0" xfId="42" applyNumberFormat="1"/>
    <xf numFmtId="20" fontId="10" fillId="0" borderId="0" xfId="42" applyNumberFormat="1"/>
    <xf numFmtId="0" fontId="54" fillId="0" borderId="0" xfId="42" applyFont="1"/>
    <xf numFmtId="0" fontId="10" fillId="0" borderId="0" xfId="42" applyAlignment="1"/>
    <xf numFmtId="0" fontId="12" fillId="0" borderId="0" xfId="42" applyFont="1" applyAlignment="1">
      <alignment horizontal="left"/>
    </xf>
    <xf numFmtId="0" fontId="12" fillId="0" borderId="0" xfId="42" applyFont="1"/>
    <xf numFmtId="0" fontId="55" fillId="0" borderId="0" xfId="42" applyFont="1" applyBorder="1"/>
    <xf numFmtId="0" fontId="10" fillId="0" borderId="0" xfId="42" applyBorder="1"/>
    <xf numFmtId="0" fontId="55" fillId="0" borderId="23" xfId="42" applyFont="1" applyBorder="1"/>
    <xf numFmtId="0" fontId="10" fillId="0" borderId="23" xfId="42" applyBorder="1"/>
    <xf numFmtId="15" fontId="10" fillId="0" borderId="23" xfId="42" applyNumberFormat="1" applyBorder="1" applyAlignment="1">
      <alignment horizontal="left"/>
    </xf>
    <xf numFmtId="0" fontId="10" fillId="0" borderId="14" xfId="42" applyBorder="1"/>
    <xf numFmtId="0" fontId="10" fillId="0" borderId="15" xfId="42" applyBorder="1"/>
    <xf numFmtId="0" fontId="54" fillId="0" borderId="0" xfId="42" applyFont="1" applyBorder="1"/>
    <xf numFmtId="0" fontId="12" fillId="0" borderId="0" xfId="42" applyFont="1" applyBorder="1"/>
    <xf numFmtId="0" fontId="10" fillId="0" borderId="0" xfId="42" applyFont="1"/>
    <xf numFmtId="0" fontId="10" fillId="0" borderId="0" xfId="42" applyAlignment="1">
      <alignment horizontal="right"/>
    </xf>
    <xf numFmtId="0" fontId="10" fillId="0" borderId="0" xfId="42" applyBorder="1" applyAlignment="1">
      <alignment horizontal="center"/>
    </xf>
    <xf numFmtId="0" fontId="10" fillId="0" borderId="23" xfId="42" applyFont="1" applyBorder="1"/>
    <xf numFmtId="0" fontId="10" fillId="0" borderId="44" xfId="42" applyBorder="1"/>
    <xf numFmtId="0" fontId="10" fillId="0" borderId="45" xfId="42" applyBorder="1"/>
    <xf numFmtId="0" fontId="10" fillId="0" borderId="0" xfId="42" applyAlignment="1">
      <alignment horizontal="left"/>
    </xf>
    <xf numFmtId="0" fontId="10" fillId="0" borderId="46" xfId="42" applyFont="1" applyBorder="1"/>
    <xf numFmtId="0" fontId="12" fillId="0" borderId="46" xfId="42" applyFont="1" applyBorder="1"/>
    <xf numFmtId="0" fontId="10" fillId="0" borderId="47" xfId="42" applyFont="1" applyBorder="1"/>
    <xf numFmtId="0" fontId="10" fillId="0" borderId="46" xfId="42" applyFont="1" applyBorder="1" applyAlignment="1">
      <alignment horizontal="center"/>
    </xf>
    <xf numFmtId="0" fontId="10" fillId="0" borderId="47" xfId="42" applyBorder="1"/>
    <xf numFmtId="0" fontId="10" fillId="0" borderId="48" xfId="42" applyFont="1" applyBorder="1"/>
    <xf numFmtId="0" fontId="12" fillId="0" borderId="48" xfId="42" applyFont="1" applyBorder="1"/>
    <xf numFmtId="0" fontId="12" fillId="0" borderId="48" xfId="42" applyFont="1" applyBorder="1" applyAlignment="1">
      <alignment horizontal="right"/>
    </xf>
    <xf numFmtId="0" fontId="10" fillId="0" borderId="48" xfId="42" applyFont="1" applyBorder="1" applyAlignment="1">
      <alignment horizontal="center"/>
    </xf>
    <xf numFmtId="0" fontId="10" fillId="0" borderId="48" xfId="42" applyFont="1" applyBorder="1" applyAlignment="1">
      <alignment horizontal="right"/>
    </xf>
    <xf numFmtId="0" fontId="32" fillId="0" borderId="48" xfId="42" applyFont="1" applyBorder="1" applyAlignment="1">
      <alignment horizontal="left"/>
    </xf>
    <xf numFmtId="0" fontId="10" fillId="0" borderId="49" xfId="42" applyFont="1" applyBorder="1"/>
    <xf numFmtId="0" fontId="10" fillId="0" borderId="49" xfId="42" applyBorder="1"/>
    <xf numFmtId="0" fontId="10" fillId="0" borderId="50" xfId="42" applyBorder="1"/>
    <xf numFmtId="0" fontId="10" fillId="0" borderId="51" xfId="42" applyBorder="1"/>
    <xf numFmtId="0" fontId="10" fillId="0" borderId="34" xfId="42" applyBorder="1"/>
    <xf numFmtId="0" fontId="10" fillId="0" borderId="32" xfId="42" applyBorder="1"/>
    <xf numFmtId="0" fontId="10" fillId="0" borderId="52" xfId="42" applyBorder="1"/>
    <xf numFmtId="0" fontId="10" fillId="0" borderId="33" xfId="42" applyBorder="1"/>
    <xf numFmtId="0" fontId="12" fillId="0" borderId="32" xfId="42" applyFont="1" applyBorder="1"/>
    <xf numFmtId="0" fontId="10" fillId="0" borderId="33" xfId="42" applyFont="1" applyBorder="1"/>
    <xf numFmtId="0" fontId="10" fillId="0" borderId="34" xfId="42" applyFont="1" applyBorder="1"/>
    <xf numFmtId="0" fontId="10" fillId="0" borderId="53" xfId="42" applyBorder="1"/>
    <xf numFmtId="0" fontId="10" fillId="0" borderId="54" xfId="42" applyBorder="1"/>
    <xf numFmtId="0" fontId="10" fillId="0" borderId="55" xfId="42" applyBorder="1"/>
    <xf numFmtId="0" fontId="10" fillId="0" borderId="56" xfId="42" applyBorder="1"/>
    <xf numFmtId="0" fontId="20" fillId="0" borderId="0" xfId="42" applyFont="1"/>
    <xf numFmtId="0" fontId="10" fillId="0" borderId="0" xfId="42" applyFill="1"/>
    <xf numFmtId="0" fontId="10" fillId="0" borderId="0" xfId="42" applyFill="1" applyAlignment="1">
      <alignment horizontal="left"/>
    </xf>
    <xf numFmtId="0" fontId="12" fillId="0" borderId="0" xfId="42" applyFont="1" applyFill="1"/>
    <xf numFmtId="20" fontId="10" fillId="0" borderId="0" xfId="42" applyNumberFormat="1" applyFill="1" applyAlignment="1"/>
    <xf numFmtId="0" fontId="10" fillId="0" borderId="23" xfId="42" applyFill="1" applyBorder="1"/>
    <xf numFmtId="0" fontId="10" fillId="0" borderId="32" xfId="42" applyFill="1" applyBorder="1"/>
    <xf numFmtId="0" fontId="10" fillId="0" borderId="34" xfId="42" applyFill="1" applyBorder="1"/>
    <xf numFmtId="0" fontId="10" fillId="0" borderId="51" xfId="42" applyFill="1" applyBorder="1"/>
    <xf numFmtId="0" fontId="12" fillId="0" borderId="51" xfId="42" applyFont="1" applyFill="1" applyBorder="1"/>
    <xf numFmtId="0" fontId="10" fillId="0" borderId="0" xfId="42" applyFill="1" applyBorder="1"/>
    <xf numFmtId="0" fontId="10" fillId="0" borderId="59" xfId="42" applyFill="1" applyBorder="1"/>
    <xf numFmtId="0" fontId="12" fillId="0" borderId="32" xfId="42" applyFont="1" applyFill="1" applyBorder="1"/>
    <xf numFmtId="0" fontId="10" fillId="0" borderId="33" xfId="42" applyFill="1" applyBorder="1"/>
    <xf numFmtId="170" fontId="56" fillId="0" borderId="7" xfId="42" applyNumberFormat="1" applyFont="1" applyFill="1" applyBorder="1" applyAlignment="1">
      <alignment horizontal="right"/>
    </xf>
    <xf numFmtId="170" fontId="56" fillId="0" borderId="33" xfId="42" applyNumberFormat="1" applyFont="1" applyFill="1" applyBorder="1" applyAlignment="1">
      <alignment horizontal="right"/>
    </xf>
    <xf numFmtId="0" fontId="12" fillId="0" borderId="60" xfId="42" applyFont="1" applyFill="1" applyBorder="1"/>
    <xf numFmtId="0" fontId="10" fillId="0" borderId="57" xfId="42" applyFill="1" applyBorder="1"/>
    <xf numFmtId="0" fontId="10" fillId="0" borderId="40" xfId="42" applyFill="1" applyBorder="1"/>
    <xf numFmtId="0" fontId="10" fillId="0" borderId="58" xfId="42" applyFill="1" applyBorder="1"/>
    <xf numFmtId="1" fontId="56" fillId="0" borderId="35" xfId="42" applyNumberFormat="1" applyFont="1" applyFill="1" applyBorder="1" applyAlignment="1">
      <alignment horizontal="right"/>
    </xf>
    <xf numFmtId="170" fontId="56" fillId="0" borderId="35" xfId="42" applyNumberFormat="1" applyFont="1" applyFill="1" applyBorder="1" applyAlignment="1">
      <alignment horizontal="right"/>
    </xf>
    <xf numFmtId="0" fontId="10" fillId="0" borderId="60" xfId="42" applyFill="1" applyBorder="1"/>
    <xf numFmtId="1" fontId="56" fillId="0" borderId="7" xfId="42" applyNumberFormat="1" applyFont="1" applyFill="1" applyBorder="1" applyAlignment="1">
      <alignment horizontal="right"/>
    </xf>
    <xf numFmtId="0" fontId="12" fillId="0" borderId="33" xfId="42" applyFont="1" applyFill="1" applyBorder="1"/>
    <xf numFmtId="0" fontId="12" fillId="0" borderId="0" xfId="42" applyFont="1" applyFill="1" applyBorder="1"/>
    <xf numFmtId="1" fontId="56" fillId="0" borderId="0" xfId="42" applyNumberFormat="1" applyFont="1" applyFill="1" applyBorder="1" applyAlignment="1">
      <alignment horizontal="right"/>
    </xf>
    <xf numFmtId="170" fontId="56" fillId="0" borderId="0" xfId="42" applyNumberFormat="1" applyFont="1" applyFill="1" applyBorder="1" applyAlignment="1">
      <alignment horizontal="right"/>
    </xf>
    <xf numFmtId="1" fontId="57" fillId="0" borderId="0" xfId="42" applyNumberFormat="1" applyFont="1" applyFill="1" applyBorder="1" applyAlignment="1">
      <alignment horizontal="right"/>
    </xf>
    <xf numFmtId="170" fontId="57" fillId="0" borderId="0" xfId="42" applyNumberFormat="1" applyFont="1" applyFill="1" applyBorder="1" applyAlignment="1">
      <alignment horizontal="right"/>
    </xf>
    <xf numFmtId="0" fontId="12" fillId="0" borderId="7" xfId="42" applyFont="1" applyFill="1" applyBorder="1"/>
    <xf numFmtId="0" fontId="10" fillId="0" borderId="7" xfId="42" applyFill="1" applyBorder="1"/>
    <xf numFmtId="0" fontId="12" fillId="0" borderId="7" xfId="42" applyFont="1" applyFill="1" applyBorder="1" applyAlignment="1">
      <alignment horizontal="left"/>
    </xf>
    <xf numFmtId="1" fontId="57" fillId="0" borderId="51" xfId="42" applyNumberFormat="1" applyFont="1" applyFill="1" applyBorder="1" applyAlignment="1">
      <alignment horizontal="right"/>
    </xf>
    <xf numFmtId="170" fontId="57" fillId="0" borderId="51" xfId="42" applyNumberFormat="1" applyFont="1" applyFill="1" applyBorder="1" applyAlignment="1">
      <alignment horizontal="right"/>
    </xf>
    <xf numFmtId="0" fontId="10" fillId="0" borderId="50" xfId="42" applyFill="1" applyBorder="1"/>
    <xf numFmtId="0" fontId="10" fillId="0" borderId="51" xfId="42" applyFill="1" applyBorder="1" applyAlignment="1">
      <alignment horizontal="right"/>
    </xf>
    <xf numFmtId="1" fontId="56" fillId="0" borderId="61" xfId="42" applyNumberFormat="1" applyFont="1" applyFill="1" applyBorder="1" applyAlignment="1">
      <alignment horizontal="right"/>
    </xf>
    <xf numFmtId="170" fontId="56" fillId="0" borderId="61" xfId="42" applyNumberFormat="1" applyFont="1" applyFill="1" applyBorder="1" applyAlignment="1">
      <alignment horizontal="right"/>
    </xf>
    <xf numFmtId="0" fontId="10" fillId="0" borderId="0" xfId="42" applyFill="1" applyBorder="1" applyAlignment="1">
      <alignment horizontal="right"/>
    </xf>
    <xf numFmtId="1" fontId="56" fillId="0" borderId="62" xfId="42" applyNumberFormat="1" applyFont="1" applyFill="1" applyBorder="1" applyAlignment="1">
      <alignment horizontal="right"/>
    </xf>
    <xf numFmtId="170" fontId="56" fillId="0" borderId="62" xfId="42" applyNumberFormat="1" applyFont="1" applyFill="1" applyBorder="1" applyAlignment="1">
      <alignment horizontal="right"/>
    </xf>
    <xf numFmtId="0" fontId="10" fillId="0" borderId="40" xfId="42" applyFill="1" applyBorder="1" applyAlignment="1">
      <alignment horizontal="right"/>
    </xf>
    <xf numFmtId="0" fontId="12" fillId="0" borderId="40" xfId="42" applyFont="1" applyFill="1" applyBorder="1"/>
    <xf numFmtId="0" fontId="58" fillId="0" borderId="0" xfId="42" applyFont="1" applyFill="1" applyBorder="1" applyAlignment="1">
      <alignment horizontal="right"/>
    </xf>
    <xf numFmtId="0" fontId="58" fillId="0" borderId="33" xfId="42" applyFont="1" applyFill="1" applyBorder="1" applyAlignment="1">
      <alignment horizontal="right"/>
    </xf>
    <xf numFmtId="0" fontId="54" fillId="0" borderId="32" xfId="42" applyFont="1" applyFill="1" applyBorder="1"/>
    <xf numFmtId="0" fontId="10" fillId="0" borderId="33" xfId="42" applyFill="1" applyBorder="1" applyAlignment="1">
      <alignment horizontal="right"/>
    </xf>
    <xf numFmtId="0" fontId="58" fillId="0" borderId="7" xfId="42" applyFont="1" applyFill="1" applyBorder="1" applyAlignment="1">
      <alignment horizontal="right"/>
    </xf>
    <xf numFmtId="0" fontId="10" fillId="0" borderId="0" xfId="42" applyFill="1" applyAlignment="1">
      <alignment horizontal="right"/>
    </xf>
    <xf numFmtId="0" fontId="59" fillId="0" borderId="0" xfId="42" applyFont="1"/>
    <xf numFmtId="0" fontId="12" fillId="25" borderId="7" xfId="42" applyFont="1" applyFill="1" applyBorder="1"/>
    <xf numFmtId="0" fontId="10" fillId="25" borderId="50" xfId="42" applyFill="1" applyBorder="1"/>
    <xf numFmtId="0" fontId="10" fillId="25" borderId="51" xfId="42" applyFill="1" applyBorder="1"/>
    <xf numFmtId="0" fontId="12" fillId="25" borderId="51" xfId="42" applyFont="1" applyFill="1" applyBorder="1"/>
    <xf numFmtId="0" fontId="10" fillId="25" borderId="51" xfId="42" applyFill="1" applyBorder="1" applyAlignment="1">
      <alignment horizontal="right"/>
    </xf>
    <xf numFmtId="1" fontId="60" fillId="25" borderId="61" xfId="42" applyNumberFormat="1" applyFont="1" applyFill="1" applyBorder="1" applyAlignment="1">
      <alignment horizontal="right"/>
    </xf>
    <xf numFmtId="170" fontId="60" fillId="25" borderId="61" xfId="42" applyNumberFormat="1" applyFont="1" applyFill="1" applyBorder="1" applyAlignment="1">
      <alignment horizontal="right"/>
    </xf>
    <xf numFmtId="0" fontId="10" fillId="25" borderId="60" xfId="42" applyFill="1" applyBorder="1"/>
    <xf numFmtId="0" fontId="10" fillId="25" borderId="0" xfId="42" applyFill="1" applyBorder="1"/>
    <xf numFmtId="0" fontId="10" fillId="25" borderId="0" xfId="42" applyFill="1" applyBorder="1" applyAlignment="1">
      <alignment horizontal="right"/>
    </xf>
    <xf numFmtId="0" fontId="12" fillId="25" borderId="0" xfId="42" applyFont="1" applyFill="1" applyBorder="1"/>
    <xf numFmtId="1" fontId="60" fillId="25" borderId="62" xfId="42" applyNumberFormat="1" applyFont="1" applyFill="1" applyBorder="1" applyAlignment="1">
      <alignment horizontal="right"/>
    </xf>
    <xf numFmtId="170" fontId="60" fillId="25" borderId="62" xfId="42" applyNumberFormat="1" applyFont="1" applyFill="1" applyBorder="1" applyAlignment="1">
      <alignment horizontal="right"/>
    </xf>
    <xf numFmtId="0" fontId="29" fillId="25" borderId="57" xfId="42" applyFont="1" applyFill="1" applyBorder="1"/>
    <xf numFmtId="0" fontId="29" fillId="25" borderId="40" xfId="42" applyFont="1" applyFill="1" applyBorder="1"/>
    <xf numFmtId="0" fontId="61" fillId="25" borderId="40" xfId="42" applyFont="1" applyFill="1" applyBorder="1"/>
    <xf numFmtId="0" fontId="10" fillId="25" borderId="40" xfId="42" applyFill="1" applyBorder="1"/>
    <xf numFmtId="0" fontId="10" fillId="25" borderId="40" xfId="42" applyFont="1" applyFill="1" applyBorder="1"/>
    <xf numFmtId="1" fontId="60" fillId="25" borderId="7" xfId="42" applyNumberFormat="1" applyFont="1" applyFill="1" applyBorder="1" applyAlignment="1">
      <alignment horizontal="right"/>
    </xf>
    <xf numFmtId="170" fontId="60" fillId="25" borderId="7" xfId="42" applyNumberFormat="1" applyFont="1" applyFill="1" applyBorder="1" applyAlignment="1">
      <alignment horizontal="right"/>
    </xf>
    <xf numFmtId="0" fontId="61" fillId="0" borderId="51" xfId="42" applyFont="1" applyFill="1" applyBorder="1"/>
    <xf numFmtId="1" fontId="60" fillId="0" borderId="33" xfId="42" applyNumberFormat="1" applyFont="1" applyFill="1" applyBorder="1" applyAlignment="1">
      <alignment horizontal="right"/>
    </xf>
    <xf numFmtId="170" fontId="60" fillId="0" borderId="33" xfId="42" applyNumberFormat="1" applyFont="1" applyFill="1" applyBorder="1" applyAlignment="1">
      <alignment horizontal="right"/>
    </xf>
    <xf numFmtId="0" fontId="12" fillId="0" borderId="7" xfId="42" applyFont="1" applyBorder="1"/>
    <xf numFmtId="0" fontId="12" fillId="0" borderId="51" xfId="42" applyFont="1" applyBorder="1"/>
    <xf numFmtId="0" fontId="10" fillId="0" borderId="51" xfId="42" applyBorder="1" applyAlignment="1">
      <alignment horizontal="right"/>
    </xf>
    <xf numFmtId="1" fontId="60" fillId="0" borderId="62" xfId="42" applyNumberFormat="1" applyFont="1" applyBorder="1" applyAlignment="1">
      <alignment horizontal="right"/>
    </xf>
    <xf numFmtId="170" fontId="60" fillId="0" borderId="62" xfId="42" applyNumberFormat="1" applyFont="1" applyBorder="1" applyAlignment="1">
      <alignment horizontal="right"/>
    </xf>
    <xf numFmtId="0" fontId="10" fillId="0" borderId="60" xfId="42" applyBorder="1"/>
    <xf numFmtId="0" fontId="10" fillId="0" borderId="0" xfId="42" applyBorder="1" applyAlignment="1">
      <alignment horizontal="right"/>
    </xf>
    <xf numFmtId="0" fontId="29" fillId="0" borderId="57" xfId="42" applyFont="1" applyBorder="1"/>
    <xf numFmtId="0" fontId="29" fillId="0" borderId="40" xfId="42" applyFont="1" applyBorder="1"/>
    <xf numFmtId="0" fontId="61" fillId="0" borderId="40" xfId="42" applyFont="1" applyBorder="1"/>
    <xf numFmtId="0" fontId="29" fillId="0" borderId="40" xfId="42" applyFont="1" applyBorder="1" applyAlignment="1">
      <alignment horizontal="right"/>
    </xf>
    <xf numFmtId="0" fontId="10" fillId="0" borderId="40" xfId="42" applyBorder="1"/>
    <xf numFmtId="0" fontId="10" fillId="0" borderId="40" xfId="42" applyFont="1" applyBorder="1"/>
    <xf numFmtId="1" fontId="60" fillId="0" borderId="7" xfId="42" applyNumberFormat="1" applyFont="1" applyBorder="1" applyAlignment="1">
      <alignment horizontal="right"/>
    </xf>
    <xf numFmtId="170" fontId="60" fillId="0" borderId="7" xfId="42" applyNumberFormat="1" applyFont="1" applyBorder="1" applyAlignment="1">
      <alignment horizontal="right"/>
    </xf>
    <xf numFmtId="0" fontId="12" fillId="0" borderId="33" xfId="42" applyFont="1" applyBorder="1"/>
    <xf numFmtId="0" fontId="61" fillId="0" borderId="51" xfId="42" applyFont="1" applyBorder="1"/>
    <xf numFmtId="1" fontId="60" fillId="0" borderId="51" xfId="42" applyNumberFormat="1" applyFont="1" applyBorder="1" applyAlignment="1">
      <alignment horizontal="right"/>
    </xf>
    <xf numFmtId="170" fontId="60" fillId="0" borderId="51" xfId="42" applyNumberFormat="1" applyFont="1" applyBorder="1" applyAlignment="1">
      <alignment horizontal="right"/>
    </xf>
    <xf numFmtId="0" fontId="10" fillId="25" borderId="40" xfId="42" applyFill="1" applyBorder="1" applyAlignment="1">
      <alignment horizontal="right"/>
    </xf>
    <xf numFmtId="0" fontId="10" fillId="0" borderId="40" xfId="42" applyBorder="1" applyAlignment="1">
      <alignment horizontal="right"/>
    </xf>
    <xf numFmtId="0" fontId="10" fillId="0" borderId="33" xfId="42" applyBorder="1" applyAlignment="1">
      <alignment horizontal="right"/>
    </xf>
    <xf numFmtId="0" fontId="54" fillId="0" borderId="33" xfId="42" applyFont="1" applyBorder="1"/>
    <xf numFmtId="0" fontId="10" fillId="0" borderId="34" xfId="42" applyBorder="1" applyAlignment="1">
      <alignment horizontal="right"/>
    </xf>
    <xf numFmtId="0" fontId="23" fillId="0" borderId="0" xfId="42" applyFont="1"/>
    <xf numFmtId="0" fontId="20" fillId="0" borderId="0" xfId="42" applyFont="1" applyAlignment="1">
      <alignment horizontal="left"/>
    </xf>
    <xf numFmtId="0" fontId="10" fillId="0" borderId="65" xfId="42" applyFill="1" applyBorder="1"/>
    <xf numFmtId="0" fontId="12" fillId="0" borderId="0" xfId="42" applyFont="1" applyAlignment="1">
      <alignment wrapText="1"/>
    </xf>
    <xf numFmtId="49" fontId="10" fillId="0" borderId="0" xfId="42" applyNumberFormat="1" applyAlignment="1">
      <alignment wrapText="1"/>
    </xf>
    <xf numFmtId="2" fontId="10" fillId="0" borderId="0" xfId="42" applyNumberFormat="1" applyAlignment="1">
      <alignment wrapText="1"/>
    </xf>
    <xf numFmtId="2" fontId="10" fillId="0" borderId="0" xfId="42" applyNumberFormat="1"/>
    <xf numFmtId="49" fontId="12" fillId="0" borderId="0" xfId="42" applyNumberFormat="1" applyFont="1" applyAlignment="1">
      <alignment wrapText="1"/>
    </xf>
    <xf numFmtId="2" fontId="12" fillId="0" borderId="0" xfId="42" applyNumberFormat="1" applyFont="1" applyAlignment="1">
      <alignment wrapText="1"/>
    </xf>
    <xf numFmtId="0" fontId="10" fillId="0" borderId="0" xfId="42" applyAlignment="1">
      <alignment wrapText="1"/>
    </xf>
    <xf numFmtId="0" fontId="10" fillId="0" borderId="0" xfId="42" applyNumberFormat="1"/>
    <xf numFmtId="14" fontId="10" fillId="0" borderId="0" xfId="42" applyNumberFormat="1"/>
    <xf numFmtId="171" fontId="10" fillId="0" borderId="0" xfId="42" applyNumberFormat="1"/>
    <xf numFmtId="0" fontId="10" fillId="26" borderId="0" xfId="0" applyFont="1" applyFill="1" applyProtection="1"/>
    <xf numFmtId="0" fontId="0" fillId="0" borderId="0" xfId="0"/>
    <xf numFmtId="0" fontId="10" fillId="0" borderId="0" xfId="0" applyFont="1"/>
    <xf numFmtId="2" fontId="0" fillId="0" borderId="0" xfId="0" applyNumberFormat="1"/>
    <xf numFmtId="49" fontId="0" fillId="0" borderId="0" xfId="0" quotePrefix="1" applyNumberFormat="1"/>
    <xf numFmtId="49" fontId="10" fillId="0" borderId="0" xfId="0" quotePrefix="1" applyNumberFormat="1" applyFont="1"/>
    <xf numFmtId="0" fontId="0" fillId="0" borderId="0" xfId="0" applyFont="1"/>
    <xf numFmtId="0" fontId="0" fillId="0" borderId="70" xfId="0" applyBorder="1"/>
    <xf numFmtId="0" fontId="68" fillId="0" borderId="0" xfId="0" applyFont="1"/>
    <xf numFmtId="0" fontId="10" fillId="0" borderId="0" xfId="0" quotePrefix="1" applyFont="1"/>
    <xf numFmtId="0" fontId="10" fillId="0" borderId="0" xfId="42" applyFont="1" applyFill="1" applyBorder="1"/>
    <xf numFmtId="0" fontId="17" fillId="0" borderId="0" xfId="42" applyFont="1" applyFill="1" applyBorder="1"/>
    <xf numFmtId="172" fontId="10" fillId="0" borderId="0" xfId="42" applyNumberFormat="1" applyFont="1" applyFill="1" applyBorder="1" applyAlignment="1">
      <alignment horizontal="left"/>
    </xf>
    <xf numFmtId="172" fontId="69" fillId="0" borderId="0" xfId="42" applyNumberFormat="1" applyFont="1" applyFill="1" applyBorder="1" applyAlignment="1">
      <alignment horizontal="left"/>
    </xf>
    <xf numFmtId="0" fontId="10" fillId="0" borderId="0" xfId="42" applyFont="1" applyFill="1" applyBorder="1" applyAlignment="1">
      <alignment horizontal="left"/>
    </xf>
    <xf numFmtId="0" fontId="10" fillId="0" borderId="0" xfId="42" applyFont="1" applyFill="1"/>
    <xf numFmtId="0" fontId="17" fillId="0" borderId="0" xfId="42" applyFont="1" applyFill="1"/>
    <xf numFmtId="0" fontId="10" fillId="25" borderId="0" xfId="42" applyFont="1" applyFill="1" applyBorder="1"/>
    <xf numFmtId="0" fontId="70" fillId="25" borderId="0" xfId="42" applyFont="1" applyFill="1" applyBorder="1"/>
    <xf numFmtId="0" fontId="10" fillId="25" borderId="0" xfId="42" applyFill="1"/>
    <xf numFmtId="0" fontId="10" fillId="25" borderId="0" xfId="42" applyFont="1" applyFill="1"/>
    <xf numFmtId="0" fontId="68" fillId="0" borderId="0" xfId="0" applyFont="1" applyFill="1" applyProtection="1"/>
    <xf numFmtId="0" fontId="71" fillId="0" borderId="0" xfId="0" applyFont="1" applyFill="1" applyProtection="1"/>
    <xf numFmtId="0" fontId="68" fillId="0" borderId="0" xfId="0" applyFont="1" applyFill="1" applyAlignment="1" applyProtection="1">
      <alignment horizontal="center" vertical="center"/>
    </xf>
    <xf numFmtId="0" fontId="0" fillId="0" borderId="0" xfId="0" applyFill="1"/>
    <xf numFmtId="0" fontId="10" fillId="0" borderId="0" xfId="0" applyFont="1" applyFill="1"/>
    <xf numFmtId="0" fontId="72" fillId="0" borderId="0" xfId="0" applyFont="1"/>
    <xf numFmtId="0" fontId="10" fillId="0" borderId="0" xfId="0" applyFont="1" applyBorder="1"/>
    <xf numFmtId="20" fontId="0" fillId="0" borderId="0" xfId="0" applyNumberFormat="1"/>
    <xf numFmtId="49" fontId="12" fillId="0" borderId="0" xfId="0" applyNumberFormat="1" applyFont="1"/>
    <xf numFmtId="0" fontId="12" fillId="0" borderId="72" xfId="0" applyFont="1" applyBorder="1"/>
    <xf numFmtId="0" fontId="10" fillId="0" borderId="72" xfId="0" applyFont="1" applyBorder="1"/>
    <xf numFmtId="0" fontId="0" fillId="0" borderId="72" xfId="0" applyBorder="1"/>
    <xf numFmtId="0" fontId="12" fillId="0" borderId="0" xfId="43" applyFont="1"/>
    <xf numFmtId="0" fontId="10" fillId="0" borderId="0" xfId="43"/>
    <xf numFmtId="0" fontId="10" fillId="0" borderId="70" xfId="43" applyBorder="1"/>
    <xf numFmtId="0" fontId="12" fillId="0" borderId="72" xfId="43" applyFont="1" applyBorder="1"/>
    <xf numFmtId="0" fontId="10" fillId="0" borderId="0" xfId="43" applyFont="1"/>
    <xf numFmtId="0" fontId="10" fillId="0" borderId="72" xfId="43" applyFont="1" applyBorder="1"/>
    <xf numFmtId="0" fontId="10" fillId="0" borderId="0" xfId="43" applyFont="1" applyBorder="1"/>
    <xf numFmtId="0" fontId="10" fillId="0" borderId="72" xfId="43" applyBorder="1"/>
    <xf numFmtId="0" fontId="10" fillId="0" borderId="0" xfId="42" applyProtection="1">
      <protection locked="0"/>
    </xf>
    <xf numFmtId="0" fontId="0" fillId="0" borderId="0" xfId="0" applyProtection="1">
      <protection locked="0"/>
    </xf>
    <xf numFmtId="0" fontId="0" fillId="0" borderId="70" xfId="0" applyBorder="1" applyProtection="1">
      <protection locked="0"/>
    </xf>
    <xf numFmtId="0" fontId="10" fillId="0" borderId="0" xfId="43" applyProtection="1">
      <protection locked="0"/>
    </xf>
    <xf numFmtId="0" fontId="10" fillId="0" borderId="70" xfId="43" applyBorder="1" applyProtection="1">
      <protection locked="0"/>
    </xf>
    <xf numFmtId="0" fontId="10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21" fillId="0" borderId="0" xfId="0" applyFont="1" applyFill="1" applyProtection="1">
      <protection locked="0"/>
    </xf>
    <xf numFmtId="0" fontId="21" fillId="26" borderId="0" xfId="0" applyFont="1" applyFill="1" applyProtection="1">
      <protection locked="0"/>
    </xf>
    <xf numFmtId="0" fontId="10" fillId="0" borderId="0" xfId="0" applyFont="1" applyAlignment="1" applyProtection="1">
      <alignment wrapText="1"/>
      <protection locked="0"/>
    </xf>
    <xf numFmtId="0" fontId="21" fillId="25" borderId="0" xfId="0" applyFont="1" applyFill="1" applyProtection="1">
      <protection locked="0"/>
    </xf>
    <xf numFmtId="0" fontId="12" fillId="0" borderId="0" xfId="0" applyFont="1" applyProtection="1">
      <protection locked="0"/>
    </xf>
    <xf numFmtId="0" fontId="10" fillId="0" borderId="0" xfId="42" applyFont="1" applyFill="1" applyBorder="1" applyProtection="1">
      <protection locked="0"/>
    </xf>
    <xf numFmtId="0" fontId="10" fillId="0" borderId="0" xfId="42" applyFont="1" applyProtection="1">
      <protection locked="0"/>
    </xf>
    <xf numFmtId="0" fontId="21" fillId="0" borderId="0" xfId="0" applyFont="1" applyProtection="1">
      <protection locked="0"/>
    </xf>
    <xf numFmtId="0" fontId="10" fillId="0" borderId="0" xfId="42" applyFill="1" applyProtection="1">
      <protection locked="0"/>
    </xf>
    <xf numFmtId="0" fontId="12" fillId="0" borderId="0" xfId="42" applyFont="1" applyAlignment="1" applyProtection="1">
      <alignment wrapText="1"/>
      <protection locked="0"/>
    </xf>
    <xf numFmtId="0" fontId="12" fillId="0" borderId="0" xfId="43" applyFont="1" applyProtection="1">
      <protection locked="0"/>
    </xf>
    <xf numFmtId="0" fontId="10" fillId="0" borderId="0" xfId="42" applyFont="1" applyFill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12" fillId="0" borderId="32" xfId="42" applyFont="1" applyFill="1" applyBorder="1" applyProtection="1">
      <protection locked="0"/>
    </xf>
    <xf numFmtId="0" fontId="59" fillId="0" borderId="0" xfId="42" applyFont="1" applyProtection="1">
      <protection locked="0"/>
    </xf>
    <xf numFmtId="49" fontId="10" fillId="0" borderId="0" xfId="42" applyNumberFormat="1" applyAlignment="1" applyProtection="1">
      <alignment wrapText="1"/>
      <protection locked="0"/>
    </xf>
    <xf numFmtId="0" fontId="20" fillId="0" borderId="7" xfId="0" applyFont="1" applyFill="1" applyBorder="1"/>
    <xf numFmtId="20" fontId="10" fillId="0" borderId="0" xfId="0" applyNumberFormat="1" applyFont="1"/>
    <xf numFmtId="0" fontId="10" fillId="0" borderId="0" xfId="43" applyAlignment="1">
      <alignment horizontal="left"/>
    </xf>
    <xf numFmtId="0" fontId="10" fillId="0" borderId="0" xfId="0" applyFont="1" applyAlignment="1">
      <alignment horizontal="left"/>
    </xf>
    <xf numFmtId="0" fontId="10" fillId="0" borderId="0" xfId="43" applyFont="1" applyBorder="1" applyProtection="1">
      <protection locked="0"/>
    </xf>
    <xf numFmtId="0" fontId="10" fillId="0" borderId="72" xfId="42" applyBorder="1"/>
    <xf numFmtId="0" fontId="10" fillId="0" borderId="70" xfId="42" applyBorder="1"/>
    <xf numFmtId="0" fontId="10" fillId="0" borderId="0" xfId="0" applyFont="1" applyAlignment="1">
      <alignment vertical="center"/>
    </xf>
    <xf numFmtId="0" fontId="10" fillId="0" borderId="0" xfId="0" applyFont="1" applyAlignment="1">
      <alignment horizontal="right" vertical="center"/>
    </xf>
    <xf numFmtId="0" fontId="26" fillId="0" borderId="0" xfId="0" applyFont="1"/>
    <xf numFmtId="0" fontId="10" fillId="0" borderId="0" xfId="96" applyFont="1" applyFill="1"/>
    <xf numFmtId="167" fontId="10" fillId="0" borderId="0" xfId="96" applyNumberFormat="1" applyFont="1"/>
    <xf numFmtId="0" fontId="10" fillId="0" borderId="0" xfId="96" applyFont="1" applyAlignment="1">
      <alignment horizontal="right"/>
    </xf>
    <xf numFmtId="0" fontId="74" fillId="0" borderId="0" xfId="96" applyFont="1" applyFill="1"/>
    <xf numFmtId="167" fontId="10" fillId="0" borderId="0" xfId="96" applyNumberFormat="1" applyFont="1" applyFill="1"/>
    <xf numFmtId="0" fontId="10" fillId="0" borderId="0" xfId="96" applyFont="1" applyFill="1" applyAlignment="1">
      <alignment horizontal="right"/>
    </xf>
    <xf numFmtId="167" fontId="10" fillId="0" borderId="0" xfId="96" applyNumberFormat="1" applyFont="1" applyFill="1" applyAlignment="1">
      <alignment horizontal="right"/>
    </xf>
    <xf numFmtId="167" fontId="10" fillId="0" borderId="0" xfId="96" applyNumberFormat="1" applyFont="1" applyAlignment="1">
      <alignment horizontal="right"/>
    </xf>
    <xf numFmtId="0" fontId="10" fillId="0" borderId="0" xfId="42" applyFont="1" applyFill="1" applyAlignment="1">
      <alignment horizontal="right"/>
    </xf>
    <xf numFmtId="0" fontId="10" fillId="0" borderId="0" xfId="42"/>
    <xf numFmtId="168" fontId="10" fillId="0" borderId="0" xfId="42" applyNumberFormat="1"/>
    <xf numFmtId="2" fontId="10" fillId="0" borderId="0" xfId="42" applyNumberFormat="1" applyFont="1"/>
    <xf numFmtId="0" fontId="10" fillId="0" borderId="0" xfId="42" applyFont="1"/>
    <xf numFmtId="0" fontId="10" fillId="0" borderId="0" xfId="42" applyFont="1" applyFill="1"/>
    <xf numFmtId="0" fontId="10" fillId="0" borderId="0" xfId="96" applyFont="1"/>
    <xf numFmtId="167" fontId="10" fillId="0" borderId="0" xfId="42" applyNumberFormat="1" applyFont="1"/>
    <xf numFmtId="167" fontId="10" fillId="0" borderId="0" xfId="42" applyNumberFormat="1" applyFont="1" applyFill="1"/>
    <xf numFmtId="169" fontId="10" fillId="0" borderId="0" xfId="42" applyNumberFormat="1" applyFill="1"/>
    <xf numFmtId="0" fontId="12" fillId="0" borderId="0" xfId="42" applyFont="1"/>
    <xf numFmtId="0" fontId="10" fillId="0" borderId="0" xfId="42"/>
    <xf numFmtId="0" fontId="12" fillId="0" borderId="0" xfId="42" applyFont="1" applyAlignment="1">
      <alignment wrapText="1"/>
    </xf>
    <xf numFmtId="168" fontId="10" fillId="0" borderId="0" xfId="42" applyNumberFormat="1" applyFont="1"/>
    <xf numFmtId="0" fontId="77" fillId="0" borderId="0" xfId="96" applyFont="1"/>
    <xf numFmtId="0" fontId="74" fillId="0" borderId="0" xfId="96" applyFont="1"/>
    <xf numFmtId="0" fontId="51" fillId="0" borderId="0" xfId="0" applyFont="1" applyFill="1"/>
    <xf numFmtId="0" fontId="12" fillId="0" borderId="0" xfId="0" applyFont="1" applyAlignment="1"/>
    <xf numFmtId="0" fontId="12" fillId="0" borderId="0" xfId="42" applyFont="1" applyAlignment="1">
      <alignment wrapText="1"/>
    </xf>
    <xf numFmtId="0" fontId="10" fillId="0" borderId="0" xfId="0" applyFont="1" applyBorder="1" applyProtection="1">
      <protection locked="0"/>
    </xf>
    <xf numFmtId="0" fontId="51" fillId="0" borderId="0" xfId="0" applyFont="1"/>
    <xf numFmtId="0" fontId="20" fillId="0" borderId="0" xfId="0" applyFont="1" applyFill="1" applyBorder="1" applyAlignment="1">
      <alignment horizontal="left"/>
    </xf>
    <xf numFmtId="0" fontId="20" fillId="0" borderId="0" xfId="0" applyFont="1" applyAlignment="1">
      <alignment horizontal="left"/>
    </xf>
    <xf numFmtId="0" fontId="20" fillId="0" borderId="0" xfId="0" applyFont="1" applyFill="1" applyBorder="1" applyProtection="1">
      <protection locked="0"/>
    </xf>
    <xf numFmtId="0" fontId="20" fillId="0" borderId="0" xfId="0" applyFont="1" applyFill="1" applyBorder="1" applyAlignment="1">
      <alignment horizontal="center"/>
    </xf>
    <xf numFmtId="0" fontId="20" fillId="0" borderId="0" xfId="0" applyFont="1" applyFill="1" applyBorder="1"/>
    <xf numFmtId="0" fontId="78" fillId="0" borderId="0" xfId="0" applyFont="1" applyFill="1" applyBorder="1"/>
    <xf numFmtId="0" fontId="20" fillId="25" borderId="0" xfId="0" applyFont="1" applyFill="1" applyBorder="1" applyAlignment="1">
      <alignment horizontal="center"/>
    </xf>
    <xf numFmtId="0" fontId="20" fillId="25" borderId="0" xfId="0" applyFont="1" applyFill="1" applyBorder="1" applyAlignment="1">
      <alignment horizontal="right"/>
    </xf>
    <xf numFmtId="15" fontId="20" fillId="0" borderId="0" xfId="0" applyNumberFormat="1" applyFont="1" applyFill="1" applyBorder="1" applyAlignment="1">
      <alignment horizontal="left"/>
    </xf>
    <xf numFmtId="0" fontId="20" fillId="25" borderId="0" xfId="0" applyFont="1" applyFill="1" applyBorder="1"/>
    <xf numFmtId="0" fontId="79" fillId="0" borderId="0" xfId="0" applyFont="1" applyFill="1" applyBorder="1"/>
    <xf numFmtId="1" fontId="20" fillId="0" borderId="0" xfId="0" applyNumberFormat="1" applyFont="1" applyFill="1" applyBorder="1" applyAlignment="1">
      <alignment horizontal="left"/>
    </xf>
    <xf numFmtId="165" fontId="20" fillId="0" borderId="0" xfId="0" applyNumberFormat="1" applyFont="1" applyFill="1" applyBorder="1" applyAlignment="1">
      <alignment horizontal="left"/>
    </xf>
    <xf numFmtId="0" fontId="20" fillId="0" borderId="23" xfId="0" applyFont="1" applyFill="1" applyBorder="1"/>
    <xf numFmtId="0" fontId="23" fillId="0" borderId="23" xfId="0" applyFont="1" applyFill="1" applyBorder="1"/>
    <xf numFmtId="0" fontId="20" fillId="0" borderId="0" xfId="0" quotePrefix="1" applyFont="1" applyFill="1" applyBorder="1"/>
    <xf numFmtId="0" fontId="20" fillId="0" borderId="0" xfId="0" applyFont="1" applyFill="1" applyBorder="1" applyAlignment="1"/>
    <xf numFmtId="0" fontId="20" fillId="25" borderId="23" xfId="0" applyFont="1" applyFill="1" applyBorder="1" applyAlignment="1">
      <alignment horizontal="center"/>
    </xf>
    <xf numFmtId="0" fontId="20" fillId="25" borderId="23" xfId="0" applyFont="1" applyFill="1" applyBorder="1"/>
    <xf numFmtId="0" fontId="20" fillId="25" borderId="0" xfId="0" applyFont="1" applyFill="1" applyBorder="1" applyAlignment="1">
      <alignment horizontal="left" vertical="top"/>
    </xf>
    <xf numFmtId="0" fontId="20" fillId="25" borderId="23" xfId="0" applyFont="1" applyFill="1" applyBorder="1" applyAlignment="1">
      <alignment horizontal="left" vertical="top"/>
    </xf>
    <xf numFmtId="0" fontId="80" fillId="0" borderId="23" xfId="0" applyFont="1" applyFill="1" applyBorder="1"/>
    <xf numFmtId="0" fontId="20" fillId="0" borderId="0" xfId="43" applyFont="1"/>
    <xf numFmtId="49" fontId="20" fillId="0" borderId="0" xfId="0" applyNumberFormat="1" applyFont="1" applyBorder="1" applyAlignment="1">
      <alignment horizontal="left" vertical="top"/>
    </xf>
    <xf numFmtId="49" fontId="20" fillId="0" borderId="0" xfId="0" applyNumberFormat="1" applyFont="1" applyBorder="1" applyAlignment="1">
      <alignment horizontal="left" vertical="top" wrapText="1"/>
    </xf>
    <xf numFmtId="49" fontId="23" fillId="0" borderId="0" xfId="0" applyNumberFormat="1" applyFont="1" applyBorder="1" applyAlignment="1">
      <alignment horizontal="left" vertical="top"/>
    </xf>
    <xf numFmtId="0" fontId="20" fillId="0" borderId="23" xfId="0" applyFont="1" applyFill="1" applyBorder="1" applyAlignment="1">
      <alignment horizontal="left"/>
    </xf>
    <xf numFmtId="0" fontId="23" fillId="25" borderId="11" xfId="0" applyFont="1" applyFill="1" applyBorder="1"/>
    <xf numFmtId="0" fontId="20" fillId="0" borderId="11" xfId="0" applyFont="1" applyFill="1" applyBorder="1"/>
    <xf numFmtId="0" fontId="20" fillId="25" borderId="22" xfId="0" applyFont="1" applyFill="1" applyBorder="1"/>
    <xf numFmtId="0" fontId="20" fillId="0" borderId="0" xfId="0" applyFont="1" applyFill="1" applyBorder="1" applyAlignment="1">
      <alignment horizontal="right"/>
    </xf>
    <xf numFmtId="0" fontId="23" fillId="25" borderId="23" xfId="0" applyFont="1" applyFill="1" applyBorder="1" applyAlignment="1">
      <alignment horizontal="right"/>
    </xf>
    <xf numFmtId="0" fontId="20" fillId="0" borderId="23" xfId="0" applyFont="1" applyFill="1" applyBorder="1" applyAlignment="1">
      <alignment horizontal="right"/>
    </xf>
    <xf numFmtId="0" fontId="80" fillId="0" borderId="0" xfId="0" applyFont="1" applyFill="1" applyBorder="1"/>
    <xf numFmtId="0" fontId="23" fillId="25" borderId="23" xfId="0" applyFont="1" applyFill="1" applyBorder="1"/>
    <xf numFmtId="0" fontId="23" fillId="25" borderId="23" xfId="0" applyFont="1" applyFill="1" applyBorder="1" applyAlignment="1">
      <alignment horizontal="left"/>
    </xf>
    <xf numFmtId="0" fontId="20" fillId="25" borderId="23" xfId="0" applyFont="1" applyFill="1" applyBorder="1" applyAlignment="1">
      <alignment horizontal="right"/>
    </xf>
    <xf numFmtId="0" fontId="23" fillId="0" borderId="0" xfId="0" applyFont="1" applyFill="1" applyBorder="1"/>
    <xf numFmtId="0" fontId="20" fillId="0" borderId="27" xfId="0" applyFont="1" applyFill="1" applyBorder="1"/>
    <xf numFmtId="0" fontId="20" fillId="0" borderId="28" xfId="0" applyFont="1" applyFill="1" applyBorder="1"/>
    <xf numFmtId="0" fontId="20" fillId="0" borderId="29" xfId="0" applyFont="1" applyFill="1" applyBorder="1" applyAlignment="1">
      <alignment horizontal="center"/>
    </xf>
    <xf numFmtId="0" fontId="20" fillId="0" borderId="27" xfId="0" applyFont="1" applyFill="1" applyBorder="1" applyAlignment="1">
      <alignment horizontal="center"/>
    </xf>
    <xf numFmtId="0" fontId="20" fillId="0" borderId="29" xfId="0" applyFont="1" applyFill="1" applyBorder="1"/>
    <xf numFmtId="0" fontId="20" fillId="0" borderId="39" xfId="0" applyFont="1" applyFill="1" applyBorder="1"/>
    <xf numFmtId="0" fontId="20" fillId="0" borderId="39" xfId="0" applyFont="1" applyFill="1" applyBorder="1" applyAlignment="1">
      <alignment horizontal="center"/>
    </xf>
    <xf numFmtId="0" fontId="12" fillId="29" borderId="0" xfId="42" applyFont="1" applyFill="1"/>
    <xf numFmtId="0" fontId="10" fillId="0" borderId="0" xfId="42"/>
    <xf numFmtId="15" fontId="12" fillId="0" borderId="0" xfId="42" applyNumberFormat="1" applyFont="1" applyFill="1" applyAlignment="1">
      <alignment horizontal="left"/>
    </xf>
    <xf numFmtId="0" fontId="2" fillId="0" borderId="0" xfId="158" applyFont="1" applyFill="1"/>
    <xf numFmtId="0" fontId="10" fillId="0" borderId="0" xfId="100" applyFont="1" applyFill="1"/>
    <xf numFmtId="0" fontId="10" fillId="0" borderId="0" xfId="100" applyFont="1" applyFill="1" applyBorder="1"/>
    <xf numFmtId="0" fontId="10" fillId="0" borderId="70" xfId="0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2" fillId="30" borderId="0" xfId="42" applyFont="1" applyFill="1"/>
    <xf numFmtId="0" fontId="10" fillId="30" borderId="0" xfId="42" applyFont="1" applyFill="1"/>
    <xf numFmtId="0" fontId="12" fillId="0" borderId="0" xfId="0" applyFont="1" applyFill="1" applyBorder="1" applyAlignment="1" applyProtection="1">
      <alignment horizontal="left"/>
    </xf>
    <xf numFmtId="0" fontId="21" fillId="0" borderId="0" xfId="0" applyFont="1" applyFill="1" applyBorder="1" applyAlignment="1" applyProtection="1">
      <alignment horizontal="left" vertical="center" wrapText="1"/>
    </xf>
    <xf numFmtId="0" fontId="12" fillId="0" borderId="73" xfId="0" applyFont="1" applyFill="1" applyBorder="1" applyProtection="1"/>
    <xf numFmtId="0" fontId="10" fillId="0" borderId="37" xfId="42" applyFont="1" applyFill="1" applyBorder="1" applyProtection="1"/>
    <xf numFmtId="0" fontId="10" fillId="25" borderId="0" xfId="42" applyFont="1" applyFill="1" applyBorder="1"/>
    <xf numFmtId="0" fontId="12" fillId="0" borderId="36" xfId="42" applyFont="1" applyFill="1" applyBorder="1" applyProtection="1"/>
    <xf numFmtId="0" fontId="10" fillId="0" borderId="36" xfId="42" applyFont="1" applyFill="1" applyBorder="1" applyProtection="1"/>
    <xf numFmtId="0" fontId="17" fillId="24" borderId="37" xfId="42" applyFont="1" applyFill="1" applyBorder="1" applyProtection="1"/>
    <xf numFmtId="0" fontId="12" fillId="0" borderId="37" xfId="42" applyFont="1" applyFill="1" applyBorder="1" applyProtection="1"/>
    <xf numFmtId="0" fontId="10" fillId="0" borderId="37" xfId="42" applyFont="1" applyFill="1" applyBorder="1" applyProtection="1"/>
    <xf numFmtId="0" fontId="50" fillId="0" borderId="37" xfId="42" applyFont="1" applyFill="1" applyBorder="1" applyProtection="1"/>
    <xf numFmtId="0" fontId="10" fillId="25" borderId="0" xfId="42" applyFont="1" applyFill="1" applyBorder="1" applyAlignment="1">
      <alignment vertical="top" wrapText="1"/>
    </xf>
    <xf numFmtId="0" fontId="50" fillId="0" borderId="36" xfId="42" applyFont="1" applyBorder="1" applyAlignment="1"/>
    <xf numFmtId="0" fontId="10" fillId="0" borderId="0" xfId="42"/>
    <xf numFmtId="0" fontId="10" fillId="0" borderId="0" xfId="42" applyFont="1" applyFill="1"/>
    <xf numFmtId="0" fontId="10" fillId="0" borderId="0" xfId="42" applyFont="1" applyFill="1" applyBorder="1"/>
    <xf numFmtId="0" fontId="10" fillId="0" borderId="0" xfId="42" applyFont="1" applyFill="1" applyBorder="1" applyProtection="1"/>
    <xf numFmtId="0" fontId="12" fillId="0" borderId="0" xfId="42" applyFont="1" applyFill="1" applyBorder="1" applyProtection="1"/>
    <xf numFmtId="0" fontId="10" fillId="0" borderId="74" xfId="42" applyFont="1" applyFill="1" applyBorder="1" applyProtection="1"/>
    <xf numFmtId="0" fontId="10" fillId="25" borderId="0" xfId="42" applyFont="1" applyFill="1" applyBorder="1" applyProtection="1"/>
    <xf numFmtId="0" fontId="17" fillId="24" borderId="0" xfId="42" applyFont="1" applyFill="1" applyBorder="1" applyProtection="1"/>
    <xf numFmtId="0" fontId="10" fillId="25" borderId="0" xfId="42" applyFont="1" applyFill="1" applyBorder="1"/>
    <xf numFmtId="0" fontId="17" fillId="24" borderId="36" xfId="42" applyFont="1" applyFill="1" applyBorder="1" applyProtection="1"/>
    <xf numFmtId="0" fontId="10" fillId="0" borderId="36" xfId="42" applyFont="1" applyFill="1" applyBorder="1" applyProtection="1"/>
    <xf numFmtId="0" fontId="17" fillId="24" borderId="37" xfId="42" applyFont="1" applyFill="1" applyBorder="1" applyProtection="1"/>
    <xf numFmtId="0" fontId="12" fillId="0" borderId="37" xfId="42" applyFont="1" applyFill="1" applyBorder="1" applyProtection="1"/>
    <xf numFmtId="0" fontId="10" fillId="0" borderId="37" xfId="42" applyFont="1" applyFill="1" applyBorder="1" applyProtection="1"/>
    <xf numFmtId="0" fontId="13" fillId="0" borderId="0" xfId="42" applyFont="1" applyFill="1" applyProtection="1"/>
    <xf numFmtId="0" fontId="50" fillId="0" borderId="36" xfId="42" applyFont="1" applyFill="1" applyBorder="1" applyProtection="1"/>
    <xf numFmtId="0" fontId="50" fillId="0" borderId="0" xfId="42" applyFont="1" applyFill="1" applyBorder="1" applyProtection="1"/>
    <xf numFmtId="0" fontId="50" fillId="0" borderId="37" xfId="42" applyFont="1" applyFill="1" applyBorder="1" applyProtection="1"/>
    <xf numFmtId="0" fontId="50" fillId="0" borderId="0" xfId="42" applyFont="1" applyFill="1" applyProtection="1"/>
    <xf numFmtId="0" fontId="68" fillId="0" borderId="0" xfId="42" applyFont="1" applyFill="1" applyProtection="1"/>
    <xf numFmtId="0" fontId="72" fillId="0" borderId="0" xfId="42" applyFont="1"/>
    <xf numFmtId="0" fontId="12" fillId="0" borderId="73" xfId="42" applyFont="1" applyFill="1" applyBorder="1" applyProtection="1"/>
    <xf numFmtId="0" fontId="10" fillId="31" borderId="0" xfId="42" applyFill="1" applyProtection="1">
      <protection locked="0"/>
    </xf>
    <xf numFmtId="0" fontId="10" fillId="31" borderId="0" xfId="42" applyFill="1"/>
    <xf numFmtId="0" fontId="10" fillId="32" borderId="0" xfId="42" applyFill="1" applyProtection="1">
      <protection locked="0"/>
    </xf>
    <xf numFmtId="0" fontId="10" fillId="0" borderId="0" xfId="42" applyAlignment="1">
      <alignment horizontal="left"/>
    </xf>
    <xf numFmtId="0" fontId="63" fillId="33" borderId="0" xfId="42" applyFont="1" applyFill="1"/>
    <xf numFmtId="0" fontId="10" fillId="33" borderId="0" xfId="42" applyFill="1"/>
    <xf numFmtId="0" fontId="17" fillId="33" borderId="0" xfId="42" applyFont="1" applyFill="1"/>
    <xf numFmtId="0" fontId="10" fillId="33" borderId="0" xfId="42" applyFill="1" applyProtection="1"/>
    <xf numFmtId="0" fontId="10" fillId="33" borderId="0" xfId="42" applyFill="1" applyProtection="1">
      <protection locked="0"/>
    </xf>
    <xf numFmtId="15" fontId="10" fillId="33" borderId="0" xfId="42" applyNumberFormat="1" applyFill="1" applyAlignment="1">
      <alignment horizontal="left"/>
    </xf>
    <xf numFmtId="0" fontId="10" fillId="33" borderId="0" xfId="42" applyFill="1" applyAlignment="1">
      <alignment horizontal="right"/>
    </xf>
    <xf numFmtId="0" fontId="10" fillId="33" borderId="0" xfId="42" applyFill="1" applyAlignment="1">
      <alignment horizontal="center"/>
    </xf>
    <xf numFmtId="0" fontId="10" fillId="33" borderId="0" xfId="42" applyFill="1" applyAlignment="1">
      <alignment horizontal="left"/>
    </xf>
    <xf numFmtId="0" fontId="17" fillId="33" borderId="0" xfId="42" applyFont="1" applyFill="1" applyBorder="1"/>
    <xf numFmtId="0" fontId="10" fillId="33" borderId="0" xfId="42" applyFill="1" applyBorder="1" applyAlignment="1" applyProtection="1">
      <alignment vertical="center"/>
      <protection locked="0"/>
    </xf>
    <xf numFmtId="0" fontId="10" fillId="33" borderId="0" xfId="42" applyFill="1" applyBorder="1" applyProtection="1">
      <protection locked="0"/>
    </xf>
    <xf numFmtId="2" fontId="10" fillId="33" borderId="0" xfId="42" applyNumberFormat="1" applyFill="1"/>
    <xf numFmtId="0" fontId="17" fillId="33" borderId="64" xfId="42" applyFont="1" applyFill="1" applyBorder="1"/>
    <xf numFmtId="0" fontId="10" fillId="33" borderId="64" xfId="42" applyFill="1" applyBorder="1"/>
    <xf numFmtId="0" fontId="54" fillId="27" borderId="0" xfId="42" applyFont="1" applyFill="1"/>
    <xf numFmtId="0" fontId="10" fillId="27" borderId="0" xfId="42" applyFill="1"/>
    <xf numFmtId="0" fontId="17" fillId="27" borderId="0" xfId="42" applyFont="1" applyFill="1"/>
    <xf numFmtId="0" fontId="20" fillId="27" borderId="0" xfId="42" applyFont="1" applyFill="1"/>
    <xf numFmtId="0" fontId="17" fillId="27" borderId="63" xfId="42" applyFont="1" applyFill="1" applyBorder="1"/>
    <xf numFmtId="0" fontId="20" fillId="27" borderId="63" xfId="42" applyFont="1" applyFill="1" applyBorder="1"/>
    <xf numFmtId="0" fontId="10" fillId="27" borderId="63" xfId="42" applyFill="1" applyBorder="1"/>
    <xf numFmtId="0" fontId="62" fillId="0" borderId="0" xfId="42" applyFont="1" applyFill="1" applyAlignment="1">
      <alignment horizontal="left"/>
    </xf>
    <xf numFmtId="0" fontId="20" fillId="0" borderId="0" xfId="42" applyFont="1" applyFill="1"/>
    <xf numFmtId="0" fontId="10" fillId="0" borderId="63" xfId="42" applyFill="1" applyBorder="1"/>
    <xf numFmtId="0" fontId="10" fillId="0" borderId="0" xfId="42" applyFill="1" applyBorder="1" applyProtection="1">
      <protection locked="0"/>
    </xf>
    <xf numFmtId="0" fontId="20" fillId="0" borderId="0" xfId="42" applyFont="1" applyFill="1" applyBorder="1"/>
    <xf numFmtId="0" fontId="10" fillId="0" borderId="0" xfId="42" applyFill="1" applyAlignment="1">
      <alignment horizontal="center"/>
    </xf>
    <xf numFmtId="0" fontId="17" fillId="0" borderId="64" xfId="42" applyFont="1" applyFill="1" applyBorder="1"/>
    <xf numFmtId="0" fontId="10" fillId="0" borderId="64" xfId="42" applyFill="1" applyBorder="1"/>
    <xf numFmtId="0" fontId="64" fillId="0" borderId="0" xfId="42" applyFont="1" applyFill="1"/>
    <xf numFmtId="0" fontId="12" fillId="0" borderId="0" xfId="42" applyFont="1" applyFill="1" applyAlignment="1">
      <alignment horizontal="left"/>
    </xf>
    <xf numFmtId="0" fontId="65" fillId="0" borderId="65" xfId="42" applyFont="1" applyFill="1" applyBorder="1" applyAlignment="1">
      <alignment horizontal="left"/>
    </xf>
    <xf numFmtId="0" fontId="65" fillId="0" borderId="0" xfId="42" applyFont="1" applyFill="1" applyBorder="1" applyAlignment="1">
      <alignment horizontal="left"/>
    </xf>
    <xf numFmtId="0" fontId="31" fillId="0" borderId="0" xfId="42" applyFont="1" applyFill="1"/>
    <xf numFmtId="0" fontId="31" fillId="0" borderId="0" xfId="42" applyFont="1" applyFill="1" applyAlignment="1">
      <alignment horizontal="right"/>
    </xf>
    <xf numFmtId="0" fontId="73" fillId="0" borderId="0" xfId="42" applyFont="1" applyFill="1"/>
    <xf numFmtId="0" fontId="31" fillId="0" borderId="23" xfId="42" applyFont="1" applyFill="1" applyBorder="1"/>
    <xf numFmtId="0" fontId="64" fillId="0" borderId="0" xfId="42" applyFont="1" applyFill="1" applyAlignment="1">
      <alignment horizontal="center"/>
    </xf>
    <xf numFmtId="0" fontId="65" fillId="0" borderId="0" xfId="42" applyFont="1" applyFill="1"/>
    <xf numFmtId="0" fontId="10" fillId="0" borderId="0" xfId="42" applyFill="1" applyBorder="1" applyAlignment="1">
      <alignment horizontal="left"/>
    </xf>
    <xf numFmtId="0" fontId="66" fillId="0" borderId="0" xfId="42" applyFont="1" applyFill="1" applyBorder="1"/>
    <xf numFmtId="0" fontId="10" fillId="0" borderId="67" xfId="42" applyFill="1" applyBorder="1"/>
    <xf numFmtId="0" fontId="10" fillId="0" borderId="67" xfId="42" applyFill="1" applyBorder="1" applyAlignment="1">
      <alignment horizontal="right"/>
    </xf>
    <xf numFmtId="0" fontId="10" fillId="0" borderId="67" xfId="42" applyFill="1" applyBorder="1" applyAlignment="1">
      <alignment horizontal="left"/>
    </xf>
    <xf numFmtId="49" fontId="30" fillId="0" borderId="65" xfId="42" applyNumberFormat="1" applyFont="1" applyFill="1" applyBorder="1"/>
    <xf numFmtId="0" fontId="10" fillId="0" borderId="65" xfId="42" applyFill="1" applyBorder="1" applyAlignment="1">
      <alignment horizontal="left"/>
    </xf>
    <xf numFmtId="0" fontId="10" fillId="0" borderId="68" xfId="42" applyFill="1" applyBorder="1"/>
    <xf numFmtId="0" fontId="10" fillId="0" borderId="68" xfId="42" applyFill="1" applyBorder="1" applyAlignment="1">
      <alignment horizontal="right"/>
    </xf>
    <xf numFmtId="0" fontId="10" fillId="0" borderId="68" xfId="42" applyFill="1" applyBorder="1" applyAlignment="1">
      <alignment horizontal="left"/>
    </xf>
    <xf numFmtId="0" fontId="10" fillId="0" borderId="66" xfId="42" applyFill="1" applyBorder="1"/>
    <xf numFmtId="0" fontId="65" fillId="0" borderId="66" xfId="42" applyFont="1" applyFill="1" applyBorder="1" applyAlignment="1">
      <alignment horizontal="left"/>
    </xf>
    <xf numFmtId="49" fontId="30" fillId="0" borderId="66" xfId="42" applyNumberFormat="1" applyFont="1" applyFill="1" applyBorder="1"/>
    <xf numFmtId="0" fontId="10" fillId="0" borderId="66" xfId="42" applyFill="1" applyBorder="1" applyAlignment="1">
      <alignment horizontal="left"/>
    </xf>
    <xf numFmtId="0" fontId="10" fillId="0" borderId="39" xfId="42" applyFill="1" applyBorder="1"/>
    <xf numFmtId="0" fontId="10" fillId="0" borderId="39" xfId="42" applyFill="1" applyBorder="1" applyAlignment="1">
      <alignment horizontal="right"/>
    </xf>
    <xf numFmtId="0" fontId="65" fillId="0" borderId="69" xfId="42" applyFont="1" applyFill="1" applyBorder="1" applyAlignment="1">
      <alignment horizontal="left"/>
    </xf>
    <xf numFmtId="49" fontId="30" fillId="0" borderId="69" xfId="42" applyNumberFormat="1" applyFont="1" applyFill="1" applyBorder="1"/>
    <xf numFmtId="0" fontId="10" fillId="0" borderId="69" xfId="42" applyFill="1" applyBorder="1" applyAlignment="1">
      <alignment horizontal="left"/>
    </xf>
    <xf numFmtId="0" fontId="17" fillId="0" borderId="67" xfId="42" applyFont="1" applyFill="1" applyBorder="1" applyAlignment="1">
      <alignment horizontal="left"/>
    </xf>
    <xf numFmtId="49" fontId="30" fillId="0" borderId="0" xfId="42" applyNumberFormat="1" applyFont="1" applyFill="1" applyBorder="1"/>
    <xf numFmtId="0" fontId="64" fillId="0" borderId="0" xfId="42" applyFont="1" applyFill="1" applyBorder="1"/>
    <xf numFmtId="0" fontId="10" fillId="0" borderId="64" xfId="42" applyFill="1" applyBorder="1" applyAlignment="1">
      <alignment horizontal="right"/>
    </xf>
    <xf numFmtId="0" fontId="10" fillId="0" borderId="64" xfId="42" applyFill="1" applyBorder="1" applyAlignment="1">
      <alignment horizontal="left"/>
    </xf>
    <xf numFmtId="0" fontId="15" fillId="0" borderId="0" xfId="42" applyFont="1" applyFill="1"/>
    <xf numFmtId="0" fontId="17" fillId="0" borderId="65" xfId="42" applyFont="1" applyFill="1" applyBorder="1"/>
    <xf numFmtId="0" fontId="17" fillId="0" borderId="66" xfId="42" applyFont="1" applyFill="1" applyBorder="1"/>
    <xf numFmtId="0" fontId="10" fillId="0" borderId="66" xfId="42" applyFill="1" applyBorder="1" applyAlignment="1">
      <alignment horizontal="right"/>
    </xf>
    <xf numFmtId="0" fontId="10" fillId="0" borderId="66" xfId="42" applyFill="1" applyBorder="1" applyAlignment="1">
      <alignment horizontal="center"/>
    </xf>
    <xf numFmtId="0" fontId="14" fillId="0" borderId="71" xfId="0" applyFont="1" applyFill="1" applyBorder="1"/>
    <xf numFmtId="0" fontId="24" fillId="0" borderId="23" xfId="0" applyFont="1" applyFill="1" applyBorder="1"/>
    <xf numFmtId="0" fontId="14" fillId="0" borderId="23" xfId="0" applyFont="1" applyFill="1" applyBorder="1"/>
    <xf numFmtId="0" fontId="14" fillId="0" borderId="0" xfId="0" applyFont="1" applyFill="1" applyBorder="1"/>
    <xf numFmtId="0" fontId="14" fillId="0" borderId="0" xfId="0" applyFont="1" applyFill="1" applyBorder="1" applyAlignment="1">
      <alignment vertical="center"/>
    </xf>
    <xf numFmtId="0" fontId="10" fillId="0" borderId="0" xfId="42" applyFill="1" applyAlignment="1">
      <alignment vertical="center"/>
    </xf>
    <xf numFmtId="0" fontId="14" fillId="0" borderId="23" xfId="0" applyFont="1" applyFill="1" applyBorder="1" applyAlignment="1">
      <alignment horizontal="left" vertical="top"/>
    </xf>
    <xf numFmtId="0" fontId="10" fillId="0" borderId="0" xfId="0" applyFont="1" applyAlignment="1"/>
    <xf numFmtId="0" fontId="0" fillId="31" borderId="0" xfId="0" applyFill="1"/>
    <xf numFmtId="0" fontId="10" fillId="31" borderId="0" xfId="0" applyFont="1" applyFill="1"/>
    <xf numFmtId="49" fontId="10" fillId="0" borderId="0" xfId="0" applyNumberFormat="1" applyFont="1"/>
    <xf numFmtId="0" fontId="10" fillId="0" borderId="0" xfId="0" applyNumberFormat="1" applyFont="1"/>
    <xf numFmtId="0" fontId="89" fillId="35" borderId="0" xfId="0" applyFont="1" applyFill="1"/>
    <xf numFmtId="0" fontId="90" fillId="36" borderId="0" xfId="0" applyFont="1" applyFill="1"/>
    <xf numFmtId="0" fontId="90" fillId="37" borderId="0" xfId="0" applyFont="1" applyFill="1"/>
    <xf numFmtId="0" fontId="90" fillId="38" borderId="0" xfId="0" applyFont="1" applyFill="1"/>
    <xf numFmtId="0" fontId="90" fillId="39" borderId="0" xfId="0" applyFont="1" applyFill="1"/>
    <xf numFmtId="0" fontId="91" fillId="40" borderId="0" xfId="0" applyFont="1" applyFill="1"/>
    <xf numFmtId="0" fontId="90" fillId="41" borderId="0" xfId="0" applyFont="1" applyFill="1"/>
    <xf numFmtId="0" fontId="74" fillId="0" borderId="0" xfId="0" applyFont="1" applyFill="1"/>
    <xf numFmtId="0" fontId="51" fillId="42" borderId="80" xfId="0" applyFont="1" applyFill="1" applyBorder="1"/>
    <xf numFmtId="0" fontId="51" fillId="42" borderId="81" xfId="0" applyFont="1" applyFill="1" applyBorder="1"/>
    <xf numFmtId="0" fontId="51" fillId="42" borderId="82" xfId="0" applyFont="1" applyFill="1" applyBorder="1"/>
    <xf numFmtId="0" fontId="89" fillId="35" borderId="0" xfId="0" applyFont="1" applyFill="1" applyProtection="1"/>
    <xf numFmtId="0" fontId="51" fillId="42" borderId="83" xfId="0" applyFont="1" applyFill="1" applyBorder="1" applyAlignment="1" applyProtection="1">
      <alignment horizontal="center"/>
    </xf>
    <xf numFmtId="0" fontId="51" fillId="42" borderId="84" xfId="0" applyFont="1" applyFill="1" applyBorder="1" applyAlignment="1" applyProtection="1">
      <alignment horizontal="left"/>
    </xf>
    <xf numFmtId="0" fontId="51" fillId="42" borderId="84" xfId="0" applyFont="1" applyFill="1" applyBorder="1" applyProtection="1"/>
    <xf numFmtId="0" fontId="51" fillId="42" borderId="85" xfId="0" applyFont="1" applyFill="1" applyBorder="1" applyProtection="1"/>
    <xf numFmtId="0" fontId="51" fillId="42" borderId="86" xfId="0" applyFont="1" applyFill="1" applyBorder="1" applyAlignment="1" applyProtection="1">
      <alignment horizontal="center"/>
    </xf>
    <xf numFmtId="0" fontId="51" fillId="42" borderId="87" xfId="0" applyFont="1" applyFill="1" applyBorder="1" applyAlignment="1" applyProtection="1">
      <alignment horizontal="left"/>
    </xf>
    <xf numFmtId="0" fontId="51" fillId="42" borderId="87" xfId="0" applyFont="1" applyFill="1" applyBorder="1" applyProtection="1"/>
    <xf numFmtId="0" fontId="51" fillId="42" borderId="88" xfId="0" applyFont="1" applyFill="1" applyBorder="1" applyProtection="1"/>
    <xf numFmtId="0" fontId="51" fillId="42" borderId="89" xfId="0" applyFont="1" applyFill="1" applyBorder="1" applyAlignment="1" applyProtection="1">
      <alignment horizontal="center"/>
    </xf>
    <xf numFmtId="0" fontId="51" fillId="42" borderId="90" xfId="0" applyFont="1" applyFill="1" applyBorder="1" applyAlignment="1" applyProtection="1">
      <alignment horizontal="left"/>
    </xf>
    <xf numFmtId="0" fontId="51" fillId="42" borderId="90" xfId="0" applyFont="1" applyFill="1" applyBorder="1" applyProtection="1"/>
    <xf numFmtId="0" fontId="51" fillId="42" borderId="91" xfId="0" applyFont="1" applyFill="1" applyBorder="1" applyProtection="1"/>
    <xf numFmtId="0" fontId="51" fillId="42" borderId="83" xfId="0" applyFont="1" applyFill="1" applyBorder="1" applyAlignment="1" applyProtection="1">
      <alignment horizontal="center"/>
      <protection locked="0"/>
    </xf>
    <xf numFmtId="0" fontId="51" fillId="42" borderId="84" xfId="0" applyFont="1" applyFill="1" applyBorder="1" applyAlignment="1" applyProtection="1">
      <alignment horizontal="center"/>
      <protection locked="0"/>
    </xf>
    <xf numFmtId="0" fontId="51" fillId="42" borderId="86" xfId="0" applyFont="1" applyFill="1" applyBorder="1" applyAlignment="1" applyProtection="1">
      <alignment horizontal="center"/>
      <protection locked="0"/>
    </xf>
    <xf numFmtId="0" fontId="51" fillId="42" borderId="87" xfId="0" applyFont="1" applyFill="1" applyBorder="1" applyAlignment="1" applyProtection="1">
      <alignment horizontal="center"/>
      <protection locked="0"/>
    </xf>
    <xf numFmtId="0" fontId="51" fillId="42" borderId="89" xfId="0" applyFont="1" applyFill="1" applyBorder="1" applyAlignment="1" applyProtection="1">
      <alignment horizontal="center"/>
      <protection locked="0"/>
    </xf>
    <xf numFmtId="0" fontId="51" fillId="42" borderId="90" xfId="0" applyFont="1" applyFill="1" applyBorder="1" applyAlignment="1" applyProtection="1">
      <alignment horizontal="center"/>
      <protection locked="0"/>
    </xf>
    <xf numFmtId="0" fontId="90" fillId="36" borderId="0" xfId="0" applyFont="1" applyFill="1" applyBorder="1" applyProtection="1"/>
    <xf numFmtId="0" fontId="90" fillId="36" borderId="0" xfId="0" applyFont="1" applyFill="1" applyBorder="1"/>
    <xf numFmtId="0" fontId="90" fillId="36" borderId="0" xfId="0" applyFont="1" applyFill="1" applyProtection="1"/>
    <xf numFmtId="0" fontId="90" fillId="36" borderId="0" xfId="0" applyFont="1" applyFill="1" applyBorder="1" applyAlignment="1">
      <alignment horizontal="center"/>
    </xf>
    <xf numFmtId="0" fontId="90" fillId="37" borderId="0" xfId="0" applyFont="1" applyFill="1" applyBorder="1" applyAlignment="1">
      <alignment horizontal="left"/>
    </xf>
    <xf numFmtId="15" fontId="90" fillId="37" borderId="0" xfId="0" applyNumberFormat="1" applyFont="1" applyFill="1" applyBorder="1" applyAlignment="1">
      <alignment horizontal="left"/>
    </xf>
    <xf numFmtId="0" fontId="90" fillId="37" borderId="0" xfId="0" applyFont="1" applyFill="1" applyBorder="1" applyAlignment="1"/>
    <xf numFmtId="14" fontId="90" fillId="37" borderId="0" xfId="0" applyNumberFormat="1" applyFont="1" applyFill="1" applyProtection="1"/>
    <xf numFmtId="15" fontId="90" fillId="37" borderId="0" xfId="0" applyNumberFormat="1" applyFont="1" applyFill="1" applyBorder="1" applyAlignment="1" applyProtection="1">
      <alignment horizontal="left"/>
      <protection locked="0"/>
    </xf>
    <xf numFmtId="0" fontId="90" fillId="37" borderId="0" xfId="0" applyFont="1" applyFill="1" applyBorder="1" applyAlignment="1" applyProtection="1">
      <alignment horizontal="left"/>
      <protection locked="0"/>
    </xf>
    <xf numFmtId="0" fontId="92" fillId="37" borderId="0" xfId="0" applyFont="1" applyFill="1" applyBorder="1" applyAlignment="1">
      <alignment horizontal="left"/>
    </xf>
    <xf numFmtId="49" fontId="90" fillId="37" borderId="0" xfId="0" applyNumberFormat="1" applyFont="1" applyFill="1" applyBorder="1" applyAlignment="1">
      <alignment horizontal="left"/>
    </xf>
    <xf numFmtId="0" fontId="90" fillId="37" borderId="0" xfId="0" applyFont="1" applyFill="1" applyBorder="1" applyProtection="1"/>
    <xf numFmtId="1" fontId="90" fillId="37" borderId="0" xfId="0" applyNumberFormat="1" applyFont="1" applyFill="1" applyBorder="1" applyAlignment="1">
      <alignment horizontal="left"/>
    </xf>
    <xf numFmtId="0" fontId="90" fillId="39" borderId="0" xfId="0" applyFont="1" applyFill="1" applyProtection="1"/>
    <xf numFmtId="0" fontId="90" fillId="39" borderId="0" xfId="0" applyFont="1" applyFill="1" applyBorder="1" applyProtection="1"/>
    <xf numFmtId="0" fontId="75" fillId="35" borderId="0" xfId="0" applyFont="1" applyFill="1" applyProtection="1"/>
    <xf numFmtId="0" fontId="10" fillId="35" borderId="0" xfId="0" applyFont="1" applyFill="1" applyBorder="1" applyProtection="1"/>
    <xf numFmtId="0" fontId="12" fillId="35" borderId="0" xfId="0" applyFont="1" applyFill="1" applyBorder="1" applyProtection="1"/>
    <xf numFmtId="0" fontId="75" fillId="35" borderId="0" xfId="0" applyFont="1" applyFill="1" applyBorder="1" applyProtection="1"/>
    <xf numFmtId="0" fontId="11" fillId="35" borderId="0" xfId="0" applyFont="1" applyFill="1" applyProtection="1"/>
    <xf numFmtId="0" fontId="21" fillId="35" borderId="0" xfId="0" applyFont="1" applyFill="1" applyBorder="1" applyProtection="1">
      <protection locked="0"/>
    </xf>
    <xf numFmtId="0" fontId="21" fillId="35" borderId="0" xfId="0" applyFont="1" applyFill="1" applyBorder="1" applyProtection="1"/>
    <xf numFmtId="0" fontId="21" fillId="35" borderId="0" xfId="0" applyFont="1" applyFill="1" applyBorder="1" applyAlignment="1">
      <alignment horizontal="left"/>
    </xf>
    <xf numFmtId="0" fontId="12" fillId="35" borderId="0" xfId="0" applyFont="1" applyFill="1" applyBorder="1" applyAlignment="1">
      <alignment horizontal="left"/>
    </xf>
    <xf numFmtId="0" fontId="21" fillId="35" borderId="0" xfId="0" applyFont="1" applyFill="1" applyBorder="1" applyAlignment="1"/>
    <xf numFmtId="1" fontId="12" fillId="35" borderId="0" xfId="0" applyNumberFormat="1" applyFont="1" applyFill="1" applyBorder="1" applyAlignment="1">
      <alignment horizontal="left"/>
    </xf>
    <xf numFmtId="0" fontId="16" fillId="35" borderId="0" xfId="0" applyFont="1" applyFill="1" applyProtection="1"/>
    <xf numFmtId="0" fontId="16" fillId="35" borderId="0" xfId="0" applyFont="1" applyFill="1" applyBorder="1" applyProtection="1"/>
    <xf numFmtId="0" fontId="53" fillId="35" borderId="0" xfId="0" applyFont="1" applyFill="1" applyBorder="1" applyProtection="1"/>
    <xf numFmtId="0" fontId="21" fillId="35" borderId="0" xfId="0" applyFont="1" applyFill="1" applyProtection="1"/>
    <xf numFmtId="0" fontId="82" fillId="35" borderId="0" xfId="0" applyFont="1" applyFill="1" applyBorder="1" applyAlignment="1" applyProtection="1">
      <alignment horizontal="center"/>
    </xf>
    <xf numFmtId="0" fontId="81" fillId="35" borderId="0" xfId="0" applyFont="1" applyFill="1" applyBorder="1" applyProtection="1"/>
    <xf numFmtId="0" fontId="12" fillId="35" borderId="0" xfId="0" applyFont="1" applyFill="1" applyBorder="1" applyAlignment="1" applyProtection="1">
      <alignment horizontal="center"/>
    </xf>
    <xf numFmtId="0" fontId="30" fillId="35" borderId="0" xfId="0" applyFont="1" applyFill="1" applyBorder="1" applyProtection="1"/>
    <xf numFmtId="0" fontId="15" fillId="35" borderId="0" xfId="0" applyFont="1" applyFill="1" applyProtection="1"/>
    <xf numFmtId="0" fontId="15" fillId="35" borderId="0" xfId="0" applyFont="1" applyFill="1" applyBorder="1" applyProtection="1"/>
    <xf numFmtId="0" fontId="21" fillId="35" borderId="0" xfId="0" applyFont="1" applyFill="1" applyBorder="1" applyAlignment="1">
      <alignment horizontal="center"/>
    </xf>
    <xf numFmtId="0" fontId="21" fillId="35" borderId="0" xfId="0" applyFont="1" applyFill="1" applyAlignment="1"/>
    <xf numFmtId="0" fontId="90" fillId="37" borderId="0" xfId="0" applyFont="1" applyFill="1" applyBorder="1"/>
    <xf numFmtId="0" fontId="90" fillId="38" borderId="0" xfId="0" applyFont="1" applyFill="1" applyBorder="1"/>
    <xf numFmtId="0" fontId="90" fillId="39" borderId="0" xfId="0" applyFont="1" applyFill="1" applyBorder="1"/>
    <xf numFmtId="0" fontId="91" fillId="40" borderId="0" xfId="0" applyFont="1" applyFill="1" applyBorder="1"/>
    <xf numFmtId="0" fontId="90" fillId="41" borderId="0" xfId="0" applyFont="1" applyFill="1" applyBorder="1"/>
    <xf numFmtId="0" fontId="90" fillId="38" borderId="0" xfId="0" applyFont="1" applyFill="1" applyBorder="1" applyAlignment="1" applyProtection="1">
      <alignment horizontal="left"/>
    </xf>
    <xf numFmtId="0" fontId="92" fillId="38" borderId="0" xfId="0" applyFont="1" applyFill="1" applyBorder="1" applyProtection="1"/>
    <xf numFmtId="0" fontId="90" fillId="38" borderId="0" xfId="0" applyFont="1" applyFill="1" applyBorder="1" applyProtection="1"/>
    <xf numFmtId="0" fontId="90" fillId="38" borderId="0" xfId="0" applyFont="1" applyFill="1" applyProtection="1"/>
    <xf numFmtId="0" fontId="51" fillId="42" borderId="0" xfId="0" applyFont="1" applyFill="1"/>
    <xf numFmtId="0" fontId="90" fillId="37" borderId="0" xfId="0" applyFont="1" applyFill="1" applyProtection="1"/>
    <xf numFmtId="0" fontId="75" fillId="35" borderId="0" xfId="0" applyFont="1" applyFill="1"/>
    <xf numFmtId="0" fontId="53" fillId="35" borderId="0" xfId="0" applyFont="1" applyFill="1" applyBorder="1" applyAlignment="1">
      <alignment horizontal="left"/>
    </xf>
    <xf numFmtId="0" fontId="53" fillId="35" borderId="0" xfId="0" applyFont="1" applyFill="1" applyBorder="1" applyAlignment="1"/>
    <xf numFmtId="0" fontId="53" fillId="35" borderId="0" xfId="0" applyFont="1" applyFill="1" applyBorder="1"/>
    <xf numFmtId="0" fontId="75" fillId="35" borderId="0" xfId="0" applyFont="1" applyFill="1" applyBorder="1"/>
    <xf numFmtId="0" fontId="13" fillId="35" borderId="0" xfId="0" applyFont="1" applyFill="1"/>
    <xf numFmtId="0" fontId="83" fillId="35" borderId="0" xfId="0" applyFont="1" applyFill="1" applyBorder="1" applyProtection="1"/>
    <xf numFmtId="0" fontId="81" fillId="35" borderId="0" xfId="0" applyFont="1" applyFill="1" applyBorder="1" applyAlignment="1" applyProtection="1">
      <alignment horizontal="left"/>
    </xf>
    <xf numFmtId="0" fontId="11" fillId="35" borderId="0" xfId="0" applyFont="1" applyFill="1"/>
    <xf numFmtId="0" fontId="87" fillId="35" borderId="0" xfId="0" applyFont="1" applyFill="1" applyBorder="1" applyAlignment="1" applyProtection="1">
      <alignment horizontal="center"/>
      <protection locked="0"/>
    </xf>
    <xf numFmtId="0" fontId="75" fillId="35" borderId="0" xfId="0" applyFont="1" applyFill="1" applyBorder="1" applyAlignment="1">
      <alignment horizontal="left"/>
    </xf>
    <xf numFmtId="0" fontId="11" fillId="35" borderId="0" xfId="0" applyFont="1" applyFill="1" applyAlignment="1">
      <alignment wrapText="1"/>
    </xf>
    <xf numFmtId="0" fontId="11" fillId="35" borderId="0" xfId="0" applyFont="1" applyFill="1" applyBorder="1"/>
    <xf numFmtId="1" fontId="53" fillId="35" borderId="0" xfId="0" applyNumberFormat="1" applyFont="1" applyFill="1" applyBorder="1" applyAlignment="1">
      <alignment horizontal="left"/>
    </xf>
    <xf numFmtId="0" fontId="21" fillId="35" borderId="0" xfId="0" applyFont="1" applyFill="1"/>
    <xf numFmtId="0" fontId="68" fillId="35" borderId="0" xfId="0" applyFont="1" applyFill="1"/>
    <xf numFmtId="0" fontId="12" fillId="35" borderId="0" xfId="0" applyFont="1" applyFill="1"/>
    <xf numFmtId="0" fontId="68" fillId="35" borderId="0" xfId="0" applyFont="1" applyFill="1" applyBorder="1"/>
    <xf numFmtId="0" fontId="83" fillId="35" borderId="0" xfId="0" applyFont="1" applyFill="1"/>
    <xf numFmtId="0" fontId="21" fillId="35" borderId="0" xfId="0" applyFont="1" applyFill="1" applyAlignment="1">
      <alignment horizontal="right"/>
    </xf>
    <xf numFmtId="0" fontId="21" fillId="35" borderId="0" xfId="0" applyFont="1" applyFill="1" applyBorder="1"/>
    <xf numFmtId="0" fontId="21" fillId="35" borderId="38" xfId="0" applyFont="1" applyFill="1" applyBorder="1"/>
    <xf numFmtId="0" fontId="21" fillId="35" borderId="0" xfId="0" applyNumberFormat="1" applyFont="1" applyFill="1" applyBorder="1" applyAlignment="1"/>
    <xf numFmtId="49" fontId="21" fillId="35" borderId="0" xfId="0" applyNumberFormat="1" applyFont="1" applyFill="1" applyBorder="1" applyAlignment="1">
      <alignment horizontal="left" vertical="top" wrapText="1"/>
    </xf>
    <xf numFmtId="0" fontId="21" fillId="35" borderId="0" xfId="0" applyFont="1" applyFill="1" applyBorder="1" applyAlignment="1">
      <alignment shrinkToFit="1"/>
    </xf>
    <xf numFmtId="0" fontId="75" fillId="35" borderId="0" xfId="0" applyFont="1" applyFill="1" applyBorder="1" applyAlignment="1">
      <alignment shrinkToFit="1"/>
    </xf>
    <xf numFmtId="0" fontId="81" fillId="35" borderId="0" xfId="0" applyFont="1" applyFill="1"/>
    <xf numFmtId="0" fontId="12" fillId="35" borderId="0" xfId="0" applyFont="1" applyFill="1" applyAlignment="1">
      <alignment horizontal="center"/>
    </xf>
    <xf numFmtId="0" fontId="84" fillId="35" borderId="0" xfId="0" applyFont="1" applyFill="1"/>
    <xf numFmtId="0" fontId="12" fillId="35" borderId="79" xfId="0" applyFont="1" applyFill="1" applyBorder="1" applyAlignment="1">
      <alignment horizontal="center"/>
    </xf>
    <xf numFmtId="0" fontId="53" fillId="35" borderId="0" xfId="0" applyFont="1" applyFill="1" applyBorder="1" applyAlignment="1">
      <alignment horizontal="right"/>
    </xf>
    <xf numFmtId="0" fontId="81" fillId="35" borderId="0" xfId="0" applyFont="1" applyFill="1" applyBorder="1"/>
    <xf numFmtId="0" fontId="81" fillId="35" borderId="0" xfId="0" applyFont="1" applyFill="1" applyBorder="1" applyAlignment="1">
      <alignment horizontal="left"/>
    </xf>
    <xf numFmtId="0" fontId="83" fillId="35" borderId="0" xfId="0" applyFont="1" applyFill="1" applyBorder="1"/>
    <xf numFmtId="0" fontId="12" fillId="35" borderId="0" xfId="0" applyFont="1" applyFill="1" applyBorder="1"/>
    <xf numFmtId="0" fontId="17" fillId="35" borderId="0" xfId="0" applyFont="1" applyFill="1" applyBorder="1"/>
    <xf numFmtId="0" fontId="81" fillId="35" borderId="0" xfId="0" applyFont="1" applyFill="1" applyBorder="1" applyProtection="1">
      <protection locked="0" hidden="1"/>
    </xf>
    <xf numFmtId="0" fontId="81" fillId="35" borderId="0" xfId="0" applyFont="1" applyFill="1" applyBorder="1" applyAlignment="1">
      <alignment horizontal="right"/>
    </xf>
    <xf numFmtId="0" fontId="21" fillId="35" borderId="0" xfId="0" applyFont="1" applyFill="1" applyBorder="1" applyProtection="1">
      <protection locked="0" hidden="1"/>
    </xf>
    <xf numFmtId="0" fontId="21" fillId="35" borderId="75" xfId="0" applyFont="1" applyFill="1" applyBorder="1"/>
    <xf numFmtId="0" fontId="21" fillId="35" borderId="76" xfId="0" applyFont="1" applyFill="1" applyBorder="1"/>
    <xf numFmtId="0" fontId="21" fillId="35" borderId="77" xfId="0" applyFont="1" applyFill="1" applyBorder="1"/>
    <xf numFmtId="0" fontId="21" fillId="35" borderId="78" xfId="0" applyFont="1" applyFill="1" applyBorder="1"/>
    <xf numFmtId="0" fontId="84" fillId="35" borderId="0" xfId="0" applyFont="1" applyFill="1" applyBorder="1" applyAlignment="1">
      <alignment horizontal="right"/>
    </xf>
    <xf numFmtId="0" fontId="81" fillId="35" borderId="0" xfId="0" applyFont="1" applyFill="1" applyBorder="1" applyAlignment="1" applyProtection="1">
      <alignment horizontal="right"/>
      <protection locked="0" hidden="1"/>
    </xf>
    <xf numFmtId="0" fontId="85" fillId="35" borderId="0" xfId="0" applyFont="1" applyFill="1" applyBorder="1"/>
    <xf numFmtId="0" fontId="75" fillId="35" borderId="0" xfId="0" applyFont="1" applyFill="1" applyBorder="1" applyProtection="1">
      <protection locked="0" hidden="1"/>
    </xf>
    <xf numFmtId="0" fontId="12" fillId="35" borderId="79" xfId="0" applyFont="1" applyFill="1" applyBorder="1"/>
    <xf numFmtId="0" fontId="81" fillId="35" borderId="0" xfId="0" applyFont="1" applyFill="1" applyBorder="1" applyAlignment="1">
      <alignment horizontal="center"/>
    </xf>
    <xf numFmtId="0" fontId="21" fillId="35" borderId="0" xfId="0" applyFont="1" applyFill="1" applyProtection="1">
      <protection locked="0"/>
    </xf>
    <xf numFmtId="0" fontId="10" fillId="35" borderId="0" xfId="42" applyFont="1" applyFill="1" applyBorder="1" applyProtection="1">
      <protection locked="0"/>
    </xf>
    <xf numFmtId="0" fontId="10" fillId="35" borderId="0" xfId="42" applyFont="1" applyFill="1"/>
    <xf numFmtId="0" fontId="10" fillId="35" borderId="0" xfId="42" applyFont="1" applyFill="1" applyBorder="1"/>
    <xf numFmtId="0" fontId="17" fillId="35" borderId="0" xfId="42" applyFont="1" applyFill="1"/>
    <xf numFmtId="0" fontId="70" fillId="35" borderId="0" xfId="42" applyFont="1" applyFill="1" applyBorder="1"/>
    <xf numFmtId="0" fontId="10" fillId="35" borderId="0" xfId="42" applyFill="1"/>
    <xf numFmtId="0" fontId="10" fillId="35" borderId="0" xfId="42" applyFont="1" applyFill="1" applyProtection="1">
      <protection locked="0"/>
    </xf>
    <xf numFmtId="0" fontId="13" fillId="35" borderId="0" xfId="0" applyFont="1" applyFill="1" applyProtection="1"/>
    <xf numFmtId="0" fontId="68" fillId="35" borderId="0" xfId="0" applyFont="1" applyFill="1" applyProtection="1"/>
    <xf numFmtId="0" fontId="17" fillId="35" borderId="0" xfId="0" applyFont="1" applyFill="1" applyBorder="1" applyAlignment="1" applyProtection="1">
      <alignment horizontal="center"/>
    </xf>
    <xf numFmtId="0" fontId="19" fillId="35" borderId="0" xfId="0" applyFont="1" applyFill="1" applyProtection="1"/>
    <xf numFmtId="0" fontId="17" fillId="35" borderId="0" xfId="0" applyFont="1" applyFill="1" applyBorder="1" applyProtection="1"/>
    <xf numFmtId="0" fontId="50" fillId="35" borderId="0" xfId="0" applyFont="1" applyFill="1" applyBorder="1" applyProtection="1"/>
    <xf numFmtId="0" fontId="21" fillId="35" borderId="0" xfId="0" applyFont="1" applyFill="1" applyBorder="1" applyAlignment="1" applyProtection="1">
      <alignment horizontal="left" vertical="center" wrapText="1"/>
    </xf>
    <xf numFmtId="0" fontId="21" fillId="35" borderId="0" xfId="0" applyFont="1" applyFill="1" applyBorder="1" applyAlignment="1" applyProtection="1">
      <alignment horizontal="center" vertical="center"/>
    </xf>
    <xf numFmtId="0" fontId="13" fillId="35" borderId="0" xfId="0" applyFont="1" applyFill="1" applyAlignment="1" applyProtection="1">
      <alignment horizontal="center" vertical="center"/>
    </xf>
    <xf numFmtId="0" fontId="50" fillId="35" borderId="0" xfId="0" applyFont="1" applyFill="1" applyProtection="1"/>
    <xf numFmtId="0" fontId="20" fillId="35" borderId="0" xfId="0" applyFont="1" applyFill="1" applyBorder="1" applyProtection="1"/>
    <xf numFmtId="0" fontId="10" fillId="35" borderId="0" xfId="43" applyFont="1" applyFill="1" applyProtection="1">
      <protection locked="0"/>
    </xf>
    <xf numFmtId="0" fontId="10" fillId="35" borderId="0" xfId="43" applyFont="1" applyFill="1"/>
    <xf numFmtId="0" fontId="10" fillId="35" borderId="0" xfId="43" applyFont="1" applyFill="1" applyBorder="1"/>
    <xf numFmtId="0" fontId="10" fillId="35" borderId="0" xfId="43" applyFill="1" applyProtection="1">
      <protection locked="0"/>
    </xf>
    <xf numFmtId="0" fontId="10" fillId="35" borderId="0" xfId="43" applyFill="1"/>
    <xf numFmtId="0" fontId="0" fillId="35" borderId="0" xfId="0" applyFill="1"/>
    <xf numFmtId="0" fontId="10" fillId="35" borderId="0" xfId="43" applyFill="1" applyBorder="1" applyAlignment="1">
      <alignment vertical="top"/>
    </xf>
    <xf numFmtId="0" fontId="10" fillId="35" borderId="0" xfId="43" applyFill="1" applyBorder="1"/>
    <xf numFmtId="0" fontId="10" fillId="35" borderId="0" xfId="43" applyFill="1" applyAlignment="1">
      <alignment vertical="center"/>
    </xf>
    <xf numFmtId="0" fontId="10" fillId="35" borderId="0" xfId="43" applyFont="1" applyFill="1" applyAlignment="1">
      <alignment vertical="top" wrapText="1"/>
    </xf>
    <xf numFmtId="0" fontId="10" fillId="35" borderId="0" xfId="43" applyFont="1" applyFill="1" applyAlignment="1">
      <alignment horizontal="left" vertical="top"/>
    </xf>
    <xf numFmtId="0" fontId="10" fillId="35" borderId="0" xfId="0" applyFont="1" applyFill="1"/>
    <xf numFmtId="0" fontId="68" fillId="35" borderId="0" xfId="43" applyFont="1" applyFill="1"/>
    <xf numFmtId="0" fontId="51" fillId="42" borderId="84" xfId="0" applyFont="1" applyFill="1" applyBorder="1" applyAlignment="1">
      <alignment horizontal="left"/>
    </xf>
    <xf numFmtId="0" fontId="51" fillId="42" borderId="84" xfId="0" applyNumberFormat="1" applyFont="1" applyFill="1" applyBorder="1"/>
    <xf numFmtId="0" fontId="51" fillId="42" borderId="84" xfId="0" applyFont="1" applyFill="1" applyBorder="1" applyAlignment="1">
      <alignment horizontal="center"/>
    </xf>
    <xf numFmtId="0" fontId="51" fillId="42" borderId="84" xfId="0" applyFont="1" applyFill="1" applyBorder="1"/>
    <xf numFmtId="0" fontId="51" fillId="42" borderId="85" xfId="0" applyFont="1" applyFill="1" applyBorder="1"/>
    <xf numFmtId="0" fontId="51" fillId="42" borderId="87" xfId="0" applyFont="1" applyFill="1" applyBorder="1" applyAlignment="1">
      <alignment horizontal="left"/>
    </xf>
    <xf numFmtId="0" fontId="51" fillId="42" borderId="87" xfId="0" applyNumberFormat="1" applyFont="1" applyFill="1" applyBorder="1"/>
    <xf numFmtId="0" fontId="51" fillId="42" borderId="87" xfId="0" applyFont="1" applyFill="1" applyBorder="1" applyAlignment="1">
      <alignment horizontal="center"/>
    </xf>
    <xf numFmtId="0" fontId="51" fillId="42" borderId="87" xfId="0" applyFont="1" applyFill="1" applyBorder="1"/>
    <xf numFmtId="0" fontId="51" fillId="42" borderId="88" xfId="0" applyFont="1" applyFill="1" applyBorder="1"/>
    <xf numFmtId="0" fontId="51" fillId="42" borderId="90" xfId="0" applyFont="1" applyFill="1" applyBorder="1" applyAlignment="1">
      <alignment horizontal="left"/>
    </xf>
    <xf numFmtId="0" fontId="51" fillId="42" borderId="90" xfId="0" applyNumberFormat="1" applyFont="1" applyFill="1" applyBorder="1"/>
    <xf numFmtId="0" fontId="51" fillId="42" borderId="90" xfId="0" applyFont="1" applyFill="1" applyBorder="1" applyAlignment="1">
      <alignment horizontal="center"/>
    </xf>
    <xf numFmtId="0" fontId="51" fillId="42" borderId="90" xfId="0" applyFont="1" applyFill="1" applyBorder="1"/>
    <xf numFmtId="0" fontId="51" fillId="42" borderId="91" xfId="0" applyFont="1" applyFill="1" applyBorder="1"/>
    <xf numFmtId="0" fontId="51" fillId="42" borderId="79" xfId="0" applyFont="1" applyFill="1" applyBorder="1" applyAlignment="1">
      <alignment horizontal="center"/>
    </xf>
    <xf numFmtId="0" fontId="51" fillId="42" borderId="0" xfId="0" applyFont="1" applyFill="1" applyBorder="1" applyAlignment="1">
      <alignment horizontal="center"/>
    </xf>
    <xf numFmtId="0" fontId="51" fillId="42" borderId="92" xfId="0" applyFont="1" applyFill="1" applyBorder="1" applyAlignment="1">
      <alignment horizontal="center"/>
    </xf>
    <xf numFmtId="0" fontId="51" fillId="42" borderId="93" xfId="0" applyFont="1" applyFill="1" applyBorder="1" applyAlignment="1">
      <alignment horizontal="center"/>
    </xf>
    <xf numFmtId="0" fontId="51" fillId="42" borderId="94" xfId="0" applyFont="1" applyFill="1" applyBorder="1" applyAlignment="1">
      <alignment horizontal="center"/>
    </xf>
    <xf numFmtId="0" fontId="51" fillId="42" borderId="0" xfId="0" applyFont="1" applyFill="1" applyBorder="1" applyAlignment="1">
      <alignment horizontal="left"/>
    </xf>
    <xf numFmtId="0" fontId="51" fillId="42" borderId="79" xfId="0" applyFont="1" applyFill="1" applyBorder="1"/>
    <xf numFmtId="0" fontId="51" fillId="42" borderId="0" xfId="0" applyFont="1" applyFill="1" applyBorder="1"/>
    <xf numFmtId="0" fontId="51" fillId="42" borderId="92" xfId="0" applyFont="1" applyFill="1" applyBorder="1"/>
    <xf numFmtId="0" fontId="51" fillId="42" borderId="95" xfId="0" applyFont="1" applyFill="1" applyBorder="1"/>
    <xf numFmtId="0" fontId="51" fillId="42" borderId="93" xfId="0" applyFont="1" applyFill="1" applyBorder="1"/>
    <xf numFmtId="0" fontId="51" fillId="42" borderId="94" xfId="0" applyFont="1" applyFill="1" applyBorder="1"/>
    <xf numFmtId="0" fontId="51" fillId="42" borderId="80" xfId="0" applyFont="1" applyFill="1" applyBorder="1" applyAlignment="1">
      <alignment horizontal="left"/>
    </xf>
    <xf numFmtId="0" fontId="51" fillId="42" borderId="82" xfId="0" applyFont="1" applyFill="1" applyBorder="1" applyAlignment="1">
      <alignment horizontal="left"/>
    </xf>
    <xf numFmtId="0" fontId="51" fillId="42" borderId="96" xfId="0" applyFont="1" applyFill="1" applyBorder="1" applyAlignment="1">
      <alignment horizontal="left"/>
    </xf>
    <xf numFmtId="0" fontId="51" fillId="42" borderId="97" xfId="0" applyFont="1" applyFill="1" applyBorder="1" applyAlignment="1">
      <alignment horizontal="left"/>
    </xf>
    <xf numFmtId="0" fontId="51" fillId="42" borderId="98" xfId="0" applyFont="1" applyFill="1" applyBorder="1" applyAlignment="1">
      <alignment horizontal="left"/>
    </xf>
    <xf numFmtId="0" fontId="51" fillId="42" borderId="99" xfId="0" applyFont="1" applyFill="1" applyBorder="1" applyAlignment="1">
      <alignment horizontal="left"/>
    </xf>
    <xf numFmtId="0" fontId="51" fillId="42" borderId="100" xfId="0" applyFont="1" applyFill="1" applyBorder="1" applyAlignment="1">
      <alignment horizontal="left"/>
    </xf>
    <xf numFmtId="0" fontId="51" fillId="42" borderId="101" xfId="0" applyFont="1" applyFill="1" applyBorder="1" applyAlignment="1">
      <alignment horizontal="left"/>
    </xf>
    <xf numFmtId="0" fontId="51" fillId="42" borderId="74" xfId="0" applyFont="1" applyFill="1" applyBorder="1" applyProtection="1"/>
    <xf numFmtId="0" fontId="51" fillId="42" borderId="103" xfId="0" applyFont="1" applyFill="1" applyBorder="1" applyProtection="1"/>
    <xf numFmtId="0" fontId="51" fillId="42" borderId="104" xfId="0" applyFont="1" applyFill="1" applyBorder="1" applyProtection="1"/>
    <xf numFmtId="0" fontId="93" fillId="42" borderId="105" xfId="0" applyFont="1" applyFill="1" applyBorder="1" applyProtection="1"/>
    <xf numFmtId="0" fontId="51" fillId="42" borderId="86" xfId="0" applyFont="1" applyFill="1" applyBorder="1" applyProtection="1"/>
    <xf numFmtId="0" fontId="93" fillId="42" borderId="88" xfId="0" applyFont="1" applyFill="1" applyBorder="1" applyProtection="1"/>
    <xf numFmtId="0" fontId="51" fillId="42" borderId="106" xfId="0" applyFont="1" applyFill="1" applyBorder="1" applyProtection="1"/>
    <xf numFmtId="0" fontId="51" fillId="42" borderId="107" xfId="0" applyFont="1" applyFill="1" applyBorder="1" applyProtection="1"/>
    <xf numFmtId="0" fontId="93" fillId="42" borderId="108" xfId="0" applyFont="1" applyFill="1" applyBorder="1" applyProtection="1"/>
    <xf numFmtId="0" fontId="93" fillId="42" borderId="88" xfId="0" applyFont="1" applyFill="1" applyBorder="1" applyAlignment="1"/>
    <xf numFmtId="0" fontId="93" fillId="42" borderId="108" xfId="0" applyFont="1" applyFill="1" applyBorder="1" applyAlignment="1"/>
    <xf numFmtId="0" fontId="51" fillId="42" borderId="105" xfId="0" applyFont="1" applyFill="1" applyBorder="1" applyProtection="1"/>
    <xf numFmtId="0" fontId="51" fillId="42" borderId="108" xfId="0" applyFont="1" applyFill="1" applyBorder="1" applyProtection="1"/>
    <xf numFmtId="0" fontId="51" fillId="42" borderId="0" xfId="43" applyFont="1" applyFill="1" applyBorder="1" applyAlignment="1">
      <alignment horizontal="left" vertical="center"/>
    </xf>
    <xf numFmtId="0" fontId="51" fillId="42" borderId="109" xfId="43" applyFont="1" applyFill="1" applyBorder="1" applyAlignment="1">
      <alignment horizontal="left"/>
    </xf>
    <xf numFmtId="0" fontId="51" fillId="42" borderId="102" xfId="43" applyFont="1" applyFill="1" applyBorder="1" applyAlignment="1">
      <alignment horizontal="left"/>
    </xf>
    <xf numFmtId="0" fontId="51" fillId="42" borderId="110" xfId="43" applyFont="1" applyFill="1" applyBorder="1"/>
    <xf numFmtId="0" fontId="51" fillId="42" borderId="109" xfId="43" applyFont="1" applyFill="1" applyBorder="1"/>
    <xf numFmtId="0" fontId="51" fillId="42" borderId="109" xfId="0" applyFont="1" applyFill="1" applyBorder="1"/>
    <xf numFmtId="0" fontId="51" fillId="42" borderId="110" xfId="0" applyFont="1" applyFill="1" applyBorder="1"/>
    <xf numFmtId="0" fontId="90" fillId="36" borderId="0" xfId="0" applyFont="1" applyFill="1" applyBorder="1" applyAlignment="1">
      <alignment horizontal="left"/>
    </xf>
    <xf numFmtId="0" fontId="92" fillId="36" borderId="0" xfId="0" applyFont="1" applyFill="1" applyBorder="1"/>
    <xf numFmtId="0" fontId="90" fillId="36" borderId="0" xfId="0" applyFont="1" applyFill="1" applyBorder="1" applyAlignment="1">
      <alignment horizontal="right"/>
    </xf>
    <xf numFmtId="0" fontId="90" fillId="36" borderId="0" xfId="0" applyFont="1" applyFill="1" applyBorder="1" applyAlignment="1" applyProtection="1">
      <alignment horizontal="right"/>
      <protection locked="0" hidden="1"/>
    </xf>
    <xf numFmtId="0" fontId="90" fillId="36" borderId="0" xfId="42" applyFont="1" applyFill="1" applyBorder="1"/>
    <xf numFmtId="0" fontId="90" fillId="36" borderId="0" xfId="42" applyFont="1" applyFill="1"/>
    <xf numFmtId="0" fontId="90" fillId="36" borderId="36" xfId="0" applyFont="1" applyFill="1" applyBorder="1" applyProtection="1"/>
    <xf numFmtId="0" fontId="90" fillId="36" borderId="37" xfId="0" applyFont="1" applyFill="1" applyBorder="1" applyProtection="1"/>
    <xf numFmtId="0" fontId="90" fillId="36" borderId="36" xfId="0" applyFont="1" applyFill="1" applyBorder="1" applyAlignment="1" applyProtection="1">
      <alignment horizontal="right"/>
    </xf>
    <xf numFmtId="0" fontId="90" fillId="36" borderId="0" xfId="0" applyFont="1" applyFill="1" applyAlignment="1">
      <alignment horizontal="left" vertical="center"/>
    </xf>
    <xf numFmtId="0" fontId="90" fillId="36" borderId="0" xfId="43" applyFont="1" applyFill="1" applyBorder="1"/>
    <xf numFmtId="0" fontId="90" fillId="36" borderId="0" xfId="43" applyFont="1" applyFill="1"/>
    <xf numFmtId="0" fontId="90" fillId="37" borderId="0" xfId="0" applyFont="1" applyFill="1" applyProtection="1">
      <protection locked="0"/>
    </xf>
    <xf numFmtId="14" fontId="90" fillId="37" borderId="0" xfId="0" applyNumberFormat="1" applyFont="1" applyFill="1"/>
    <xf numFmtId="0" fontId="90" fillId="37" borderId="0" xfId="0" applyFont="1" applyFill="1" applyAlignment="1">
      <alignment horizontal="left"/>
    </xf>
    <xf numFmtId="14" fontId="90" fillId="37" borderId="0" xfId="0" applyNumberFormat="1" applyFont="1" applyFill="1" applyAlignment="1">
      <alignment horizontal="left"/>
    </xf>
    <xf numFmtId="0" fontId="90" fillId="37" borderId="0" xfId="0" applyFont="1" applyFill="1" applyAlignment="1">
      <alignment horizontal="right"/>
    </xf>
    <xf numFmtId="0" fontId="90" fillId="37" borderId="0" xfId="0" applyFont="1" applyFill="1" applyBorder="1" applyProtection="1">
      <protection locked="0"/>
    </xf>
    <xf numFmtId="0" fontId="92" fillId="37" borderId="0" xfId="0" applyFont="1" applyFill="1" applyBorder="1"/>
    <xf numFmtId="0" fontId="90" fillId="37" borderId="0" xfId="0" applyFont="1" applyFill="1" applyAlignment="1" applyProtection="1">
      <alignment horizontal="left"/>
    </xf>
    <xf numFmtId="0" fontId="90" fillId="37" borderId="0" xfId="0" applyFont="1" applyFill="1" applyBorder="1" applyAlignment="1" applyProtection="1">
      <alignment horizontal="left"/>
    </xf>
    <xf numFmtId="165" fontId="90" fillId="37" borderId="0" xfId="0" applyNumberFormat="1" applyFont="1" applyFill="1" applyBorder="1" applyAlignment="1" applyProtection="1">
      <alignment horizontal="left"/>
    </xf>
    <xf numFmtId="166" fontId="90" fillId="37" borderId="0" xfId="0" applyNumberFormat="1" applyFont="1" applyFill="1" applyBorder="1" applyAlignment="1" applyProtection="1">
      <alignment horizontal="left"/>
    </xf>
    <xf numFmtId="0" fontId="90" fillId="37" borderId="0" xfId="0" applyFont="1" applyFill="1" applyBorder="1" applyAlignment="1" applyProtection="1">
      <alignment horizontal="center"/>
    </xf>
    <xf numFmtId="0" fontId="90" fillId="37" borderId="0" xfId="43" applyFont="1" applyFill="1"/>
    <xf numFmtId="0" fontId="90" fillId="37" borderId="0" xfId="43" applyFont="1" applyFill="1" applyBorder="1" applyAlignment="1">
      <alignment horizontal="left"/>
    </xf>
    <xf numFmtId="15" fontId="90" fillId="37" borderId="0" xfId="43" applyNumberFormat="1" applyFont="1" applyFill="1" applyBorder="1" applyAlignment="1">
      <alignment horizontal="left"/>
    </xf>
    <xf numFmtId="15" fontId="90" fillId="37" borderId="0" xfId="43" applyNumberFormat="1" applyFont="1" applyFill="1" applyBorder="1" applyAlignment="1" applyProtection="1">
      <alignment horizontal="left"/>
      <protection locked="0"/>
    </xf>
    <xf numFmtId="0" fontId="90" fillId="37" borderId="0" xfId="43" applyFont="1" applyFill="1" applyAlignment="1">
      <alignment horizontal="left"/>
    </xf>
    <xf numFmtId="0" fontId="90" fillId="37" borderId="0" xfId="43" applyFont="1" applyFill="1" applyBorder="1" applyAlignment="1" applyProtection="1">
      <alignment horizontal="left"/>
      <protection locked="0"/>
    </xf>
    <xf numFmtId="1" fontId="90" fillId="37" borderId="0" xfId="43" applyNumberFormat="1" applyFont="1" applyFill="1" applyBorder="1" applyAlignment="1">
      <alignment horizontal="left"/>
    </xf>
    <xf numFmtId="0" fontId="90" fillId="38" borderId="0" xfId="0" applyFont="1" applyFill="1" applyBorder="1" applyAlignment="1" applyProtection="1">
      <alignment horizontal="center"/>
    </xf>
    <xf numFmtId="0" fontId="90" fillId="38" borderId="0" xfId="0" applyFont="1" applyFill="1" applyProtection="1">
      <protection locked="0"/>
    </xf>
    <xf numFmtId="0" fontId="92" fillId="38" borderId="0" xfId="0" applyFont="1" applyFill="1"/>
    <xf numFmtId="0" fontId="94" fillId="38" borderId="0" xfId="0" applyFont="1" applyFill="1" applyBorder="1"/>
    <xf numFmtId="49" fontId="90" fillId="38" borderId="0" xfId="0" applyNumberFormat="1" applyFont="1" applyFill="1" applyBorder="1" applyAlignment="1">
      <alignment horizontal="left" vertical="top" wrapText="1"/>
    </xf>
    <xf numFmtId="0" fontId="90" fillId="38" borderId="0" xfId="0" applyFont="1" applyFill="1" applyBorder="1" applyAlignment="1">
      <alignment horizontal="left"/>
    </xf>
    <xf numFmtId="0" fontId="90" fillId="38" borderId="0" xfId="0" applyFont="1" applyFill="1" applyBorder="1" applyAlignment="1"/>
    <xf numFmtId="1" fontId="90" fillId="38" borderId="0" xfId="0" applyNumberFormat="1" applyFont="1" applyFill="1" applyBorder="1" applyAlignment="1">
      <alignment horizontal="left"/>
    </xf>
    <xf numFmtId="0" fontId="90" fillId="38" borderId="0" xfId="0" applyFont="1" applyFill="1" applyBorder="1" applyProtection="1">
      <protection locked="0" hidden="1"/>
    </xf>
    <xf numFmtId="0" fontId="90" fillId="38" borderId="0" xfId="42" applyFont="1" applyFill="1" applyBorder="1"/>
    <xf numFmtId="172" fontId="90" fillId="38" borderId="0" xfId="42" applyNumberFormat="1" applyFont="1" applyFill="1" applyBorder="1" applyAlignment="1">
      <alignment horizontal="left"/>
    </xf>
    <xf numFmtId="0" fontId="90" fillId="38" borderId="0" xfId="42" applyFont="1" applyFill="1" applyBorder="1" applyAlignment="1">
      <alignment horizontal="left"/>
    </xf>
    <xf numFmtId="0" fontId="90" fillId="38" borderId="0" xfId="42" applyFont="1" applyFill="1"/>
    <xf numFmtId="0" fontId="90" fillId="38" borderId="0" xfId="43" applyFont="1" applyFill="1"/>
    <xf numFmtId="0" fontId="90" fillId="38" borderId="0" xfId="43" applyFont="1" applyFill="1" applyBorder="1"/>
    <xf numFmtId="0" fontId="90" fillId="38" borderId="0" xfId="43" applyFont="1" applyFill="1" applyAlignment="1">
      <alignment vertical="top" wrapText="1"/>
    </xf>
    <xf numFmtId="0" fontId="90" fillId="38" borderId="0" xfId="43" applyFont="1" applyFill="1" applyAlignment="1">
      <alignment horizontal="left" vertical="top"/>
    </xf>
    <xf numFmtId="0" fontId="90" fillId="39" borderId="0" xfId="43" applyFont="1" applyFill="1"/>
    <xf numFmtId="0" fontId="91" fillId="40" borderId="0" xfId="42" applyFont="1" applyFill="1" applyBorder="1"/>
    <xf numFmtId="0" fontId="91" fillId="40" borderId="0" xfId="42" applyFont="1" applyFill="1"/>
    <xf numFmtId="20" fontId="10" fillId="0" borderId="0" xfId="0" quotePrefix="1" applyNumberFormat="1" applyFont="1"/>
    <xf numFmtId="2" fontId="20" fillId="0" borderId="0" xfId="42" applyNumberFormat="1" applyFont="1"/>
    <xf numFmtId="0" fontId="0" fillId="0" borderId="0" xfId="0" applyAlignment="1"/>
    <xf numFmtId="0" fontId="51" fillId="42" borderId="86" xfId="0" applyFont="1" applyFill="1" applyBorder="1" applyAlignment="1"/>
    <xf numFmtId="0" fontId="51" fillId="42" borderId="87" xfId="0" applyFont="1" applyFill="1" applyBorder="1" applyAlignment="1"/>
    <xf numFmtId="0" fontId="51" fillId="42" borderId="83" xfId="0" applyFont="1" applyFill="1" applyBorder="1" applyAlignment="1"/>
    <xf numFmtId="0" fontId="51" fillId="42" borderId="84" xfId="0" applyFont="1" applyFill="1" applyBorder="1" applyAlignment="1"/>
    <xf numFmtId="0" fontId="51" fillId="42" borderId="89" xfId="0" applyFont="1" applyFill="1" applyBorder="1" applyAlignment="1"/>
    <xf numFmtId="0" fontId="51" fillId="42" borderId="90" xfId="0" applyFont="1" applyFill="1" applyBorder="1" applyAlignment="1"/>
    <xf numFmtId="0" fontId="51" fillId="42" borderId="0" xfId="0" applyFont="1" applyFill="1" applyBorder="1" applyAlignment="1">
      <alignment horizontal="left" vertical="top" wrapText="1"/>
    </xf>
    <xf numFmtId="0" fontId="21" fillId="35" borderId="0" xfId="0" applyFont="1" applyFill="1" applyBorder="1" applyAlignment="1">
      <alignment horizontal="left" vertical="top" wrapText="1"/>
    </xf>
    <xf numFmtId="0" fontId="90" fillId="37" borderId="0" xfId="0" applyFont="1" applyFill="1" applyProtection="1"/>
    <xf numFmtId="0" fontId="51" fillId="42" borderId="0" xfId="0" applyFont="1" applyFill="1" applyBorder="1" applyAlignment="1" applyProtection="1">
      <alignment horizontal="left"/>
      <protection locked="0"/>
    </xf>
    <xf numFmtId="0" fontId="21" fillId="35" borderId="0" xfId="0" applyFont="1" applyFill="1" applyBorder="1" applyAlignment="1" applyProtection="1">
      <alignment horizontal="left"/>
      <protection locked="0"/>
    </xf>
    <xf numFmtId="0" fontId="86" fillId="35" borderId="0" xfId="0" applyFont="1" applyFill="1" applyBorder="1" applyAlignment="1">
      <alignment horizontal="center" vertical="top"/>
    </xf>
    <xf numFmtId="0" fontId="51" fillId="42" borderId="0" xfId="0" applyFont="1" applyFill="1" applyBorder="1" applyAlignment="1">
      <alignment horizontal="left"/>
    </xf>
    <xf numFmtId="0" fontId="21" fillId="35" borderId="0" xfId="0" applyFont="1" applyFill="1" applyBorder="1" applyAlignment="1">
      <alignment horizontal="left"/>
    </xf>
    <xf numFmtId="0" fontId="90" fillId="37" borderId="0" xfId="0" applyFont="1" applyFill="1" applyBorder="1" applyAlignment="1">
      <alignment horizontal="left" vertical="top" wrapText="1"/>
    </xf>
    <xf numFmtId="0" fontId="51" fillId="42" borderId="0" xfId="42" applyFont="1" applyFill="1" applyBorder="1" applyAlignment="1">
      <alignment horizontal="left" vertical="top"/>
    </xf>
    <xf numFmtId="0" fontId="10" fillId="35" borderId="0" xfId="42" applyFont="1" applyFill="1" applyAlignment="1">
      <alignment horizontal="left" vertical="top"/>
    </xf>
    <xf numFmtId="0" fontId="51" fillId="42" borderId="0" xfId="43" applyFont="1" applyFill="1" applyBorder="1" applyAlignment="1">
      <alignment horizontal="left" vertical="top"/>
    </xf>
    <xf numFmtId="0" fontId="10" fillId="35" borderId="0" xfId="43" applyFill="1" applyBorder="1" applyAlignment="1">
      <alignment horizontal="left" vertical="top"/>
    </xf>
    <xf numFmtId="0" fontId="90" fillId="38" borderId="0" xfId="0" applyFont="1" applyFill="1" applyBorder="1" applyAlignment="1">
      <alignment vertical="top" wrapText="1"/>
    </xf>
    <xf numFmtId="0" fontId="90" fillId="38" borderId="0" xfId="0" applyFont="1" applyFill="1" applyBorder="1" applyAlignment="1">
      <alignment horizontal="left" vertical="top" wrapText="1"/>
    </xf>
    <xf numFmtId="0" fontId="21" fillId="35" borderId="0" xfId="0" applyFont="1" applyFill="1" applyBorder="1" applyAlignment="1">
      <alignment wrapText="1"/>
    </xf>
    <xf numFmtId="0" fontId="51" fillId="42" borderId="87" xfId="0" applyFont="1" applyFill="1" applyBorder="1" applyAlignment="1" applyProtection="1">
      <alignment horizontal="left" vertical="center" wrapText="1"/>
    </xf>
    <xf numFmtId="0" fontId="51" fillId="42" borderId="107" xfId="0" applyFont="1" applyFill="1" applyBorder="1" applyAlignment="1" applyProtection="1">
      <alignment horizontal="left" vertical="center" wrapText="1"/>
    </xf>
    <xf numFmtId="0" fontId="20" fillId="0" borderId="0" xfId="0" applyFont="1" applyFill="1" applyBorder="1" applyAlignment="1">
      <alignment horizontal="left" vertical="top" wrapText="1"/>
    </xf>
    <xf numFmtId="0" fontId="20" fillId="0" borderId="0" xfId="0" applyFont="1" applyBorder="1" applyAlignment="1">
      <alignment horizontal="left" vertical="top" wrapText="1"/>
    </xf>
    <xf numFmtId="0" fontId="20" fillId="0" borderId="23" xfId="0" applyFont="1" applyBorder="1" applyAlignment="1">
      <alignment horizontal="left" vertical="top" wrapText="1"/>
    </xf>
    <xf numFmtId="0" fontId="20" fillId="0" borderId="0" xfId="0" applyFont="1" applyAlignment="1">
      <alignment horizontal="left" vertical="top" wrapText="1"/>
    </xf>
    <xf numFmtId="0" fontId="20" fillId="0" borderId="0" xfId="0" applyFont="1" applyFill="1" applyBorder="1" applyAlignment="1">
      <alignment horizontal="left"/>
    </xf>
    <xf numFmtId="0" fontId="20" fillId="0" borderId="0" xfId="0" applyFont="1" applyFill="1" applyBorder="1" applyAlignment="1">
      <alignment horizontal="left" vertical="top" shrinkToFit="1"/>
    </xf>
    <xf numFmtId="0" fontId="20" fillId="0" borderId="0" xfId="0" applyFont="1" applyBorder="1" applyAlignment="1">
      <alignment shrinkToFit="1"/>
    </xf>
    <xf numFmtId="0" fontId="20" fillId="0" borderId="23" xfId="0" applyFont="1" applyFill="1" applyBorder="1" applyAlignment="1" applyProtection="1">
      <alignment horizontal="left" shrinkToFit="1"/>
      <protection locked="0"/>
    </xf>
    <xf numFmtId="0" fontId="20" fillId="0" borderId="23" xfId="0" applyFont="1" applyBorder="1" applyAlignment="1">
      <alignment shrinkToFit="1"/>
    </xf>
    <xf numFmtId="0" fontId="20" fillId="0" borderId="22" xfId="0" applyFont="1" applyFill="1" applyBorder="1" applyAlignment="1">
      <alignment horizontal="left" vertical="top" shrinkToFit="1"/>
    </xf>
    <xf numFmtId="0" fontId="20" fillId="0" borderId="22" xfId="0" applyFont="1" applyBorder="1" applyAlignment="1">
      <alignment shrinkToFit="1"/>
    </xf>
    <xf numFmtId="0" fontId="20" fillId="0" borderId="0" xfId="0" applyFont="1" applyAlignment="1">
      <alignment shrinkToFit="1"/>
    </xf>
    <xf numFmtId="0" fontId="20" fillId="0" borderId="0" xfId="0" applyFont="1" applyBorder="1" applyAlignment="1">
      <alignment horizontal="left" vertical="top" shrinkToFit="1"/>
    </xf>
    <xf numFmtId="0" fontId="20" fillId="0" borderId="28" xfId="0" applyFont="1" applyFill="1" applyBorder="1" applyAlignment="1">
      <alignment horizontal="left" wrapText="1"/>
    </xf>
    <xf numFmtId="0" fontId="20" fillId="0" borderId="29" xfId="0" applyFont="1" applyFill="1" applyBorder="1" applyAlignment="1">
      <alignment horizontal="left" wrapText="1"/>
    </xf>
    <xf numFmtId="0" fontId="21" fillId="0" borderId="13" xfId="0" applyFont="1" applyBorder="1" applyAlignment="1"/>
    <xf numFmtId="15" fontId="0" fillId="0" borderId="40" xfId="0" applyNumberFormat="1" applyBorder="1" applyAlignment="1"/>
    <xf numFmtId="15" fontId="0" fillId="0" borderId="40" xfId="0" applyNumberFormat="1" applyBorder="1" applyAlignment="1">
      <alignment horizontal="left"/>
    </xf>
    <xf numFmtId="0" fontId="26" fillId="0" borderId="10" xfId="0" applyFont="1" applyBorder="1" applyAlignment="1">
      <alignment vertical="top" wrapText="1"/>
    </xf>
    <xf numFmtId="0" fontId="26" fillId="0" borderId="11" xfId="0" applyFont="1" applyBorder="1" applyAlignment="1">
      <alignment vertical="top" wrapText="1"/>
    </xf>
    <xf numFmtId="0" fontId="26" fillId="0" borderId="12" xfId="0" applyFont="1" applyBorder="1" applyAlignment="1">
      <alignment vertical="top" wrapText="1"/>
    </xf>
    <xf numFmtId="0" fontId="21" fillId="0" borderId="30" xfId="0" applyFont="1" applyBorder="1" applyAlignment="1">
      <alignment horizontal="center" vertical="top" wrapText="1"/>
    </xf>
    <xf numFmtId="0" fontId="21" fillId="0" borderId="31" xfId="0" applyFont="1" applyBorder="1" applyAlignment="1">
      <alignment horizontal="center" vertical="top" wrapText="1"/>
    </xf>
    <xf numFmtId="0" fontId="21" fillId="0" borderId="30" xfId="0" applyFont="1" applyBorder="1" applyAlignment="1">
      <alignment vertical="top" wrapText="1"/>
    </xf>
    <xf numFmtId="0" fontId="21" fillId="0" borderId="31" xfId="0" applyFont="1" applyBorder="1" applyAlignment="1">
      <alignment vertical="top" wrapText="1"/>
    </xf>
    <xf numFmtId="0" fontId="26" fillId="0" borderId="41" xfId="0" applyFont="1" applyBorder="1" applyAlignment="1">
      <alignment horizontal="center" vertical="top" wrapText="1"/>
    </xf>
    <xf numFmtId="0" fontId="26" fillId="0" borderId="26" xfId="0" applyFont="1" applyBorder="1" applyAlignment="1">
      <alignment horizontal="center" vertical="top" wrapText="1"/>
    </xf>
    <xf numFmtId="0" fontId="21" fillId="0" borderId="22" xfId="0" applyFont="1" applyBorder="1" applyAlignment="1">
      <alignment horizontal="right" vertical="top" wrapText="1"/>
    </xf>
    <xf numFmtId="0" fontId="26" fillId="0" borderId="11" xfId="0" applyFont="1" applyBorder="1" applyAlignment="1">
      <alignment horizontal="left" vertical="center" wrapText="1"/>
    </xf>
    <xf numFmtId="0" fontId="26" fillId="0" borderId="12" xfId="0" applyFont="1" applyBorder="1" applyAlignment="1">
      <alignment horizontal="left" vertical="center" wrapText="1"/>
    </xf>
    <xf numFmtId="0" fontId="26" fillId="0" borderId="22" xfId="0" applyFont="1" applyBorder="1" applyAlignment="1">
      <alignment horizontal="right" vertical="top" wrapText="1"/>
    </xf>
    <xf numFmtId="0" fontId="26" fillId="0" borderId="42" xfId="0" applyFont="1" applyBorder="1" applyAlignment="1">
      <alignment vertical="top" wrapText="1"/>
    </xf>
    <xf numFmtId="0" fontId="26" fillId="0" borderId="43" xfId="0" applyFont="1" applyBorder="1" applyAlignment="1">
      <alignment vertical="top" wrapText="1"/>
    </xf>
    <xf numFmtId="0" fontId="26" fillId="0" borderId="20" xfId="0" applyFont="1" applyBorder="1" applyAlignment="1">
      <alignment vertical="top" wrapText="1"/>
    </xf>
    <xf numFmtId="0" fontId="21" fillId="0" borderId="42" xfId="0" applyFont="1" applyBorder="1" applyAlignment="1">
      <alignment horizontal="center" vertical="top" wrapText="1"/>
    </xf>
    <xf numFmtId="0" fontId="21" fillId="0" borderId="43" xfId="0" applyFont="1" applyBorder="1" applyAlignment="1">
      <alignment horizontal="center" vertical="top" wrapText="1"/>
    </xf>
    <xf numFmtId="0" fontId="21" fillId="0" borderId="20" xfId="0" applyFont="1" applyBorder="1" applyAlignment="1">
      <alignment horizontal="center" vertical="top" wrapText="1"/>
    </xf>
    <xf numFmtId="0" fontId="21" fillId="0" borderId="25" xfId="0" applyFont="1" applyBorder="1" applyAlignment="1">
      <alignment vertical="top" wrapText="1"/>
    </xf>
    <xf numFmtId="0" fontId="21" fillId="0" borderId="16" xfId="0" applyFont="1" applyBorder="1" applyAlignment="1">
      <alignment vertical="top" wrapText="1"/>
    </xf>
    <xf numFmtId="0" fontId="21" fillId="0" borderId="22" xfId="0" applyFont="1" applyBorder="1" applyAlignment="1">
      <alignment vertical="top" wrapText="1"/>
    </xf>
    <xf numFmtId="0" fontId="21" fillId="0" borderId="23" xfId="0" applyFont="1" applyBorder="1" applyAlignment="1">
      <alignment vertical="top" wrapText="1"/>
    </xf>
    <xf numFmtId="0" fontId="12" fillId="0" borderId="22" xfId="0" applyFont="1" applyBorder="1" applyAlignment="1">
      <alignment vertical="top" wrapText="1"/>
    </xf>
    <xf numFmtId="0" fontId="12" fillId="0" borderId="23" xfId="0" applyFont="1" applyBorder="1" applyAlignment="1">
      <alignment vertical="top" wrapText="1"/>
    </xf>
    <xf numFmtId="0" fontId="21" fillId="0" borderId="41" xfId="0" applyFont="1" applyBorder="1" applyAlignment="1">
      <alignment horizontal="center" vertical="top" wrapText="1"/>
    </xf>
    <xf numFmtId="0" fontId="21" fillId="0" borderId="26" xfId="0" applyFont="1" applyBorder="1" applyAlignment="1">
      <alignment horizontal="center" vertical="top" wrapText="1"/>
    </xf>
    <xf numFmtId="0" fontId="26" fillId="0" borderId="11" xfId="0" applyFont="1" applyBorder="1" applyAlignment="1">
      <alignment vertical="center" wrapText="1"/>
    </xf>
    <xf numFmtId="0" fontId="26" fillId="0" borderId="12" xfId="0" applyFont="1" applyBorder="1" applyAlignment="1">
      <alignment vertical="center" wrapText="1"/>
    </xf>
    <xf numFmtId="0" fontId="22" fillId="0" borderId="42" xfId="0" applyFont="1" applyBorder="1" applyAlignment="1">
      <alignment vertical="top" wrapText="1"/>
    </xf>
    <xf numFmtId="0" fontId="22" fillId="0" borderId="43" xfId="0" applyFont="1" applyBorder="1" applyAlignment="1">
      <alignment vertical="top" wrapText="1"/>
    </xf>
    <xf numFmtId="0" fontId="22" fillId="0" borderId="20" xfId="0" applyFont="1" applyBorder="1" applyAlignment="1">
      <alignment vertical="top" wrapText="1"/>
    </xf>
    <xf numFmtId="0" fontId="22" fillId="0" borderId="10" xfId="0" applyFont="1" applyBorder="1" applyAlignment="1">
      <alignment vertical="top" wrapText="1"/>
    </xf>
    <xf numFmtId="0" fontId="22" fillId="0" borderId="11" xfId="0" applyFont="1" applyBorder="1" applyAlignment="1">
      <alignment vertical="top" wrapText="1"/>
    </xf>
    <xf numFmtId="0" fontId="22" fillId="0" borderId="12" xfId="0" applyFont="1" applyBorder="1" applyAlignment="1">
      <alignment vertical="top" wrapText="1"/>
    </xf>
    <xf numFmtId="0" fontId="26" fillId="0" borderId="10" xfId="0" applyFont="1" applyBorder="1" applyAlignment="1">
      <alignment vertical="center"/>
    </xf>
    <xf numFmtId="0" fontId="26" fillId="0" borderId="11" xfId="0" applyFont="1" applyBorder="1" applyAlignment="1">
      <alignment vertical="center"/>
    </xf>
    <xf numFmtId="0" fontId="88" fillId="34" borderId="0" xfId="42" applyFont="1" applyFill="1" applyAlignment="1">
      <alignment horizontal="center" vertical="center"/>
    </xf>
    <xf numFmtId="0" fontId="14" fillId="0" borderId="0" xfId="0" applyFont="1" applyFill="1" applyBorder="1" applyAlignment="1">
      <alignment horizontal="left" vertical="top" wrapText="1"/>
    </xf>
    <xf numFmtId="0" fontId="14" fillId="0" borderId="23" xfId="0" applyFont="1" applyFill="1" applyBorder="1" applyAlignment="1">
      <alignment horizontal="left" vertical="top" wrapText="1"/>
    </xf>
    <xf numFmtId="15" fontId="12" fillId="0" borderId="0" xfId="42" applyNumberFormat="1" applyFont="1" applyFill="1" applyAlignment="1">
      <alignment horizontal="left"/>
    </xf>
    <xf numFmtId="21" fontId="10" fillId="0" borderId="0" xfId="42" applyNumberFormat="1" applyFill="1" applyAlignment="1">
      <alignment horizontal="left"/>
    </xf>
    <xf numFmtId="0" fontId="10" fillId="0" borderId="57" xfId="42" applyFill="1" applyBorder="1" applyAlignment="1">
      <alignment horizontal="left" wrapText="1"/>
    </xf>
    <xf numFmtId="0" fontId="10" fillId="0" borderId="58" xfId="42" applyFill="1" applyBorder="1" applyAlignment="1">
      <alignment horizontal="left" wrapText="1"/>
    </xf>
    <xf numFmtId="0" fontId="10" fillId="0" borderId="0" xfId="42" applyAlignment="1">
      <alignment wrapText="1"/>
    </xf>
    <xf numFmtId="0" fontId="12" fillId="0" borderId="0" xfId="42" applyFont="1" applyAlignment="1">
      <alignment wrapText="1"/>
    </xf>
    <xf numFmtId="0" fontId="12" fillId="29" borderId="0" xfId="42" applyFont="1" applyFill="1" applyAlignment="1">
      <alignment horizontal="center"/>
    </xf>
    <xf numFmtId="0" fontId="12" fillId="27" borderId="0" xfId="42" applyFont="1" applyFill="1" applyAlignment="1">
      <alignment horizontal="center"/>
    </xf>
    <xf numFmtId="0" fontId="12" fillId="28" borderId="0" xfId="42" applyFont="1" applyFill="1" applyAlignment="1">
      <alignment horizontal="center"/>
    </xf>
    <xf numFmtId="0" fontId="10" fillId="0" borderId="0" xfId="0" applyFont="1" applyFill="1" applyAlignment="1">
      <alignment horizontal="left" vertical="top" wrapText="1"/>
    </xf>
    <xf numFmtId="0" fontId="21" fillId="0" borderId="0" xfId="0" applyFont="1" applyFill="1" applyBorder="1" applyAlignment="1" applyProtection="1">
      <alignment horizontal="left" vertical="center" wrapText="1"/>
    </xf>
    <xf numFmtId="0" fontId="21" fillId="0" borderId="37" xfId="0" applyFont="1" applyFill="1" applyBorder="1" applyAlignment="1" applyProtection="1">
      <alignment horizontal="left" vertical="center" wrapText="1"/>
    </xf>
    <xf numFmtId="0" fontId="12" fillId="0" borderId="23" xfId="42" applyFont="1" applyBorder="1" applyAlignment="1">
      <alignment horizontal="left"/>
    </xf>
    <xf numFmtId="14" fontId="10" fillId="0" borderId="0" xfId="42" applyNumberFormat="1" applyAlignment="1"/>
    <xf numFmtId="0" fontId="10" fillId="0" borderId="0" xfId="42" applyAlignment="1"/>
    <xf numFmtId="0" fontId="12" fillId="0" borderId="0" xfId="42" applyFont="1" applyAlignment="1">
      <alignment horizontal="left"/>
    </xf>
    <xf numFmtId="166" fontId="12" fillId="0" borderId="0" xfId="42" applyNumberFormat="1" applyFont="1" applyAlignment="1">
      <alignment horizontal="left"/>
    </xf>
    <xf numFmtId="166" fontId="10" fillId="0" borderId="0" xfId="42" applyNumberFormat="1" applyAlignment="1">
      <alignment horizontal="left"/>
    </xf>
    <xf numFmtId="2" fontId="10" fillId="0" borderId="0" xfId="42" applyNumberFormat="1" applyAlignment="1"/>
    <xf numFmtId="0" fontId="10" fillId="0" borderId="15" xfId="42" applyBorder="1" applyAlignment="1"/>
    <xf numFmtId="15" fontId="12" fillId="0" borderId="0" xfId="42" applyNumberFormat="1" applyFont="1" applyAlignment="1">
      <alignment horizontal="center"/>
    </xf>
    <xf numFmtId="21" fontId="10" fillId="0" borderId="0" xfId="42" applyNumberFormat="1" applyAlignment="1">
      <alignment horizontal="left"/>
    </xf>
    <xf numFmtId="14" fontId="20" fillId="0" borderId="0" xfId="42" applyNumberFormat="1" applyFont="1" applyAlignment="1">
      <alignment horizontal="left"/>
    </xf>
    <xf numFmtId="0" fontId="10" fillId="0" borderId="0" xfId="42" applyAlignment="1">
      <alignment horizontal="left"/>
    </xf>
    <xf numFmtId="0" fontId="76" fillId="0" borderId="0" xfId="42" applyFont="1" applyFill="1" applyBorder="1"/>
    <xf numFmtId="167" fontId="76" fillId="0" borderId="0" xfId="42" applyNumberFormat="1" applyFont="1" applyFill="1" applyBorder="1"/>
    <xf numFmtId="0" fontId="76" fillId="0" borderId="0" xfId="131" applyFont="1" applyFill="1" applyBorder="1"/>
    <xf numFmtId="167" fontId="76" fillId="0" borderId="0" xfId="132" applyNumberFormat="1" applyFont="1" applyFill="1" applyBorder="1"/>
    <xf numFmtId="0" fontId="76" fillId="0" borderId="0" xfId="132" applyFont="1" applyFill="1" applyBorder="1"/>
    <xf numFmtId="0" fontId="76" fillId="0" borderId="0" xfId="42" applyFont="1" applyFill="1" applyBorder="1" applyAlignment="1">
      <alignment horizontal="right"/>
    </xf>
    <xf numFmtId="167" fontId="76" fillId="0" borderId="0" xfId="132" applyNumberFormat="1" applyFont="1" applyFill="1" applyBorder="1" applyAlignment="1">
      <alignment horizontal="right"/>
    </xf>
    <xf numFmtId="0" fontId="76" fillId="0" borderId="0" xfId="132" applyFont="1" applyFill="1" applyBorder="1" applyAlignment="1">
      <alignment horizontal="right"/>
    </xf>
    <xf numFmtId="2" fontId="76" fillId="0" borderId="0" xfId="42" applyNumberFormat="1" applyFont="1" applyFill="1" applyBorder="1"/>
    <xf numFmtId="1" fontId="76" fillId="0" borderId="0" xfId="42" applyNumberFormat="1" applyFont="1" applyFill="1" applyBorder="1"/>
    <xf numFmtId="0" fontId="0" fillId="0" borderId="0" xfId="0" applyBorder="1" applyAlignment="1">
      <alignment horizontal="center"/>
    </xf>
    <xf numFmtId="0" fontId="0" fillId="0" borderId="0" xfId="0" applyFill="1" applyAlignment="1">
      <alignment horizontal="left"/>
    </xf>
    <xf numFmtId="0" fontId="12" fillId="0" borderId="0" xfId="0" applyFont="1" applyFill="1"/>
    <xf numFmtId="0" fontId="10" fillId="0" borderId="0" xfId="0" applyFont="1" applyFill="1" applyProtection="1">
      <protection locked="0"/>
    </xf>
    <xf numFmtId="0" fontId="74" fillId="0" borderId="0" xfId="44" applyFont="1" applyFill="1"/>
    <xf numFmtId="0" fontId="10" fillId="0" borderId="0" xfId="44" applyFont="1" applyFill="1"/>
    <xf numFmtId="0" fontId="0" fillId="0" borderId="0" xfId="0" applyBorder="1"/>
    <xf numFmtId="0" fontId="10" fillId="0" borderId="0" xfId="0" applyFont="1" applyFill="1" applyAlignment="1">
      <alignment horizontal="left"/>
    </xf>
  </cellXfs>
  <cellStyles count="208">
    <cellStyle name="20% - Accent1" xfId="1" builtinId="30" customBuiltin="1"/>
    <cellStyle name="20% - Accent1 2" xfId="45"/>
    <cellStyle name="20% - Accent1 3" xfId="72"/>
    <cellStyle name="20% - Accent1 4" xfId="101"/>
    <cellStyle name="20% - Accent2" xfId="2" builtinId="34" customBuiltin="1"/>
    <cellStyle name="20% - Accent2 2" xfId="46"/>
    <cellStyle name="20% - Accent2 3" xfId="73"/>
    <cellStyle name="20% - Accent2 4" xfId="102"/>
    <cellStyle name="20% - Accent3" xfId="3" builtinId="38" customBuiltin="1"/>
    <cellStyle name="20% - Accent3 2" xfId="47"/>
    <cellStyle name="20% - Accent3 3" xfId="74"/>
    <cellStyle name="20% - Accent3 4" xfId="103"/>
    <cellStyle name="20% - Accent4" xfId="4" builtinId="42" customBuiltin="1"/>
    <cellStyle name="20% - Accent4 2" xfId="48"/>
    <cellStyle name="20% - Accent4 3" xfId="75"/>
    <cellStyle name="20% - Accent4 4" xfId="104"/>
    <cellStyle name="20% - Accent5" xfId="5" builtinId="46" customBuiltin="1"/>
    <cellStyle name="20% - Accent5 2" xfId="49"/>
    <cellStyle name="20% - Accent5 3" xfId="76"/>
    <cellStyle name="20% - Accent5 4" xfId="105"/>
    <cellStyle name="20% - Accent6" xfId="6" builtinId="50" customBuiltin="1"/>
    <cellStyle name="20% - Accent6 2" xfId="50"/>
    <cellStyle name="20% - Accent6 3" xfId="77"/>
    <cellStyle name="20% - Accent6 4" xfId="106"/>
    <cellStyle name="40% - Accent1" xfId="7" builtinId="31" customBuiltin="1"/>
    <cellStyle name="40% - Accent1 2" xfId="51"/>
    <cellStyle name="40% - Accent1 3" xfId="78"/>
    <cellStyle name="40% - Accent1 4" xfId="107"/>
    <cellStyle name="40% - Accent2" xfId="8" builtinId="35" customBuiltin="1"/>
    <cellStyle name="40% - Accent2 2" xfId="52"/>
    <cellStyle name="40% - Accent2 3" xfId="79"/>
    <cellStyle name="40% - Accent2 4" xfId="108"/>
    <cellStyle name="40% - Accent3" xfId="9" builtinId="39" customBuiltin="1"/>
    <cellStyle name="40% - Accent3 2" xfId="53"/>
    <cellStyle name="40% - Accent3 3" xfId="80"/>
    <cellStyle name="40% - Accent3 4" xfId="109"/>
    <cellStyle name="40% - Accent4" xfId="10" builtinId="43" customBuiltin="1"/>
    <cellStyle name="40% - Accent4 2" xfId="54"/>
    <cellStyle name="40% - Accent4 3" xfId="81"/>
    <cellStyle name="40% - Accent4 4" xfId="110"/>
    <cellStyle name="40% - Accent5" xfId="11" builtinId="47" customBuiltin="1"/>
    <cellStyle name="40% - Accent5 2" xfId="55"/>
    <cellStyle name="40% - Accent5 3" xfId="82"/>
    <cellStyle name="40% - Accent5 4" xfId="111"/>
    <cellStyle name="40% - Accent6" xfId="12" builtinId="51" customBuiltin="1"/>
    <cellStyle name="40% - Accent6 2" xfId="56"/>
    <cellStyle name="40% - Accent6 3" xfId="83"/>
    <cellStyle name="40% - Accent6 4" xfId="112"/>
    <cellStyle name="60% - Accent1" xfId="13" builtinId="32" customBuiltin="1"/>
    <cellStyle name="60% - Accent1 2" xfId="57"/>
    <cellStyle name="60% - Accent1 3" xfId="84"/>
    <cellStyle name="60% - Accent1 4" xfId="113"/>
    <cellStyle name="60% - Accent2" xfId="14" builtinId="36" customBuiltin="1"/>
    <cellStyle name="60% - Accent2 2" xfId="58"/>
    <cellStyle name="60% - Accent2 3" xfId="85"/>
    <cellStyle name="60% - Accent2 4" xfId="114"/>
    <cellStyle name="60% - Accent3" xfId="15" builtinId="40" customBuiltin="1"/>
    <cellStyle name="60% - Accent3 2" xfId="59"/>
    <cellStyle name="60% - Accent3 3" xfId="86"/>
    <cellStyle name="60% - Accent3 4" xfId="115"/>
    <cellStyle name="60% - Accent4" xfId="16" builtinId="44" customBuiltin="1"/>
    <cellStyle name="60% - Accent4 2" xfId="60"/>
    <cellStyle name="60% - Accent4 3" xfId="87"/>
    <cellStyle name="60% - Accent4 4" xfId="116"/>
    <cellStyle name="60% - Accent5" xfId="17" builtinId="48" customBuiltin="1"/>
    <cellStyle name="60% - Accent5 2" xfId="61"/>
    <cellStyle name="60% - Accent5 3" xfId="88"/>
    <cellStyle name="60% - Accent5 4" xfId="117"/>
    <cellStyle name="60% - Accent6" xfId="18" builtinId="52" customBuiltin="1"/>
    <cellStyle name="60% - Accent6 2" xfId="62"/>
    <cellStyle name="60% - Accent6 3" xfId="89"/>
    <cellStyle name="60% - Accent6 4" xfId="118"/>
    <cellStyle name="Accent1" xfId="19" builtinId="29" customBuiltin="1"/>
    <cellStyle name="Accent1 2" xfId="63"/>
    <cellStyle name="Accent1 3" xfId="90"/>
    <cellStyle name="Accent1 4" xfId="119"/>
    <cellStyle name="Accent2" xfId="20" builtinId="33" customBuiltin="1"/>
    <cellStyle name="Accent2 2" xfId="64"/>
    <cellStyle name="Accent2 3" xfId="91"/>
    <cellStyle name="Accent2 4" xfId="120"/>
    <cellStyle name="Accent3" xfId="21" builtinId="37" customBuiltin="1"/>
    <cellStyle name="Accent3 2" xfId="65"/>
    <cellStyle name="Accent3 3" xfId="92"/>
    <cellStyle name="Accent3 4" xfId="121"/>
    <cellStyle name="Accent4" xfId="22" builtinId="41" customBuiltin="1"/>
    <cellStyle name="Accent4 2" xfId="66"/>
    <cellStyle name="Accent4 3" xfId="93"/>
    <cellStyle name="Accent4 4" xfId="122"/>
    <cellStyle name="Accent5" xfId="23" builtinId="45" customBuiltin="1"/>
    <cellStyle name="Accent5 2" xfId="67"/>
    <cellStyle name="Accent5 3" xfId="94"/>
    <cellStyle name="Accent5 4" xfId="123"/>
    <cellStyle name="Accent6" xfId="24" builtinId="49" customBuiltin="1"/>
    <cellStyle name="Accent6 2" xfId="68"/>
    <cellStyle name="Accent6 3" xfId="95"/>
    <cellStyle name="Accent6 4" xfId="124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Input" xfId="34"/>
    <cellStyle name="Linked Cell" xfId="35"/>
    <cellStyle name="Neutral" xfId="36"/>
    <cellStyle name="Normal" xfId="0" builtinId="0"/>
    <cellStyle name="Normal 2" xfId="43"/>
    <cellStyle name="Note" xfId="37"/>
    <cellStyle name="Output" xfId="38"/>
    <cellStyle name="Standaard 10" xfId="133"/>
    <cellStyle name="Standaard 10 2" xfId="152"/>
    <cellStyle name="Standaard 10 2 2" xfId="196"/>
    <cellStyle name="Standaard 10 3" xfId="177"/>
    <cellStyle name="Standaard 11" xfId="158"/>
    <cellStyle name="Standaard 11 2" xfId="202"/>
    <cellStyle name="Standaard 2" xfId="42"/>
    <cellStyle name="Standaard 3" xfId="44"/>
    <cellStyle name="Standaard 3 2" xfId="96"/>
    <cellStyle name="Standaard 3 2 2" xfId="128"/>
    <cellStyle name="Standaard 3 2 2 2" xfId="148"/>
    <cellStyle name="Standaard 3 2 2 2 2" xfId="192"/>
    <cellStyle name="Standaard 3 2 2 3" xfId="173"/>
    <cellStyle name="Standaard 3 2 3" xfId="137"/>
    <cellStyle name="Standaard 3 2 3 2" xfId="156"/>
    <cellStyle name="Standaard 3 2 3 2 2" xfId="200"/>
    <cellStyle name="Standaard 3 2 3 3" xfId="181"/>
    <cellStyle name="Standaard 3 2 4" xfId="142"/>
    <cellStyle name="Standaard 3 2 4 2" xfId="186"/>
    <cellStyle name="Standaard 3 2 5" xfId="162"/>
    <cellStyle name="Standaard 3 2 5 2" xfId="206"/>
    <cellStyle name="Standaard 3 2 6" xfId="167"/>
    <cellStyle name="Standaard 3 3" xfId="125"/>
    <cellStyle name="Standaard 3 3 2" xfId="145"/>
    <cellStyle name="Standaard 3 3 2 2" xfId="189"/>
    <cellStyle name="Standaard 3 3 3" xfId="170"/>
    <cellStyle name="Standaard 3 4" xfId="132"/>
    <cellStyle name="Standaard 3 4 2" xfId="151"/>
    <cellStyle name="Standaard 3 4 2 2" xfId="195"/>
    <cellStyle name="Standaard 3 4 3" xfId="176"/>
    <cellStyle name="Standaard 3 5" xfId="134"/>
    <cellStyle name="Standaard 3 5 2" xfId="153"/>
    <cellStyle name="Standaard 3 5 2 2" xfId="197"/>
    <cellStyle name="Standaard 3 5 3" xfId="178"/>
    <cellStyle name="Standaard 3 6" xfId="139"/>
    <cellStyle name="Standaard 3 6 2" xfId="183"/>
    <cellStyle name="Standaard 3 7" xfId="159"/>
    <cellStyle name="Standaard 3 7 2" xfId="203"/>
    <cellStyle name="Standaard 3 8" xfId="164"/>
    <cellStyle name="Standaard 4" xfId="69"/>
    <cellStyle name="Standaard 4 2" xfId="97"/>
    <cellStyle name="Standaard 4 2 2" xfId="129"/>
    <cellStyle name="Standaard 4 2 2 2" xfId="149"/>
    <cellStyle name="Standaard 4 2 2 2 2" xfId="193"/>
    <cellStyle name="Standaard 4 2 2 3" xfId="174"/>
    <cellStyle name="Standaard 4 2 3" xfId="138"/>
    <cellStyle name="Standaard 4 2 3 2" xfId="157"/>
    <cellStyle name="Standaard 4 2 3 2 2" xfId="201"/>
    <cellStyle name="Standaard 4 2 3 3" xfId="182"/>
    <cellStyle name="Standaard 4 2 4" xfId="143"/>
    <cellStyle name="Standaard 4 2 4 2" xfId="187"/>
    <cellStyle name="Standaard 4 2 5" xfId="163"/>
    <cellStyle name="Standaard 4 2 5 2" xfId="207"/>
    <cellStyle name="Standaard 4 2 6" xfId="168"/>
    <cellStyle name="Standaard 4 3" xfId="126"/>
    <cellStyle name="Standaard 4 3 2" xfId="146"/>
    <cellStyle name="Standaard 4 3 2 2" xfId="190"/>
    <cellStyle name="Standaard 4 3 3" xfId="171"/>
    <cellStyle name="Standaard 4 4" xfId="135"/>
    <cellStyle name="Standaard 4 4 2" xfId="154"/>
    <cellStyle name="Standaard 4 4 2 2" xfId="198"/>
    <cellStyle name="Standaard 4 4 3" xfId="179"/>
    <cellStyle name="Standaard 4 5" xfId="140"/>
    <cellStyle name="Standaard 4 5 2" xfId="184"/>
    <cellStyle name="Standaard 4 6" xfId="160"/>
    <cellStyle name="Standaard 4 6 2" xfId="204"/>
    <cellStyle name="Standaard 4 7" xfId="165"/>
    <cellStyle name="Standaard 5" xfId="71"/>
    <cellStyle name="Standaard 5 2" xfId="98"/>
    <cellStyle name="Standaard 6" xfId="70"/>
    <cellStyle name="Standaard 6 2" xfId="127"/>
    <cellStyle name="Standaard 6 2 2" xfId="147"/>
    <cellStyle name="Standaard 6 2 2 2" xfId="191"/>
    <cellStyle name="Standaard 6 2 3" xfId="172"/>
    <cellStyle name="Standaard 6 3" xfId="136"/>
    <cellStyle name="Standaard 6 3 2" xfId="155"/>
    <cellStyle name="Standaard 6 3 2 2" xfId="199"/>
    <cellStyle name="Standaard 6 3 3" xfId="180"/>
    <cellStyle name="Standaard 6 4" xfId="141"/>
    <cellStyle name="Standaard 6 4 2" xfId="185"/>
    <cellStyle name="Standaard 6 5" xfId="161"/>
    <cellStyle name="Standaard 6 5 2" xfId="205"/>
    <cellStyle name="Standaard 6 6" xfId="166"/>
    <cellStyle name="Standaard 7" xfId="100"/>
    <cellStyle name="Standaard 7 2" xfId="130"/>
    <cellStyle name="Standaard 8" xfId="99"/>
    <cellStyle name="Standaard 8 2" xfId="144"/>
    <cellStyle name="Standaard 8 2 2" xfId="188"/>
    <cellStyle name="Standaard 8 3" xfId="169"/>
    <cellStyle name="Standaard 9" xfId="131"/>
    <cellStyle name="Standaard 9 2" xfId="150"/>
    <cellStyle name="Standaard 9 2 2" xfId="194"/>
    <cellStyle name="Standaard 9 3" xfId="175"/>
    <cellStyle name="Title" xfId="39"/>
    <cellStyle name="Total" xfId="40"/>
    <cellStyle name="Warning Text" xfId="41"/>
  </cellStyles>
  <dxfs count="20">
    <dxf>
      <font>
        <b/>
        <i val="0"/>
        <condense val="0"/>
        <extend val="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color theme="0"/>
      </font>
      <fill>
        <patternFill>
          <bgColor rgb="FFFF0000"/>
        </patternFill>
      </fill>
    </dxf>
    <dxf>
      <fill>
        <patternFill>
          <bgColor rgb="FFFFFFCD"/>
        </patternFill>
      </fill>
    </dxf>
    <dxf>
      <fill>
        <patternFill patternType="solid">
          <bgColor rgb="FFFFFFCD"/>
        </patternFill>
      </fill>
      <border>
        <left/>
        <right/>
        <top/>
        <bottom/>
      </border>
    </dxf>
    <dxf>
      <font>
        <b/>
        <i val="0"/>
        <color theme="0"/>
      </font>
      <fill>
        <patternFill>
          <bgColor rgb="FFA40000"/>
        </patternFill>
      </fill>
    </dxf>
    <dxf>
      <font>
        <b/>
        <i/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974706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0066FF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D"/>
      <color rgb="FFA40000"/>
      <color rgb="FF5F5F5F"/>
      <color rgb="FF777777"/>
      <color rgb="FFFFFFEB"/>
      <color rgb="FFCCFFCC"/>
      <color rgb="FFFFFF99"/>
      <color rgb="FFFFFF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theme" Target="theme/theme1.xml"/><Relationship Id="rId69" Type="http://schemas.microsoft.com/office/2006/relationships/attachedToolbars" Target="attachedToolbars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/Relationships>
</file>

<file path=xl/ctrlProps/ctrlProp1.xml><?xml version="1.0" encoding="utf-8"?>
<formControlPr xmlns="http://schemas.microsoft.com/office/spreadsheetml/2009/9/main" objectType="Spin" dx="15" fmlaLink="GlobBerMedDisc!$I$2" max="13" min="1" page="10"/>
</file>

<file path=xl/ctrlProps/ctrlProp2.xml><?xml version="1.0" encoding="utf-8"?>
<formControlPr xmlns="http://schemas.microsoft.com/office/spreadsheetml/2009/9/main" objectType="Spin" dx="15" fmlaLink="GlobBerMedDisc!$G$2" max="100" page="10" val="0"/>
</file>

<file path=xl/ctrlProps/ctrlProp3.xml><?xml version="1.0" encoding="utf-8"?>
<formControlPr xmlns="http://schemas.microsoft.com/office/spreadsheetml/2009/9/main" objectType="Drop" dropStyle="combo" dx="16" fmlaLink="GlobBerMedDisc!$O$2" fmlaRange="tblMedDiscOplVl" sel="1" val="0"/>
</file>

<file path=xl/ctrlProps/ctrlProp4.xml><?xml version="1.0" encoding="utf-8"?>
<formControlPr xmlns="http://schemas.microsoft.com/office/spreadsheetml/2009/9/main" objectType="Spin" dx="15" fmlaLink="GlobBerMedDisc!$N$2" max="30000" page="10" val="0"/>
</file>

<file path=xl/ctrlProps/ctrlProp5.xml><?xml version="1.0" encoding="utf-8"?>
<formControlPr xmlns="http://schemas.microsoft.com/office/spreadsheetml/2009/9/main" objectType="Spin" dx="15" fmlaLink="GlobBerMedDisc!$G$3" max="100" page="10" val="0"/>
</file>

<file path=xl/ctrlProps/ctrlProp6.xml><?xml version="1.0" encoding="utf-8"?>
<formControlPr xmlns="http://schemas.microsoft.com/office/spreadsheetml/2009/9/main" objectType="Drop" dropStyle="combo" dx="16" fmlaLink="GlobBerMedDisc!$O$3" fmlaRange="tblMedDiscOplVl" sel="1" val="0"/>
</file>

<file path=xl/ctrlProps/ctrlProp7.xml><?xml version="1.0" encoding="utf-8"?>
<formControlPr xmlns="http://schemas.microsoft.com/office/spreadsheetml/2009/9/main" objectType="Spin" dx="15" fmlaLink="GlobBerMedDisc!$N$3" max="30000" page="10" val="0"/>
</file>

<file path=xl/ctrlProps/ctrlProp8.xml><?xml version="1.0" encoding="utf-8"?>
<formControlPr xmlns="http://schemas.microsoft.com/office/spreadsheetml/2009/9/main" objectType="Spin" dx="15" fmlaLink="GlobBerMedDisc!$I$4" max="13" min="1" page="10"/>
</file>

<file path=xl/ctrlProps/ctrlProp9.xml><?xml version="1.0" encoding="utf-8"?>
<formControlPr xmlns="http://schemas.microsoft.com/office/spreadsheetml/2009/9/main" objectType="Spin" dx="15" fmlaLink="GlobBerMedDisc!$G$4" max="100" page="10" val="0"/>
</file>

<file path=xl/ctrlProps/ctrlProp10.xml><?xml version="1.0" encoding="utf-8"?>
<formControlPr xmlns="http://schemas.microsoft.com/office/spreadsheetml/2009/9/main" objectType="Drop" dropStyle="combo" dx="16" fmlaLink="GlobBerMedDisc!$O$4" fmlaRange="GlobBerMedDisc!$B$27:$B$30" sel="1" val="0"/>
</file>

<file path=xl/ctrlProps/ctrlProp11.xml><?xml version="1.0" encoding="utf-8"?>
<formControlPr xmlns="http://schemas.microsoft.com/office/spreadsheetml/2009/9/main" objectType="Spin" dx="15" fmlaLink="GlobBerMedDisc!$N$4" max="30000" page="10" val="0"/>
</file>

<file path=xl/ctrlProps/ctrlProp12.xml><?xml version="1.0" encoding="utf-8"?>
<formControlPr xmlns="http://schemas.microsoft.com/office/spreadsheetml/2009/9/main" objectType="Spin" dx="15" fmlaLink="GlobBerMedDisc!$I$5" max="13" min="1" page="10"/>
</file>

<file path=xl/ctrlProps/ctrlProp13.xml><?xml version="1.0" encoding="utf-8"?>
<formControlPr xmlns="http://schemas.microsoft.com/office/spreadsheetml/2009/9/main" objectType="Spin" dx="15" fmlaLink="GlobBerMedDisc!$G$5" max="100" page="10" val="0"/>
</file>

<file path=xl/ctrlProps/ctrlProp14.xml><?xml version="1.0" encoding="utf-8"?>
<formControlPr xmlns="http://schemas.microsoft.com/office/spreadsheetml/2009/9/main" objectType="Drop" dropStyle="combo" dx="16" fmlaLink="GlobBerMedDisc!$O$5" fmlaRange="tblMedDiscOplVl" sel="1" val="0"/>
</file>

<file path=xl/ctrlProps/ctrlProp15.xml><?xml version="1.0" encoding="utf-8"?>
<formControlPr xmlns="http://schemas.microsoft.com/office/spreadsheetml/2009/9/main" objectType="Spin" dx="15" fmlaLink="GlobBerMedDisc!$N$5" max="30000" page="10" val="0"/>
</file>

<file path=xl/ctrlProps/ctrlProp16.xml><?xml version="1.0" encoding="utf-8"?>
<formControlPr xmlns="http://schemas.microsoft.com/office/spreadsheetml/2009/9/main" objectType="Spin" dx="15" fmlaLink="GlobBerMedDisc!$I$6" max="13" min="1" page="10"/>
</file>

<file path=xl/ctrlProps/ctrlProp17.xml><?xml version="1.0" encoding="utf-8"?>
<formControlPr xmlns="http://schemas.microsoft.com/office/spreadsheetml/2009/9/main" objectType="Spin" dx="15" fmlaLink="GlobBerMedDisc!$G$6" max="100" page="10" val="0"/>
</file>

<file path=xl/ctrlProps/ctrlProp18.xml><?xml version="1.0" encoding="utf-8"?>
<formControlPr xmlns="http://schemas.microsoft.com/office/spreadsheetml/2009/9/main" objectType="Drop" dropStyle="combo" dx="16" fmlaLink="GlobBerMedDisc!$O$6" fmlaRange="tblMedDiscOplVl" sel="1" val="0"/>
</file>

<file path=xl/ctrlProps/ctrlProp19.xml><?xml version="1.0" encoding="utf-8"?>
<formControlPr xmlns="http://schemas.microsoft.com/office/spreadsheetml/2009/9/main" objectType="Spin" dx="15" fmlaLink="GlobBerMedDisc!$N$6" max="30000" page="10" val="0"/>
</file>

<file path=xl/ctrlProps/ctrlProp20.xml><?xml version="1.0" encoding="utf-8"?>
<formControlPr xmlns="http://schemas.microsoft.com/office/spreadsheetml/2009/9/main" objectType="Spin" dx="15" fmlaLink="GlobBerMedDisc!$I$7" max="13" min="1" page="10"/>
</file>

<file path=xl/ctrlProps/ctrlProp21.xml><?xml version="1.0" encoding="utf-8"?>
<formControlPr xmlns="http://schemas.microsoft.com/office/spreadsheetml/2009/9/main" objectType="Spin" dx="15" fmlaLink="GlobBerMedDisc!$G$7" max="100" page="10" val="0"/>
</file>

<file path=xl/ctrlProps/ctrlProp22.xml><?xml version="1.0" encoding="utf-8"?>
<formControlPr xmlns="http://schemas.microsoft.com/office/spreadsheetml/2009/9/main" objectType="Drop" dropStyle="combo" dx="16" fmlaLink="GlobBerMedDisc!$O$7" fmlaRange="tblMedDiscOplVl" sel="1" val="0"/>
</file>

<file path=xl/ctrlProps/ctrlProp23.xml><?xml version="1.0" encoding="utf-8"?>
<formControlPr xmlns="http://schemas.microsoft.com/office/spreadsheetml/2009/9/main" objectType="Spin" dx="15" fmlaLink="GlobBerMedDisc!$N$7" max="30000" page="10" val="0"/>
</file>

<file path=xl/ctrlProps/ctrlProp24.xml><?xml version="1.0" encoding="utf-8"?>
<formControlPr xmlns="http://schemas.microsoft.com/office/spreadsheetml/2009/9/main" objectType="Spin" dx="15" fmlaLink="GlobBerMedDisc!$I$8" max="13" min="1" page="10"/>
</file>

<file path=xl/ctrlProps/ctrlProp25.xml><?xml version="1.0" encoding="utf-8"?>
<formControlPr xmlns="http://schemas.microsoft.com/office/spreadsheetml/2009/9/main" objectType="Spin" dx="15" fmlaLink="GlobBerMedDisc!$G$8" max="100" page="10" val="0"/>
</file>

<file path=xl/ctrlProps/ctrlProp26.xml><?xml version="1.0" encoding="utf-8"?>
<formControlPr xmlns="http://schemas.microsoft.com/office/spreadsheetml/2009/9/main" objectType="Drop" dropStyle="combo" dx="16" fmlaLink="GlobBerMedDisc!$O$8" fmlaRange="tblMedDiscOplVl" sel="1" val="0"/>
</file>

<file path=xl/ctrlProps/ctrlProp27.xml><?xml version="1.0" encoding="utf-8"?>
<formControlPr xmlns="http://schemas.microsoft.com/office/spreadsheetml/2009/9/main" objectType="Spin" dx="15" fmlaLink="GlobBerMedDisc!$N$8" max="30000" page="10" val="0"/>
</file>

<file path=xl/ctrlProps/ctrlProp28.xml><?xml version="1.0" encoding="utf-8"?>
<formControlPr xmlns="http://schemas.microsoft.com/office/spreadsheetml/2009/9/main" objectType="Spin" dx="15" fmlaLink="GlobBerMedDisc!$I$9" max="13" min="1" page="10"/>
</file>

<file path=xl/ctrlProps/ctrlProp29.xml><?xml version="1.0" encoding="utf-8"?>
<formControlPr xmlns="http://schemas.microsoft.com/office/spreadsheetml/2009/9/main" objectType="Spin" dx="15" fmlaLink="GlobBerMedDisc!$G$9" max="100" page="10" val="0"/>
</file>

<file path=xl/ctrlProps/ctrlProp30.xml><?xml version="1.0" encoding="utf-8"?>
<formControlPr xmlns="http://schemas.microsoft.com/office/spreadsheetml/2009/9/main" objectType="Drop" dropStyle="combo" dx="16" fmlaLink="GlobBerMedDisc!$O$9" fmlaRange="tblMedDiscOplVl" sel="1" val="0"/>
</file>

<file path=xl/ctrlProps/ctrlProp31.xml><?xml version="1.0" encoding="utf-8"?>
<formControlPr xmlns="http://schemas.microsoft.com/office/spreadsheetml/2009/9/main" objectType="Spin" dx="15" fmlaLink="GlobBerMedDisc!$N$9" max="30000" page="10" val="0"/>
</file>

<file path=xl/ctrlProps/ctrlProp32.xml><?xml version="1.0" encoding="utf-8"?>
<formControlPr xmlns="http://schemas.microsoft.com/office/spreadsheetml/2009/9/main" objectType="Spin" dx="15" fmlaLink="GlobBerMedDisc!$I$10" max="13" min="1" page="10"/>
</file>

<file path=xl/ctrlProps/ctrlProp33.xml><?xml version="1.0" encoding="utf-8"?>
<formControlPr xmlns="http://schemas.microsoft.com/office/spreadsheetml/2009/9/main" objectType="Spin" dx="15" fmlaLink="GlobBerMedDisc!$G$10" max="100" page="10" val="0"/>
</file>

<file path=xl/ctrlProps/ctrlProp34.xml><?xml version="1.0" encoding="utf-8"?>
<formControlPr xmlns="http://schemas.microsoft.com/office/spreadsheetml/2009/9/main" objectType="Drop" dropStyle="combo" dx="16" fmlaLink="GlobBerMedDisc!$O$10" fmlaRange="tblMedDiscOplVl" sel="1" val="0"/>
</file>

<file path=xl/ctrlProps/ctrlProp35.xml><?xml version="1.0" encoding="utf-8"?>
<formControlPr xmlns="http://schemas.microsoft.com/office/spreadsheetml/2009/9/main" objectType="Spin" dx="15" fmlaLink="GlobBerMedDisc!$N$10" max="30000" page="10" val="0"/>
</file>

<file path=xl/ctrlProps/ctrlProp36.xml><?xml version="1.0" encoding="utf-8"?>
<formControlPr xmlns="http://schemas.microsoft.com/office/spreadsheetml/2009/9/main" objectType="Spin" dx="15" fmlaLink="GlobBerMedDisc!$I$11" max="13" min="1" page="10"/>
</file>

<file path=xl/ctrlProps/ctrlProp37.xml><?xml version="1.0" encoding="utf-8"?>
<formControlPr xmlns="http://schemas.microsoft.com/office/spreadsheetml/2009/9/main" objectType="Spin" dx="15" fmlaLink="GlobBerMedDisc!$G$11" max="100" page="10" val="0"/>
</file>

<file path=xl/ctrlProps/ctrlProp38.xml><?xml version="1.0" encoding="utf-8"?>
<formControlPr xmlns="http://schemas.microsoft.com/office/spreadsheetml/2009/9/main" objectType="Drop" dropStyle="combo" dx="16" fmlaLink="GlobBerMedDisc!$O$11" fmlaRange="tblMedDiscOplVl" sel="1" val="0"/>
</file>

<file path=xl/ctrlProps/ctrlProp39.xml><?xml version="1.0" encoding="utf-8"?>
<formControlPr xmlns="http://schemas.microsoft.com/office/spreadsheetml/2009/9/main" objectType="Spin" dx="15" fmlaLink="GlobBerMedDisc!$N$11" max="30000" page="10" val="0"/>
</file>

<file path=xl/ctrlProps/ctrlProp40.xml><?xml version="1.0" encoding="utf-8"?>
<formControlPr xmlns="http://schemas.microsoft.com/office/spreadsheetml/2009/9/main" objectType="Spin" dx="15" fmlaLink="GlobBerMedDisc!$I$12" max="13" min="1" page="10"/>
</file>

<file path=xl/ctrlProps/ctrlProp41.xml><?xml version="1.0" encoding="utf-8"?>
<formControlPr xmlns="http://schemas.microsoft.com/office/spreadsheetml/2009/9/main" objectType="Spin" dx="15" fmlaLink="GlobBerMedDisc!$G$12" max="100" page="10" val="0"/>
</file>

<file path=xl/ctrlProps/ctrlProp42.xml><?xml version="1.0" encoding="utf-8"?>
<formControlPr xmlns="http://schemas.microsoft.com/office/spreadsheetml/2009/9/main" objectType="Drop" dropStyle="combo" dx="16" fmlaLink="GlobBerMedDisc!$O$12" fmlaRange="tblMedDiscOplVl" sel="1" val="0"/>
</file>

<file path=xl/ctrlProps/ctrlProp43.xml><?xml version="1.0" encoding="utf-8"?>
<formControlPr xmlns="http://schemas.microsoft.com/office/spreadsheetml/2009/9/main" objectType="Spin" dx="15" fmlaLink="GlobBerMedDisc!$N$12" max="30000" page="10" val="0"/>
</file>

<file path=xl/ctrlProps/ctrlProp44.xml><?xml version="1.0" encoding="utf-8"?>
<formControlPr xmlns="http://schemas.microsoft.com/office/spreadsheetml/2009/9/main" objectType="Spin" dx="15" fmlaLink="GlobBerMedDisc!$I$13" max="13" min="1" page="10"/>
</file>

<file path=xl/ctrlProps/ctrlProp45.xml><?xml version="1.0" encoding="utf-8"?>
<formControlPr xmlns="http://schemas.microsoft.com/office/spreadsheetml/2009/9/main" objectType="Spin" dx="15" fmlaLink="GlobBerMedDisc!$G$13" max="100" page="10" val="0"/>
</file>

<file path=xl/ctrlProps/ctrlProp46.xml><?xml version="1.0" encoding="utf-8"?>
<formControlPr xmlns="http://schemas.microsoft.com/office/spreadsheetml/2009/9/main" objectType="Drop" dropStyle="combo" dx="16" fmlaLink="GlobBerMedDisc!$O$13" fmlaRange="tblMedDiscOplVl" sel="1" val="0"/>
</file>

<file path=xl/ctrlProps/ctrlProp47.xml><?xml version="1.0" encoding="utf-8"?>
<formControlPr xmlns="http://schemas.microsoft.com/office/spreadsheetml/2009/9/main" objectType="Spin" dx="15" fmlaLink="GlobBerMedDisc!$N$13" max="30000" page="10" val="0"/>
</file>

<file path=xl/ctrlProps/ctrlProp48.xml><?xml version="1.0" encoding="utf-8"?>
<formControlPr xmlns="http://schemas.microsoft.com/office/spreadsheetml/2009/9/main" objectType="Spin" dx="15" fmlaLink="GlobBerMedDisc!$I$14" max="13" min="1" page="10"/>
</file>

<file path=xl/ctrlProps/ctrlProp49.xml><?xml version="1.0" encoding="utf-8"?>
<formControlPr xmlns="http://schemas.microsoft.com/office/spreadsheetml/2009/9/main" objectType="Spin" dx="15" fmlaLink="GlobBerMedDisc!$G$14" max="100" page="10" val="0"/>
</file>

<file path=xl/ctrlProps/ctrlProp50.xml><?xml version="1.0" encoding="utf-8"?>
<formControlPr xmlns="http://schemas.microsoft.com/office/spreadsheetml/2009/9/main" objectType="Drop" dropStyle="combo" dx="16" fmlaLink="GlobBerMedDisc!$O$14" fmlaRange="tblMedDiscOplVl" sel="1" val="0"/>
</file>

<file path=xl/ctrlProps/ctrlProp51.xml><?xml version="1.0" encoding="utf-8"?>
<formControlPr xmlns="http://schemas.microsoft.com/office/spreadsheetml/2009/9/main" objectType="Spin" dx="15" fmlaLink="GlobBerMedDisc!$N$14" max="30000" page="10" val="0"/>
</file>

<file path=xl/ctrlProps/ctrlProp52.xml><?xml version="1.0" encoding="utf-8"?>
<formControlPr xmlns="http://schemas.microsoft.com/office/spreadsheetml/2009/9/main" objectType="Spin" dx="15" fmlaLink="GlobBerMedDisc!$I$15" max="13" min="1" page="10"/>
</file>

<file path=xl/ctrlProps/ctrlProp53.xml><?xml version="1.0" encoding="utf-8"?>
<formControlPr xmlns="http://schemas.microsoft.com/office/spreadsheetml/2009/9/main" objectType="Spin" dx="15" fmlaLink="GlobBerMedDisc!$G$15" max="100" page="10" val="0"/>
</file>

<file path=xl/ctrlProps/ctrlProp54.xml><?xml version="1.0" encoding="utf-8"?>
<formControlPr xmlns="http://schemas.microsoft.com/office/spreadsheetml/2009/9/main" objectType="Drop" dropStyle="combo" dx="16" fmlaLink="GlobBerMedDisc!$O$15" fmlaRange="tblMedDiscOplVl" sel="1" val="0"/>
</file>

<file path=xl/ctrlProps/ctrlProp55.xml><?xml version="1.0" encoding="utf-8"?>
<formControlPr xmlns="http://schemas.microsoft.com/office/spreadsheetml/2009/9/main" objectType="Spin" dx="15" fmlaLink="GlobBerMedDisc!$N$15" max="30000" page="10" val="0"/>
</file>

<file path=xl/ctrlProps/ctrlProp56.xml><?xml version="1.0" encoding="utf-8"?>
<formControlPr xmlns="http://schemas.microsoft.com/office/spreadsheetml/2009/9/main" objectType="Spin" dx="15" fmlaLink="GlobBerMedDisc!$I$16" max="13" min="1" page="10"/>
</file>

<file path=xl/ctrlProps/ctrlProp57.xml><?xml version="1.0" encoding="utf-8"?>
<formControlPr xmlns="http://schemas.microsoft.com/office/spreadsheetml/2009/9/main" objectType="Spin" dx="15" fmlaLink="GlobBerMedDisc!$G$16" max="100" page="10" val="0"/>
</file>

<file path=xl/ctrlProps/ctrlProp58.xml><?xml version="1.0" encoding="utf-8"?>
<formControlPr xmlns="http://schemas.microsoft.com/office/spreadsheetml/2009/9/main" objectType="Drop" dropStyle="combo" dx="16" fmlaLink="GlobBerMedDisc!$O$16" fmlaRange="tblMedDiscOplVl" sel="1" val="0"/>
</file>

<file path=xl/ctrlProps/ctrlProp59.xml><?xml version="1.0" encoding="utf-8"?>
<formControlPr xmlns="http://schemas.microsoft.com/office/spreadsheetml/2009/9/main" objectType="Spin" dx="15" fmlaLink="GlobBerMedDisc!$N$16" max="30000" page="10" val="0"/>
</file>

<file path=xl/ctrlProps/ctrlProp60.xml><?xml version="1.0" encoding="utf-8"?>
<formControlPr xmlns="http://schemas.microsoft.com/office/spreadsheetml/2009/9/main" objectType="Spin" dx="15" fmlaLink="GlobBerMedDisc!$I$17" max="13" min="1" page="10"/>
</file>

<file path=xl/ctrlProps/ctrlProp61.xml><?xml version="1.0" encoding="utf-8"?>
<formControlPr xmlns="http://schemas.microsoft.com/office/spreadsheetml/2009/9/main" objectType="Spin" dx="15" fmlaLink="GlobBerMedDisc!$G$17" max="1000" page="10" val="0"/>
</file>

<file path=xl/ctrlProps/ctrlProp62.xml><?xml version="1.0" encoding="utf-8"?>
<formControlPr xmlns="http://schemas.microsoft.com/office/spreadsheetml/2009/9/main" objectType="Drop" dropStyle="combo" dx="16" fmlaLink="GlobBerMedDisc!$O$17" fmlaRange="tblMedDiscOplVl" sel="1" val="0"/>
</file>

<file path=xl/ctrlProps/ctrlProp63.xml><?xml version="1.0" encoding="utf-8"?>
<formControlPr xmlns="http://schemas.microsoft.com/office/spreadsheetml/2009/9/main" objectType="Spin" dx="15" fmlaLink="GlobBerMedDisc!$N$17" max="30000" page="10" val="0"/>
</file>

<file path=xl/ctrlProps/ctrlProp64.xml><?xml version="1.0" encoding="utf-8"?>
<formControlPr xmlns="http://schemas.microsoft.com/office/spreadsheetml/2009/9/main" objectType="Spin" dx="15" fmlaLink="GlobBerMedDisc!$I$18" max="13" min="1" page="10"/>
</file>

<file path=xl/ctrlProps/ctrlProp65.xml><?xml version="1.0" encoding="utf-8"?>
<formControlPr xmlns="http://schemas.microsoft.com/office/spreadsheetml/2009/9/main" objectType="Spin" dx="15" fmlaLink="GlobBerMedDisc!$G$18" max="1000" page="10" val="0"/>
</file>

<file path=xl/ctrlProps/ctrlProp66.xml><?xml version="1.0" encoding="utf-8"?>
<formControlPr xmlns="http://schemas.microsoft.com/office/spreadsheetml/2009/9/main" objectType="Drop" dropStyle="combo" dx="16" fmlaLink="GlobBerMedDisc!$O$18" fmlaRange="tblMedDiscOplVl" sel="1" val="0"/>
</file>

<file path=xl/ctrlProps/ctrlProp67.xml><?xml version="1.0" encoding="utf-8"?>
<formControlPr xmlns="http://schemas.microsoft.com/office/spreadsheetml/2009/9/main" objectType="Spin" dx="15" fmlaLink="GlobBerMedDisc!$N$18" max="30000" page="10" val="0"/>
</file>

<file path=xl/ctrlProps/ctrlProp68.xml><?xml version="1.0" encoding="utf-8"?>
<formControlPr xmlns="http://schemas.microsoft.com/office/spreadsheetml/2009/9/main" objectType="Spin" dx="15" fmlaLink="GlobBerMedDisc!$I$19" max="13" min="1" page="10"/>
</file>

<file path=xl/ctrlProps/ctrlProp69.xml><?xml version="1.0" encoding="utf-8"?>
<formControlPr xmlns="http://schemas.microsoft.com/office/spreadsheetml/2009/9/main" objectType="Spin" dx="15" fmlaLink="GlobBerMedDisc!$G$19" max="1000" page="10" val="0"/>
</file>

<file path=xl/ctrlProps/ctrlProp70.xml><?xml version="1.0" encoding="utf-8"?>
<formControlPr xmlns="http://schemas.microsoft.com/office/spreadsheetml/2009/9/main" objectType="Drop" dropStyle="combo" dx="16" fmlaLink="GlobBerMedDisc!$O$19" fmlaRange="tblMedDiscOplVl" sel="1" val="0"/>
</file>

<file path=xl/ctrlProps/ctrlProp71.xml><?xml version="1.0" encoding="utf-8"?>
<formControlPr xmlns="http://schemas.microsoft.com/office/spreadsheetml/2009/9/main" objectType="Spin" dx="15" fmlaLink="GlobBerMedDisc!$N$19" max="30000" page="10" val="0"/>
</file>

<file path=xl/ctrlProps/ctrlProp72.xml><?xml version="1.0" encoding="utf-8"?>
<formControlPr xmlns="http://schemas.microsoft.com/office/spreadsheetml/2009/9/main" objectType="Spin" dx="15" fmlaLink="GlobBerMedDisc!$I$20" max="13" min="1" page="10"/>
</file>

<file path=xl/ctrlProps/ctrlProp73.xml><?xml version="1.0" encoding="utf-8"?>
<formControlPr xmlns="http://schemas.microsoft.com/office/spreadsheetml/2009/9/main" objectType="Spin" dx="15" fmlaLink="GlobBerMedDisc!$G$20" max="1000" page="10" val="0"/>
</file>

<file path=xl/ctrlProps/ctrlProp74.xml><?xml version="1.0" encoding="utf-8"?>
<formControlPr xmlns="http://schemas.microsoft.com/office/spreadsheetml/2009/9/main" objectType="Drop" dropStyle="combo" dx="16" fmlaLink="GlobBerMedDisc!$O$20" fmlaRange="tblMedDiscOplVl" sel="1" val="0"/>
</file>

<file path=xl/ctrlProps/ctrlProp75.xml><?xml version="1.0" encoding="utf-8"?>
<formControlPr xmlns="http://schemas.microsoft.com/office/spreadsheetml/2009/9/main" objectType="Spin" dx="15" fmlaLink="GlobBerMedDisc!$N$20" max="30000" page="10" val="0"/>
</file>

<file path=xl/ctrlProps/ctrlProp76.xml><?xml version="1.0" encoding="utf-8"?>
<formControlPr xmlns="http://schemas.microsoft.com/office/spreadsheetml/2009/9/main" objectType="Spin" dx="15" fmlaLink="GlobBerMedDisc!$I$21" max="13" min="1" page="10"/>
</file>

<file path=xl/ctrlProps/ctrlProp77.xml><?xml version="1.0" encoding="utf-8"?>
<formControlPr xmlns="http://schemas.microsoft.com/office/spreadsheetml/2009/9/main" objectType="Spin" dx="15" fmlaLink="GlobBerMedDisc!$G$21" max="1000" page="10" val="0"/>
</file>

<file path=xl/ctrlProps/ctrlProp78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79.xml><?xml version="1.0" encoding="utf-8"?>
<formControlPr xmlns="http://schemas.microsoft.com/office/spreadsheetml/2009/9/main" objectType="Spin" dx="15" fmlaLink="GlobBerMedDisc!$N$21" max="30000" page="10" val="0"/>
</file>

<file path=xl/ctrlProps/ctrlProp80.xml><?xml version="1.0" encoding="utf-8"?>
<formControlPr xmlns="http://schemas.microsoft.com/office/spreadsheetml/2009/9/main" objectType="Spin" dx="15" fmlaLink="GlobBerMedDisc!$I$3" max="13" min="1" page="10"/>
</file>

<file path=xl/ctrlProps/ctrlProp81.xml><?xml version="1.0" encoding="utf-8"?>
<formControlPr xmlns="http://schemas.microsoft.com/office/spreadsheetml/2009/9/main" objectType="Spin" dx="15" fmlaLink="GlobBerMedDisc!$Q$2" inc="5" max="1440" page="10" val="0"/>
</file>

<file path=xl/ctrlProps/ctrlProp82.xml><?xml version="1.0" encoding="utf-8"?>
<formControlPr xmlns="http://schemas.microsoft.com/office/spreadsheetml/2009/9/main" objectType="Spin" dx="15" fmlaLink="GlobBerMedDisc!$Q$3" inc="5" max="1440" page="10" val="0"/>
</file>

<file path=xl/ctrlProps/ctrlProp83.xml><?xml version="1.0" encoding="utf-8"?>
<formControlPr xmlns="http://schemas.microsoft.com/office/spreadsheetml/2009/9/main" objectType="Spin" dx="15" fmlaLink="GlobBerMedDisc!$Q$4" inc="5" max="1440" page="10" val="0"/>
</file>

<file path=xl/ctrlProps/ctrlProp84.xml><?xml version="1.0" encoding="utf-8"?>
<formControlPr xmlns="http://schemas.microsoft.com/office/spreadsheetml/2009/9/main" objectType="Spin" dx="15" fmlaLink="GlobBerMedDisc!$Q$5" inc="5" max="1440" page="10" val="0"/>
</file>

<file path=xl/ctrlProps/ctrlProp85.xml><?xml version="1.0" encoding="utf-8"?>
<formControlPr xmlns="http://schemas.microsoft.com/office/spreadsheetml/2009/9/main" objectType="Spin" dx="15" fmlaLink="GlobBerMedDisc!$Q$6" inc="5" max="1440" page="10" val="0"/>
</file>

<file path=xl/ctrlProps/ctrlProp86.xml><?xml version="1.0" encoding="utf-8"?>
<formControlPr xmlns="http://schemas.microsoft.com/office/spreadsheetml/2009/9/main" objectType="Spin" dx="15" fmlaLink="GlobBerMedDisc!$Q$7" inc="5" max="1440" page="10" val="0"/>
</file>

<file path=xl/ctrlProps/ctrlProp87.xml><?xml version="1.0" encoding="utf-8"?>
<formControlPr xmlns="http://schemas.microsoft.com/office/spreadsheetml/2009/9/main" objectType="Spin" dx="15" fmlaLink="GlobBerMedDisc!$Q$8" inc="5" max="1440" page="10" val="0"/>
</file>

<file path=xl/ctrlProps/ctrlProp88.xml><?xml version="1.0" encoding="utf-8"?>
<formControlPr xmlns="http://schemas.microsoft.com/office/spreadsheetml/2009/9/main" objectType="Spin" dx="15" fmlaLink="GlobBerMedDisc!$Q$9" inc="5" max="1440" page="10" val="0"/>
</file>

<file path=xl/ctrlProps/ctrlProp89.xml><?xml version="1.0" encoding="utf-8"?>
<formControlPr xmlns="http://schemas.microsoft.com/office/spreadsheetml/2009/9/main" objectType="Spin" dx="15" fmlaLink="GlobBerMedDisc!$Q$10" inc="5" max="1440" page="10" val="0"/>
</file>

<file path=xl/ctrlProps/ctrlProp90.xml><?xml version="1.0" encoding="utf-8"?>
<formControlPr xmlns="http://schemas.microsoft.com/office/spreadsheetml/2009/9/main" objectType="Spin" dx="15" fmlaLink="GlobBerMedDisc!$Q$11" inc="5" max="1440" page="10" val="0"/>
</file>

<file path=xl/ctrlProps/ctrlProp91.xml><?xml version="1.0" encoding="utf-8"?>
<formControlPr xmlns="http://schemas.microsoft.com/office/spreadsheetml/2009/9/main" objectType="Spin" dx="15" fmlaLink="GlobBerMedDisc!$Q$12" inc="5" max="1440" page="10" val="0"/>
</file>

<file path=xl/ctrlProps/ctrlProp92.xml><?xml version="1.0" encoding="utf-8"?>
<formControlPr xmlns="http://schemas.microsoft.com/office/spreadsheetml/2009/9/main" objectType="Spin" dx="15" fmlaLink="GlobBerMedDisc!$Q$13" inc="5" max="1440" page="10" val="0"/>
</file>

<file path=xl/ctrlProps/ctrlProp93.xml><?xml version="1.0" encoding="utf-8"?>
<formControlPr xmlns="http://schemas.microsoft.com/office/spreadsheetml/2009/9/main" objectType="Spin" dx="15" fmlaLink="GlobBerMedDisc!$Q$14" inc="5" max="1440" page="10" val="0"/>
</file>

<file path=xl/ctrlProps/ctrlProp94.xml><?xml version="1.0" encoding="utf-8"?>
<formControlPr xmlns="http://schemas.microsoft.com/office/spreadsheetml/2009/9/main" objectType="Spin" dx="15" fmlaLink="GlobBerMedDisc!$Q$15" inc="5" max="1440" page="10" val="0"/>
</file>

<file path=xl/ctrlProps/ctrlProp95.xml><?xml version="1.0" encoding="utf-8"?>
<formControlPr xmlns="http://schemas.microsoft.com/office/spreadsheetml/2009/9/main" objectType="Spin" dx="15" fmlaLink="GlobBerMedDisc!$Q$16" inc="5" max="1440" page="10" val="0"/>
</file>

<file path=xl/ctrlProps/ctrlProp96.xml><?xml version="1.0" encoding="utf-8"?>
<formControlPr xmlns="http://schemas.microsoft.com/office/spreadsheetml/2009/9/main" objectType="Spin" dx="15" fmlaLink="GlobBerMedDisc!$Q$17" inc="5" max="1440" page="10" val="0"/>
</file>

<file path=xl/ctrlProps/ctrlProp97.xml><?xml version="1.0" encoding="utf-8"?>
<formControlPr xmlns="http://schemas.microsoft.com/office/spreadsheetml/2009/9/main" objectType="Spin" dx="15" fmlaLink="GlobBerMedDisc!$Q$18" inc="5" max="1440" page="10" val="0"/>
</file>

<file path=xl/ctrlProps/ctrlProp98.xml><?xml version="1.0" encoding="utf-8"?>
<formControlPr xmlns="http://schemas.microsoft.com/office/spreadsheetml/2009/9/main" objectType="Spin" dx="15" fmlaLink="GlobBerMedDisc!$Q$19" inc="5" max="1440" page="10" val="0"/>
</file>

<file path=xl/ctrlProps/ctrlProp99.xml><?xml version="1.0" encoding="utf-8"?>
<formControlPr xmlns="http://schemas.microsoft.com/office/spreadsheetml/2009/9/main" objectType="Spin" dx="15" fmlaLink="GlobBerMedDisc!$Q$20" inc="5" max="1440" page="10" val="0"/>
</file>

<file path=xl/ctrlProps/ctrlProp100.xml><?xml version="1.0" encoding="utf-8"?>
<formControlPr xmlns="http://schemas.microsoft.com/office/spreadsheetml/2009/9/main" objectType="Spin" dx="15" fmlaLink="GlobBerMedDisc!$Q$21" inc="5" max="1440" page="10" val="0"/>
</file>

<file path=xl/ctrlProps/ctrlProp101.xml><?xml version="1.0" encoding="utf-8"?>
<formControlPr xmlns="http://schemas.microsoft.com/office/spreadsheetml/2009/9/main" objectType="Drop" dropStyle="combo" dx="16" fmlaLink="GlobBerMedDisc!$O$4" fmlaRange="tblMedDiscOplVl" sel="1" val="0"/>
</file>

<file path=xl/ctrlProps/ctrlProp102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03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04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05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06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07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08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09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10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11.xml><?xml version="1.0" encoding="utf-8"?>
<formControlPr xmlns="http://schemas.microsoft.com/office/spreadsheetml/2009/9/main" objectType="Drop" dropStyle="combo" dx="16" fmlaLink="GlobBerMedDisc!$O$22" fmlaRange="tblMedDiscOplVl" sel="1" val="0"/>
</file>

<file path=xl/ctrlProps/ctrlProp112.xml><?xml version="1.0" encoding="utf-8"?>
<formControlPr xmlns="http://schemas.microsoft.com/office/spreadsheetml/2009/9/main" objectType="Spin" dx="15" fmlaLink="GlobBerMedDisc!$I$22" max="13" min="1" page="10"/>
</file>

<file path=xl/ctrlProps/ctrlProp113.xml><?xml version="1.0" encoding="utf-8"?>
<formControlPr xmlns="http://schemas.microsoft.com/office/spreadsheetml/2009/9/main" objectType="Spin" dx="15" fmlaLink="GlobBerMedDisc!$G$22" max="1000" page="10" val="0"/>
</file>

<file path=xl/ctrlProps/ctrlProp114.xml><?xml version="1.0" encoding="utf-8"?>
<formControlPr xmlns="http://schemas.microsoft.com/office/spreadsheetml/2009/9/main" objectType="Spin" dx="15" fmlaLink="GlobBerMedDisc!$N$22" max="30000" page="10" val="0"/>
</file>

<file path=xl/ctrlProps/ctrlProp115.xml><?xml version="1.0" encoding="utf-8"?>
<formControlPr xmlns="http://schemas.microsoft.com/office/spreadsheetml/2009/9/main" objectType="Spin" dx="15" fmlaLink="GlobBerMedDisc!$Q$22" inc="5" max="1440" page="10" val="0"/>
</file>

<file path=xl/ctrlProps/ctrlProp116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17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18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19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20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21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22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23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24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25.xml><?xml version="1.0" encoding="utf-8"?>
<formControlPr xmlns="http://schemas.microsoft.com/office/spreadsheetml/2009/9/main" objectType="Drop" dropStyle="combo" dx="16" fmlaLink="GlobBerMedDisc!$O$23" fmlaRange="tblMedDiscOplVl" sel="1" val="0"/>
</file>

<file path=xl/ctrlProps/ctrlProp126.xml><?xml version="1.0" encoding="utf-8"?>
<formControlPr xmlns="http://schemas.microsoft.com/office/spreadsheetml/2009/9/main" objectType="Spin" dx="15" fmlaLink="GlobBerMedDisc!$I$23" max="13" min="1" page="10"/>
</file>

<file path=xl/ctrlProps/ctrlProp127.xml><?xml version="1.0" encoding="utf-8"?>
<formControlPr xmlns="http://schemas.microsoft.com/office/spreadsheetml/2009/9/main" objectType="Spin" dx="15" fmlaLink="GlobBerMedDisc!$G$23" max="1000" page="10" val="0"/>
</file>

<file path=xl/ctrlProps/ctrlProp128.xml><?xml version="1.0" encoding="utf-8"?>
<formControlPr xmlns="http://schemas.microsoft.com/office/spreadsheetml/2009/9/main" objectType="Spin" dx="15" fmlaLink="GlobBerMedDisc!$N$23" max="30000" page="10" val="0"/>
</file>

<file path=xl/ctrlProps/ctrlProp129.xml><?xml version="1.0" encoding="utf-8"?>
<formControlPr xmlns="http://schemas.microsoft.com/office/spreadsheetml/2009/9/main" objectType="Spin" dx="15" fmlaLink="GlobBerMedDisc!$Q$23" inc="5" max="1440" page="10" val="0"/>
</file>

<file path=xl/ctrlProps/ctrlProp130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31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32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33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34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35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36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37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38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39.xml><?xml version="1.0" encoding="utf-8"?>
<formControlPr xmlns="http://schemas.microsoft.com/office/spreadsheetml/2009/9/main" objectType="Drop" dropStyle="combo" dx="16" fmlaLink="GlobBerMedDisc!$O$24" fmlaRange="tblMedDiscOplVl" sel="1" val="0"/>
</file>

<file path=xl/ctrlProps/ctrlProp140.xml><?xml version="1.0" encoding="utf-8"?>
<formControlPr xmlns="http://schemas.microsoft.com/office/spreadsheetml/2009/9/main" objectType="Spin" dx="15" fmlaLink="GlobBerMedDisc!$I$24" max="13" min="1" page="10"/>
</file>

<file path=xl/ctrlProps/ctrlProp141.xml><?xml version="1.0" encoding="utf-8"?>
<formControlPr xmlns="http://schemas.microsoft.com/office/spreadsheetml/2009/9/main" objectType="Spin" dx="15" fmlaLink="GlobBerMedDisc!$G$24" max="1000" page="10" val="0"/>
</file>

<file path=xl/ctrlProps/ctrlProp142.xml><?xml version="1.0" encoding="utf-8"?>
<formControlPr xmlns="http://schemas.microsoft.com/office/spreadsheetml/2009/9/main" objectType="Spin" dx="15" fmlaLink="GlobBerMedDisc!$N$24" max="30000" page="10" val="0"/>
</file>

<file path=xl/ctrlProps/ctrlProp143.xml><?xml version="1.0" encoding="utf-8"?>
<formControlPr xmlns="http://schemas.microsoft.com/office/spreadsheetml/2009/9/main" objectType="Spin" dx="15" fmlaLink="GlobBerMedDisc!$Q$24" inc="5" max="1440" page="10" val="0"/>
</file>

<file path=xl/ctrlProps/ctrlProp144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45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46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47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48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49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50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51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52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53.xml><?xml version="1.0" encoding="utf-8"?>
<formControlPr xmlns="http://schemas.microsoft.com/office/spreadsheetml/2009/9/main" objectType="Drop" dropStyle="combo" dx="16" fmlaLink="GlobBerMedDisc!$O$25" fmlaRange="tblMedDiscOplVl" sel="1" val="0"/>
</file>

<file path=xl/ctrlProps/ctrlProp154.xml><?xml version="1.0" encoding="utf-8"?>
<formControlPr xmlns="http://schemas.microsoft.com/office/spreadsheetml/2009/9/main" objectType="Spin" dx="15" fmlaLink="GlobBerMedDisc!$I$25" max="13" min="1" page="10"/>
</file>

<file path=xl/ctrlProps/ctrlProp155.xml><?xml version="1.0" encoding="utf-8"?>
<formControlPr xmlns="http://schemas.microsoft.com/office/spreadsheetml/2009/9/main" objectType="Spin" dx="15" fmlaLink="GlobBerMedDisc!$G$25" max="1000" page="10" val="0"/>
</file>

<file path=xl/ctrlProps/ctrlProp156.xml><?xml version="1.0" encoding="utf-8"?>
<formControlPr xmlns="http://schemas.microsoft.com/office/spreadsheetml/2009/9/main" objectType="Spin" dx="15" fmlaLink="GlobBerMedDisc!$N$25" max="30000" page="10" val="0"/>
</file>

<file path=xl/ctrlProps/ctrlProp157.xml><?xml version="1.0" encoding="utf-8"?>
<formControlPr xmlns="http://schemas.microsoft.com/office/spreadsheetml/2009/9/main" objectType="Spin" dx="15" fmlaLink="GlobBerMedDisc!$Q$25" inc="5" max="1440" page="10" val="0"/>
</file>

<file path=xl/ctrlProps/ctrlProp158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59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60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61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62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63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64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65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66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67.xml><?xml version="1.0" encoding="utf-8"?>
<formControlPr xmlns="http://schemas.microsoft.com/office/spreadsheetml/2009/9/main" objectType="Drop" dropStyle="combo" dx="16" fmlaLink="GlobBerMedDisc!$O$26" fmlaRange="tblMedDiscOplVl" sel="1" val="0"/>
</file>

<file path=xl/ctrlProps/ctrlProp168.xml><?xml version="1.0" encoding="utf-8"?>
<formControlPr xmlns="http://schemas.microsoft.com/office/spreadsheetml/2009/9/main" objectType="Spin" dx="15" fmlaLink="GlobBerMedDisc!$I$26" max="13" min="1" page="10"/>
</file>

<file path=xl/ctrlProps/ctrlProp169.xml><?xml version="1.0" encoding="utf-8"?>
<formControlPr xmlns="http://schemas.microsoft.com/office/spreadsheetml/2009/9/main" objectType="Spin" dx="15" fmlaLink="GlobBerMedDisc!$G$26" max="1000" page="10" val="0"/>
</file>

<file path=xl/ctrlProps/ctrlProp170.xml><?xml version="1.0" encoding="utf-8"?>
<formControlPr xmlns="http://schemas.microsoft.com/office/spreadsheetml/2009/9/main" objectType="Spin" dx="15" fmlaLink="GlobBerMedDisc!$N$26" max="30000" page="10" val="0"/>
</file>

<file path=xl/ctrlProps/ctrlProp171.xml><?xml version="1.0" encoding="utf-8"?>
<formControlPr xmlns="http://schemas.microsoft.com/office/spreadsheetml/2009/9/main" objectType="Spin" dx="15" fmlaLink="GlobBerMedDisc!$Q$26" inc="5" max="1440" page="10" val="0"/>
</file>

<file path=xl/ctrlProps/ctrlProp172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73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74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75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76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77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78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79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80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81.xml><?xml version="1.0" encoding="utf-8"?>
<formControlPr xmlns="http://schemas.microsoft.com/office/spreadsheetml/2009/9/main" objectType="Drop" dropStyle="combo" dx="16" fmlaLink="GlobBerMedDisc!$O$27" fmlaRange="tblMedDiscOplVl" sel="1" val="0"/>
</file>

<file path=xl/ctrlProps/ctrlProp182.xml><?xml version="1.0" encoding="utf-8"?>
<formControlPr xmlns="http://schemas.microsoft.com/office/spreadsheetml/2009/9/main" objectType="Spin" dx="15" fmlaLink="GlobBerMedDisc!$I$27" max="13" min="1" page="10"/>
</file>

<file path=xl/ctrlProps/ctrlProp183.xml><?xml version="1.0" encoding="utf-8"?>
<formControlPr xmlns="http://schemas.microsoft.com/office/spreadsheetml/2009/9/main" objectType="Spin" dx="15" fmlaLink="GlobBerMedDisc!$G$27" max="1000" page="10" val="0"/>
</file>

<file path=xl/ctrlProps/ctrlProp184.xml><?xml version="1.0" encoding="utf-8"?>
<formControlPr xmlns="http://schemas.microsoft.com/office/spreadsheetml/2009/9/main" objectType="Spin" dx="15" fmlaLink="GlobBerMedDisc!$N$27" max="30000" page="10" val="0"/>
</file>

<file path=xl/ctrlProps/ctrlProp185.xml><?xml version="1.0" encoding="utf-8"?>
<formControlPr xmlns="http://schemas.microsoft.com/office/spreadsheetml/2009/9/main" objectType="Spin" dx="15" fmlaLink="GlobBerMedDisc!$Q$27" inc="5" max="1440" page="10" val="0"/>
</file>

<file path=xl/ctrlProps/ctrlProp186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87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88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89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90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91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92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93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94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95.xml><?xml version="1.0" encoding="utf-8"?>
<formControlPr xmlns="http://schemas.microsoft.com/office/spreadsheetml/2009/9/main" objectType="Drop" dropStyle="combo" dx="16" fmlaLink="GlobBerMedDisc!$O$28" fmlaRange="tblMedDiscOplVl" sel="1" val="0"/>
</file>

<file path=xl/ctrlProps/ctrlProp196.xml><?xml version="1.0" encoding="utf-8"?>
<formControlPr xmlns="http://schemas.microsoft.com/office/spreadsheetml/2009/9/main" objectType="Spin" dx="15" fmlaLink="GlobBerMedDisc!$I$28" max="13" min="1" page="10"/>
</file>

<file path=xl/ctrlProps/ctrlProp197.xml><?xml version="1.0" encoding="utf-8"?>
<formControlPr xmlns="http://schemas.microsoft.com/office/spreadsheetml/2009/9/main" objectType="Spin" dx="15" fmlaLink="GlobBerMedDisc!$G$28" max="1000" page="10" val="0"/>
</file>

<file path=xl/ctrlProps/ctrlProp198.xml><?xml version="1.0" encoding="utf-8"?>
<formControlPr xmlns="http://schemas.microsoft.com/office/spreadsheetml/2009/9/main" objectType="Spin" dx="15" fmlaLink="GlobBerMedDisc!$N$28" max="30000" page="10" val="0"/>
</file>

<file path=xl/ctrlProps/ctrlProp199.xml><?xml version="1.0" encoding="utf-8"?>
<formControlPr xmlns="http://schemas.microsoft.com/office/spreadsheetml/2009/9/main" objectType="Spin" dx="15" fmlaLink="GlobBerMedDisc!$Q$28" inc="5" max="1440" page="10" val="0"/>
</file>

<file path=xl/ctrlProps/ctrlProp200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01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02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03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04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05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06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07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08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09.xml><?xml version="1.0" encoding="utf-8"?>
<formControlPr xmlns="http://schemas.microsoft.com/office/spreadsheetml/2009/9/main" objectType="Drop" dropStyle="combo" dx="16" fmlaLink="GlobBerMedDisc!$O$29" fmlaRange="tblMedDiscOplVl" sel="1" val="0"/>
</file>

<file path=xl/ctrlProps/ctrlProp210.xml><?xml version="1.0" encoding="utf-8"?>
<formControlPr xmlns="http://schemas.microsoft.com/office/spreadsheetml/2009/9/main" objectType="Spin" dx="15" fmlaLink="GlobBerMedDisc!$I$29" max="13" min="1" page="10"/>
</file>

<file path=xl/ctrlProps/ctrlProp211.xml><?xml version="1.0" encoding="utf-8"?>
<formControlPr xmlns="http://schemas.microsoft.com/office/spreadsheetml/2009/9/main" objectType="Spin" dx="15" fmlaLink="GlobBerMedDisc!$G$29" max="1000" page="10" val="0"/>
</file>

<file path=xl/ctrlProps/ctrlProp212.xml><?xml version="1.0" encoding="utf-8"?>
<formControlPr xmlns="http://schemas.microsoft.com/office/spreadsheetml/2009/9/main" objectType="Spin" dx="15" fmlaLink="GlobBerMedDisc!$N$29" max="30000" page="10" val="0"/>
</file>

<file path=xl/ctrlProps/ctrlProp213.xml><?xml version="1.0" encoding="utf-8"?>
<formControlPr xmlns="http://schemas.microsoft.com/office/spreadsheetml/2009/9/main" objectType="Spin" dx="15" fmlaLink="GlobBerMedDisc!$Q$29" inc="5" max="1440" page="10" val="0"/>
</file>

<file path=xl/ctrlProps/ctrlProp214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15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16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17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18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19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20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21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22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23.xml><?xml version="1.0" encoding="utf-8"?>
<formControlPr xmlns="http://schemas.microsoft.com/office/spreadsheetml/2009/9/main" objectType="Drop" dropStyle="combo" dx="16" fmlaLink="GlobBerMedDisc!$O$30" fmlaRange="tblMedDiscOplVl" sel="1" val="0"/>
</file>

<file path=xl/ctrlProps/ctrlProp224.xml><?xml version="1.0" encoding="utf-8"?>
<formControlPr xmlns="http://schemas.microsoft.com/office/spreadsheetml/2009/9/main" objectType="Spin" dx="15" fmlaLink="GlobBerMedDisc!$I$30" max="13" min="1" page="10"/>
</file>

<file path=xl/ctrlProps/ctrlProp225.xml><?xml version="1.0" encoding="utf-8"?>
<formControlPr xmlns="http://schemas.microsoft.com/office/spreadsheetml/2009/9/main" objectType="Spin" dx="15" fmlaLink="GlobBerMedDisc!$G$30" max="1000" page="10" val="0"/>
</file>

<file path=xl/ctrlProps/ctrlProp226.xml><?xml version="1.0" encoding="utf-8"?>
<formControlPr xmlns="http://schemas.microsoft.com/office/spreadsheetml/2009/9/main" objectType="Spin" dx="15" fmlaLink="GlobBerMedDisc!$N$30" max="30000" page="10" val="0"/>
</file>

<file path=xl/ctrlProps/ctrlProp227.xml><?xml version="1.0" encoding="utf-8"?>
<formControlPr xmlns="http://schemas.microsoft.com/office/spreadsheetml/2009/9/main" objectType="Spin" dx="15" fmlaLink="GlobBerMedDisc!$Q$30" inc="5" max="1440" page="10" val="0"/>
</file>

<file path=xl/ctrlProps/ctrlProp228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29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30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31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32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33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34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35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36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37.xml><?xml version="1.0" encoding="utf-8"?>
<formControlPr xmlns="http://schemas.microsoft.com/office/spreadsheetml/2009/9/main" objectType="Drop" dropStyle="combo" dx="16" fmlaLink="GlobBerMedDisc!$O$31" fmlaRange="tblMedDiscOplVl" sel="1" val="0"/>
</file>

<file path=xl/ctrlProps/ctrlProp238.xml><?xml version="1.0" encoding="utf-8"?>
<formControlPr xmlns="http://schemas.microsoft.com/office/spreadsheetml/2009/9/main" objectType="Spin" dx="15" fmlaLink="GlobBerMedDisc!$I$31" max="13" min="1" page="10"/>
</file>

<file path=xl/ctrlProps/ctrlProp239.xml><?xml version="1.0" encoding="utf-8"?>
<formControlPr xmlns="http://schemas.microsoft.com/office/spreadsheetml/2009/9/main" objectType="Spin" dx="15" fmlaLink="GlobBerMedDisc!$G$31" max="1000" page="10" val="0"/>
</file>

<file path=xl/ctrlProps/ctrlProp240.xml><?xml version="1.0" encoding="utf-8"?>
<formControlPr xmlns="http://schemas.microsoft.com/office/spreadsheetml/2009/9/main" objectType="Spin" dx="15" fmlaLink="GlobBerMedDisc!$N$31" max="30000" page="10" val="0"/>
</file>

<file path=xl/ctrlProps/ctrlProp241.xml><?xml version="1.0" encoding="utf-8"?>
<formControlPr xmlns="http://schemas.microsoft.com/office/spreadsheetml/2009/9/main" objectType="Spin" dx="15" fmlaLink="GlobBerMedDisc!$Q$31" inc="5" max="1440" page="10" val="0"/>
</file>

<file path=xl/ctrlProps/ctrlProp242.xml><?xml version="1.0" encoding="utf-8"?>
<formControlPr xmlns="http://schemas.microsoft.com/office/spreadsheetml/2009/9/main" objectType="Drop" dropStyle="combo" dx="16" fmlaLink="PedBerMedIV!$B$3" fmlaRange="tblMedicationContIV" sel="1" val="0"/>
</file>

<file path=xl/ctrlProps/ctrlProp243.xml><?xml version="1.0" encoding="utf-8"?>
<formControlPr xmlns="http://schemas.microsoft.com/office/spreadsheetml/2009/9/main" objectType="Drop" dropStyle="combo" dx="16" fmlaLink="PedBerMedIV!$B$4" fmlaRange="tblMedicationContIV" sel="1" val="0"/>
</file>

<file path=xl/ctrlProps/ctrlProp244.xml><?xml version="1.0" encoding="utf-8"?>
<formControlPr xmlns="http://schemas.microsoft.com/office/spreadsheetml/2009/9/main" objectType="Drop" dropStyle="combo" dx="16" fmlaLink="PedBerMedIV!$B$5" fmlaRange="tblMedicationContIV" sel="1" val="0"/>
</file>

<file path=xl/ctrlProps/ctrlProp245.xml><?xml version="1.0" encoding="utf-8"?>
<formControlPr xmlns="http://schemas.microsoft.com/office/spreadsheetml/2009/9/main" objectType="Drop" dropStyle="combo" dx="16" fmlaLink="PedBerMedIV!$B$6" fmlaRange="tblMedicationContIV" sel="1" val="17"/>
</file>

<file path=xl/ctrlProps/ctrlProp246.xml><?xml version="1.0" encoding="utf-8"?>
<formControlPr xmlns="http://schemas.microsoft.com/office/spreadsheetml/2009/9/main" objectType="Drop" dropStyle="combo" dx="16" fmlaLink="PedBerMedIV!$B$7" fmlaRange="tblMedicationContIV" sel="1" val="11"/>
</file>

<file path=xl/ctrlProps/ctrlProp247.xml><?xml version="1.0" encoding="utf-8"?>
<formControlPr xmlns="http://schemas.microsoft.com/office/spreadsheetml/2009/9/main" objectType="Drop" dropStyle="combo" dx="16" fmlaLink="PedBerMedIV!$B$8" fmlaRange="tblMedicationContIV" sel="1" val="0"/>
</file>

<file path=xl/ctrlProps/ctrlProp248.xml><?xml version="1.0" encoding="utf-8"?>
<formControlPr xmlns="http://schemas.microsoft.com/office/spreadsheetml/2009/9/main" objectType="Drop" dropStyle="combo" dx="16" fmlaLink="PedBerMedIV!$B$9" fmlaRange="tblMedicationContIV" sel="1" val="6"/>
</file>

<file path=xl/ctrlProps/ctrlProp249.xml><?xml version="1.0" encoding="utf-8"?>
<formControlPr xmlns="http://schemas.microsoft.com/office/spreadsheetml/2009/9/main" objectType="Drop" dropStyle="combo" dx="16" fmlaLink="PedBerMedIV!$B$10" fmlaRange="tblMedicationContIV" sel="1" val="11"/>
</file>

<file path=xl/ctrlProps/ctrlProp250.xml><?xml version="1.0" encoding="utf-8"?>
<formControlPr xmlns="http://schemas.microsoft.com/office/spreadsheetml/2009/9/main" objectType="Drop" dropStyle="combo" dx="16" fmlaLink="PedBerMedIV!$B$11" fmlaRange="tblMedicationContIV" sel="1" val="20"/>
</file>

<file path=xl/ctrlProps/ctrlProp251.xml><?xml version="1.0" encoding="utf-8"?>
<formControlPr xmlns="http://schemas.microsoft.com/office/spreadsheetml/2009/9/main" objectType="Drop" dropStyle="combo" dx="16" fmlaLink="PedBerMedIV!$I$3" fmlaRange="tblOplossing" sel="1" val="0"/>
</file>

<file path=xl/ctrlProps/ctrlProp252.xml><?xml version="1.0" encoding="utf-8"?>
<formControlPr xmlns="http://schemas.microsoft.com/office/spreadsheetml/2009/9/main" objectType="Drop" dropStyle="combo" dx="16" fmlaLink="PedBerMedIV!$I$4" fmlaRange="tblOplossing" sel="1" val="0"/>
</file>

<file path=xl/ctrlProps/ctrlProp253.xml><?xml version="1.0" encoding="utf-8"?>
<formControlPr xmlns="http://schemas.microsoft.com/office/spreadsheetml/2009/9/main" objectType="Drop" dropStyle="combo" dx="16" fmlaLink="PedBerMedIV!$I$5" fmlaRange="tblOplossing" sel="1" val="0"/>
</file>

<file path=xl/ctrlProps/ctrlProp254.xml><?xml version="1.0" encoding="utf-8"?>
<formControlPr xmlns="http://schemas.microsoft.com/office/spreadsheetml/2009/9/main" objectType="Drop" dropStyle="combo" dx="16" fmlaLink="PedBerMedIV!$I$6" fmlaRange="tblOplossing" sel="1" val="0"/>
</file>

<file path=xl/ctrlProps/ctrlProp255.xml><?xml version="1.0" encoding="utf-8"?>
<formControlPr xmlns="http://schemas.microsoft.com/office/spreadsheetml/2009/9/main" objectType="Drop" dropStyle="combo" dx="16" fmlaLink="PedBerMedIV!$I$7" fmlaRange="tblOplossing" sel="1" val="0"/>
</file>

<file path=xl/ctrlProps/ctrlProp256.xml><?xml version="1.0" encoding="utf-8"?>
<formControlPr xmlns="http://schemas.microsoft.com/office/spreadsheetml/2009/9/main" objectType="Drop" dropStyle="combo" dx="16" fmlaLink="PedBerMedIV!$I$8" fmlaRange="tblOplossing" sel="1" val="0"/>
</file>

<file path=xl/ctrlProps/ctrlProp257.xml><?xml version="1.0" encoding="utf-8"?>
<formControlPr xmlns="http://schemas.microsoft.com/office/spreadsheetml/2009/9/main" objectType="Drop" dropStyle="combo" dx="16" fmlaLink="PedBerMedIV!$I$9" fmlaRange="tblOplossing" sel="1" val="0"/>
</file>

<file path=xl/ctrlProps/ctrlProp258.xml><?xml version="1.0" encoding="utf-8"?>
<formControlPr xmlns="http://schemas.microsoft.com/office/spreadsheetml/2009/9/main" objectType="Drop" dropStyle="combo" dx="16" fmlaLink="PedBerMedIV!$I$10" fmlaRange="tblOplossing" sel="1" val="0"/>
</file>

<file path=xl/ctrlProps/ctrlProp259.xml><?xml version="1.0" encoding="utf-8"?>
<formControlPr xmlns="http://schemas.microsoft.com/office/spreadsheetml/2009/9/main" objectType="Drop" dropStyle="combo" dx="16" fmlaLink="PedBerMedIV!$I$11" fmlaRange="tblOplossing" sel="1" val="0"/>
</file>

<file path=xl/ctrlProps/ctrlProp260.xml><?xml version="1.0" encoding="utf-8"?>
<formControlPr xmlns="http://schemas.microsoft.com/office/spreadsheetml/2009/9/main" objectType="Drop" dropStyle="combo" dx="16" fmlaLink="PedBerMedIV!$I$20" fmlaRange="tblOplossing" sel="1" val="0"/>
</file>

<file path=xl/ctrlProps/ctrlProp261.xml><?xml version="1.0" encoding="utf-8"?>
<formControlPr xmlns="http://schemas.microsoft.com/office/spreadsheetml/2009/9/main" objectType="Spin" dx="15" fmlaLink="PedBerMedIV!$E$20" max="100" min="1" page="10"/>
</file>

<file path=xl/ctrlProps/ctrlProp262.xml><?xml version="1.0" encoding="utf-8"?>
<formControlPr xmlns="http://schemas.microsoft.com/office/spreadsheetml/2009/9/main" objectType="Drop" dropStyle="combo" dx="16" fmlaLink="PedBerMedIV!$I$21" fmlaRange="tblOplossing" sel="1" val="0"/>
</file>

<file path=xl/ctrlProps/ctrlProp263.xml><?xml version="1.0" encoding="utf-8"?>
<formControlPr xmlns="http://schemas.microsoft.com/office/spreadsheetml/2009/9/main" objectType="Spin" dx="15" fmlaLink="PedBerMedIV!$E$21" max="100" min="1" page="10"/>
</file>

<file path=xl/ctrlProps/ctrlProp264.xml><?xml version="1.0" encoding="utf-8"?>
<formControlPr xmlns="http://schemas.microsoft.com/office/spreadsheetml/2009/9/main" objectType="Drop" dropStyle="combo" dx="16" fmlaLink="PedBerMedIV!$I$22" fmlaRange="tblOplossing" sel="1" val="0"/>
</file>

<file path=xl/ctrlProps/ctrlProp265.xml><?xml version="1.0" encoding="utf-8"?>
<formControlPr xmlns="http://schemas.microsoft.com/office/spreadsheetml/2009/9/main" objectType="Spin" dx="15" fmlaLink="PedBerMedIV!$E$22" max="100" min="1" page="10"/>
</file>

<file path=xl/ctrlProps/ctrlProp266.xml><?xml version="1.0" encoding="utf-8"?>
<formControlPr xmlns="http://schemas.microsoft.com/office/spreadsheetml/2009/9/main" objectType="Spin" dx="15" fmlaLink="PedBerMedIV!$J$20" max="500" page="10" val="0"/>
</file>

<file path=xl/ctrlProps/ctrlProp267.xml><?xml version="1.0" encoding="utf-8"?>
<formControlPr xmlns="http://schemas.microsoft.com/office/spreadsheetml/2009/9/main" objectType="Spin" dx="15" fmlaLink="PedBerMedIV!$J$21" max="500" page="10" val="0"/>
</file>

<file path=xl/ctrlProps/ctrlProp268.xml><?xml version="1.0" encoding="utf-8"?>
<formControlPr xmlns="http://schemas.microsoft.com/office/spreadsheetml/2009/9/main" objectType="Spin" dx="15" fmlaLink="PedBerMedIV!$J$22" max="500" page="10" val="0"/>
</file>

<file path=xl/ctrlProps/ctrlProp269.xml><?xml version="1.0" encoding="utf-8"?>
<formControlPr xmlns="http://schemas.microsoft.com/office/spreadsheetml/2009/9/main" objectType="Drop" dropStyle="combo" dx="16" fmlaLink="PedBerMedIV!$I$18" fmlaRange="tblOplossing" sel="1" val="0"/>
</file>

<file path=xl/ctrlProps/ctrlProp270.xml><?xml version="1.0" encoding="utf-8"?>
<formControlPr xmlns="http://schemas.microsoft.com/office/spreadsheetml/2009/9/main" objectType="Spin" dx="15" fmlaLink="PedBerMedIV!$E$18" max="100" min="1" page="10"/>
</file>

<file path=xl/ctrlProps/ctrlProp271.xml><?xml version="1.0" encoding="utf-8"?>
<formControlPr xmlns="http://schemas.microsoft.com/office/spreadsheetml/2009/9/main" objectType="Spin" dx="15" fmlaLink="PedBerMedIV!$J$18" max="500" page="10" val="0"/>
</file>

<file path=xl/ctrlProps/ctrlProp272.xml><?xml version="1.0" encoding="utf-8"?>
<formControlPr xmlns="http://schemas.microsoft.com/office/spreadsheetml/2009/9/main" objectType="Drop" dropStyle="combo" dx="16" fmlaLink="PedBerMedIV!$I$19" fmlaRange="tblOplossing" sel="1" val="0"/>
</file>

<file path=xl/ctrlProps/ctrlProp273.xml><?xml version="1.0" encoding="utf-8"?>
<formControlPr xmlns="http://schemas.microsoft.com/office/spreadsheetml/2009/9/main" objectType="Spin" dx="15" fmlaLink="PedBerMedIV!$E$19" max="100" min="1" page="10"/>
</file>

<file path=xl/ctrlProps/ctrlProp274.xml><?xml version="1.0" encoding="utf-8"?>
<formControlPr xmlns="http://schemas.microsoft.com/office/spreadsheetml/2009/9/main" objectType="Spin" dx="15" fmlaLink="PedBerMedIV!$J$19" max="500" page="10" val="0"/>
</file>

<file path=xl/ctrlProps/ctrlProp275.xml><?xml version="1.0" encoding="utf-8"?>
<formControlPr xmlns="http://schemas.microsoft.com/office/spreadsheetml/2009/9/main" objectType="Drop" dropStyle="combo" dx="16" fmlaLink="PedBerMedIV!$B$12" fmlaRange="tblMedicationContIV" sel="1" val="0"/>
</file>

<file path=xl/ctrlProps/ctrlProp276.xml><?xml version="1.0" encoding="utf-8"?>
<formControlPr xmlns="http://schemas.microsoft.com/office/spreadsheetml/2009/9/main" objectType="Drop" dropStyle="combo" dx="16" fmlaLink="PedBerMedIV!$I$12" fmlaRange="tblOplossing" sel="1" val="0"/>
</file>

<file path=xl/ctrlProps/ctrlProp277.xml><?xml version="1.0" encoding="utf-8"?>
<formControlPr xmlns="http://schemas.microsoft.com/office/spreadsheetml/2009/9/main" objectType="Spin" dx="15" fmlaLink="PedBerMedIV!$J$4" max="1000" page="10" val="0"/>
</file>

<file path=xl/ctrlProps/ctrlProp278.xml><?xml version="1.0" encoding="utf-8"?>
<formControlPr xmlns="http://schemas.microsoft.com/office/spreadsheetml/2009/9/main" objectType="Spin" dx="15" fmlaLink="PedBerMedIV!$J$5" max="1000" page="10" val="0"/>
</file>

<file path=xl/ctrlProps/ctrlProp279.xml><?xml version="1.0" encoding="utf-8"?>
<formControlPr xmlns="http://schemas.microsoft.com/office/spreadsheetml/2009/9/main" objectType="Spin" dx="15" fmlaLink="PedBerMedIV!$J$6" max="1000" page="10" val="0"/>
</file>

<file path=xl/ctrlProps/ctrlProp280.xml><?xml version="1.0" encoding="utf-8"?>
<formControlPr xmlns="http://schemas.microsoft.com/office/spreadsheetml/2009/9/main" objectType="Spin" dx="15" fmlaLink="PedBerMedIV!$J$7" max="1000" page="10" val="0"/>
</file>

<file path=xl/ctrlProps/ctrlProp281.xml><?xml version="1.0" encoding="utf-8"?>
<formControlPr xmlns="http://schemas.microsoft.com/office/spreadsheetml/2009/9/main" objectType="Spin" dx="15" fmlaLink="PedBerMedIV!$J$8" max="1000" page="10" val="0"/>
</file>

<file path=xl/ctrlProps/ctrlProp282.xml><?xml version="1.0" encoding="utf-8"?>
<formControlPr xmlns="http://schemas.microsoft.com/office/spreadsheetml/2009/9/main" objectType="Spin" dx="15" fmlaLink="PedBerMedIV!$J$9" max="1000" page="10" val="0"/>
</file>

<file path=xl/ctrlProps/ctrlProp283.xml><?xml version="1.0" encoding="utf-8"?>
<formControlPr xmlns="http://schemas.microsoft.com/office/spreadsheetml/2009/9/main" objectType="Spin" dx="15" fmlaLink="PedBerMedIV!$J$10" max="1000" page="10" val="0"/>
</file>

<file path=xl/ctrlProps/ctrlProp284.xml><?xml version="1.0" encoding="utf-8"?>
<formControlPr xmlns="http://schemas.microsoft.com/office/spreadsheetml/2009/9/main" objectType="Spin" dx="15" fmlaLink="PedBerMedIV!$J$11" max="1000" page="10" val="0"/>
</file>

<file path=xl/ctrlProps/ctrlProp285.xml><?xml version="1.0" encoding="utf-8"?>
<formControlPr xmlns="http://schemas.microsoft.com/office/spreadsheetml/2009/9/main" objectType="Spin" dx="15" fmlaLink="PedBerMedIV!$J$12" max="1000" page="10" val="0"/>
</file>

<file path=xl/ctrlProps/ctrlProp286.xml><?xml version="1.0" encoding="utf-8"?>
<formControlPr xmlns="http://schemas.microsoft.com/office/spreadsheetml/2009/9/main" objectType="Spin" dx="15" fmlaLink="PedBerMedIV!$E$4" max="1000" page="10" val="0"/>
</file>

<file path=xl/ctrlProps/ctrlProp287.xml><?xml version="1.0" encoding="utf-8"?>
<formControlPr xmlns="http://schemas.microsoft.com/office/spreadsheetml/2009/9/main" objectType="Spin" dx="15" fmlaLink="PedBerMedIV!$E$5" max="1000" page="10" val="0"/>
</file>

<file path=xl/ctrlProps/ctrlProp288.xml><?xml version="1.0" encoding="utf-8"?>
<formControlPr xmlns="http://schemas.microsoft.com/office/spreadsheetml/2009/9/main" objectType="Spin" dx="15" fmlaLink="PedBerMedIV!$E$6" max="1000" page="10" val="0"/>
</file>

<file path=xl/ctrlProps/ctrlProp289.xml><?xml version="1.0" encoding="utf-8"?>
<formControlPr xmlns="http://schemas.microsoft.com/office/spreadsheetml/2009/9/main" objectType="Spin" dx="15" fmlaLink="PedBerMedIV!$E$7" max="1000" page="10" val="0"/>
</file>

<file path=xl/ctrlProps/ctrlProp290.xml><?xml version="1.0" encoding="utf-8"?>
<formControlPr xmlns="http://schemas.microsoft.com/office/spreadsheetml/2009/9/main" objectType="Spin" dx="15" fmlaLink="PedBerMedIV!$E$8" max="1000" page="10" val="0"/>
</file>

<file path=xl/ctrlProps/ctrlProp291.xml><?xml version="1.0" encoding="utf-8"?>
<formControlPr xmlns="http://schemas.microsoft.com/office/spreadsheetml/2009/9/main" objectType="Spin" dx="15" fmlaLink="PedBerMedIV!$E$9" max="1000" page="10" val="0"/>
</file>

<file path=xl/ctrlProps/ctrlProp292.xml><?xml version="1.0" encoding="utf-8"?>
<formControlPr xmlns="http://schemas.microsoft.com/office/spreadsheetml/2009/9/main" objectType="Spin" dx="15" fmlaLink="PedBerMedIV!$E$10" max="1000" page="10" val="0"/>
</file>

<file path=xl/ctrlProps/ctrlProp293.xml><?xml version="1.0" encoding="utf-8"?>
<formControlPr xmlns="http://schemas.microsoft.com/office/spreadsheetml/2009/9/main" objectType="Spin" dx="15" fmlaLink="PedBerMedIV!$E$11" max="1000" page="10" val="0"/>
</file>

<file path=xl/ctrlProps/ctrlProp294.xml><?xml version="1.0" encoding="utf-8"?>
<formControlPr xmlns="http://schemas.microsoft.com/office/spreadsheetml/2009/9/main" objectType="Spin" dx="15" fmlaLink="PedBerMedIV!$E$12" max="1000" page="10" val="0"/>
</file>

<file path=xl/ctrlProps/ctrlProp295.xml><?xml version="1.0" encoding="utf-8"?>
<formControlPr xmlns="http://schemas.microsoft.com/office/spreadsheetml/2009/9/main" objectType="Spin" dx="15" fmlaLink="PedBerMedIV!$D$6" max="1000" page="10" val="0"/>
</file>

<file path=xl/ctrlProps/ctrlProp296.xml><?xml version="1.0" encoding="utf-8"?>
<formControlPr xmlns="http://schemas.microsoft.com/office/spreadsheetml/2009/9/main" objectType="Spin" dx="15" fmlaLink="PedBerMedIV!$D$7" max="1000" page="10" val="0"/>
</file>

<file path=xl/ctrlProps/ctrlProp297.xml><?xml version="1.0" encoding="utf-8"?>
<formControlPr xmlns="http://schemas.microsoft.com/office/spreadsheetml/2009/9/main" objectType="Spin" dx="15" fmlaLink="PedBerMedIV!$D$8" max="1000" page="10" val="0"/>
</file>

<file path=xl/ctrlProps/ctrlProp298.xml><?xml version="1.0" encoding="utf-8"?>
<formControlPr xmlns="http://schemas.microsoft.com/office/spreadsheetml/2009/9/main" objectType="Spin" dx="15" fmlaLink="PedBerMedIV!$D$9" max="1000" page="10" val="0"/>
</file>

<file path=xl/ctrlProps/ctrlProp299.xml><?xml version="1.0" encoding="utf-8"?>
<formControlPr xmlns="http://schemas.microsoft.com/office/spreadsheetml/2009/9/main" objectType="Spin" dx="15" fmlaLink="PedBerMedIV!$D$10" max="1000" page="10" val="0"/>
</file>

<file path=xl/ctrlProps/ctrlProp300.xml><?xml version="1.0" encoding="utf-8"?>
<formControlPr xmlns="http://schemas.microsoft.com/office/spreadsheetml/2009/9/main" objectType="Spin" dx="15" fmlaLink="PedBerMedIV!$D$11" max="1000" page="10" val="0"/>
</file>

<file path=xl/ctrlProps/ctrlProp301.xml><?xml version="1.0" encoding="utf-8"?>
<formControlPr xmlns="http://schemas.microsoft.com/office/spreadsheetml/2009/9/main" objectType="Spin" dx="15" fmlaLink="PedBerMedIV!$D$12" max="1000" page="10" val="0"/>
</file>

<file path=xl/ctrlProps/ctrlProp302.xml><?xml version="1.0" encoding="utf-8"?>
<formControlPr xmlns="http://schemas.microsoft.com/office/spreadsheetml/2009/9/main" objectType="Spin" dx="15" fmlaLink="PedBerMedIV!$E$3" max="1000" page="10" val="0"/>
</file>

<file path=xl/ctrlProps/ctrlProp303.xml><?xml version="1.0" encoding="utf-8"?>
<formControlPr xmlns="http://schemas.microsoft.com/office/spreadsheetml/2009/9/main" objectType="Spin" dx="15" fmlaLink="PedBerMedIV!$D$3" max="1000" page="10" val="0"/>
</file>

<file path=xl/ctrlProps/ctrlProp304.xml><?xml version="1.0" encoding="utf-8"?>
<formControlPr xmlns="http://schemas.microsoft.com/office/spreadsheetml/2009/9/main" objectType="Spin" dx="15" fmlaLink="PedBerMedIV!$J$3" max="1000" page="10" val="0"/>
</file>

<file path=xl/ctrlProps/ctrlProp305.xml><?xml version="1.0" encoding="utf-8"?>
<formControlPr xmlns="http://schemas.microsoft.com/office/spreadsheetml/2009/9/main" objectType="Spin" dx="15" fmlaLink="PedBerMedIV!$D$4" max="1000" page="10" val="0"/>
</file>

<file path=xl/ctrlProps/ctrlProp306.xml><?xml version="1.0" encoding="utf-8"?>
<formControlPr xmlns="http://schemas.microsoft.com/office/spreadsheetml/2009/9/main" objectType="Spin" dx="15" fmlaLink="PedBerMedIV!$D$5" max="1000" page="10" val="0"/>
</file>

<file path=xl/ctrlProps/ctrlProp307.xml><?xml version="1.0" encoding="utf-8"?>
<formControlPr xmlns="http://schemas.microsoft.com/office/spreadsheetml/2009/9/main" objectType="Drop" dropStyle="combo" dx="16" fmlaLink="PedBerMedIV!$B$13" fmlaRange="tblMedicationContIV" sel="1" val="20"/>
</file>

<file path=xl/ctrlProps/ctrlProp308.xml><?xml version="1.0" encoding="utf-8"?>
<formControlPr xmlns="http://schemas.microsoft.com/office/spreadsheetml/2009/9/main" objectType="Drop" dropStyle="combo" dx="16" fmlaLink="PedBerMedIV!$I$13" fmlaRange="tblOplossing" sel="1" val="0"/>
</file>

<file path=xl/ctrlProps/ctrlProp309.xml><?xml version="1.0" encoding="utf-8"?>
<formControlPr xmlns="http://schemas.microsoft.com/office/spreadsheetml/2009/9/main" objectType="Drop" dropStyle="combo" dx="16" fmlaLink="PedBerMedIV!$B$14" fmlaRange="tblMedicationContIV" sel="1" val="0"/>
</file>

<file path=xl/ctrlProps/ctrlProp310.xml><?xml version="1.0" encoding="utf-8"?>
<formControlPr xmlns="http://schemas.microsoft.com/office/spreadsheetml/2009/9/main" objectType="Drop" dropStyle="combo" dx="16" fmlaLink="PedBerMedIV!$I$14" fmlaRange="tblOplossing" sel="1" val="0"/>
</file>

<file path=xl/ctrlProps/ctrlProp311.xml><?xml version="1.0" encoding="utf-8"?>
<formControlPr xmlns="http://schemas.microsoft.com/office/spreadsheetml/2009/9/main" objectType="Spin" dx="15" fmlaLink="PedBerMedIV!$J$13" max="1000" page="10" val="0"/>
</file>

<file path=xl/ctrlProps/ctrlProp312.xml><?xml version="1.0" encoding="utf-8"?>
<formControlPr xmlns="http://schemas.microsoft.com/office/spreadsheetml/2009/9/main" objectType="Spin" dx="15" fmlaLink="PedBerMedIV!$J$14" max="1000" page="10" val="0"/>
</file>

<file path=xl/ctrlProps/ctrlProp313.xml><?xml version="1.0" encoding="utf-8"?>
<formControlPr xmlns="http://schemas.microsoft.com/office/spreadsheetml/2009/9/main" objectType="Spin" dx="15" fmlaLink="PedBerMedIV!$E$13" max="1000" page="10" val="0"/>
</file>

<file path=xl/ctrlProps/ctrlProp314.xml><?xml version="1.0" encoding="utf-8"?>
<formControlPr xmlns="http://schemas.microsoft.com/office/spreadsheetml/2009/9/main" objectType="Spin" dx="15" fmlaLink="PedBerMedIV!$E$14" max="1000" page="10" val="0"/>
</file>

<file path=xl/ctrlProps/ctrlProp315.xml><?xml version="1.0" encoding="utf-8"?>
<formControlPr xmlns="http://schemas.microsoft.com/office/spreadsheetml/2009/9/main" objectType="Spin" dx="15" fmlaLink="PedBerMedIV!$D$13" max="1000" page="10" val="0"/>
</file>

<file path=xl/ctrlProps/ctrlProp316.xml><?xml version="1.0" encoding="utf-8"?>
<formControlPr xmlns="http://schemas.microsoft.com/office/spreadsheetml/2009/9/main" objectType="Spin" dx="15" fmlaLink="PedBerMedIV!$D$14" max="1000" page="10" val="0"/>
</file>

<file path=xl/ctrlProps/ctrlProp317.xml><?xml version="1.0" encoding="utf-8"?>
<formControlPr xmlns="http://schemas.microsoft.com/office/spreadsheetml/2009/9/main" objectType="Drop" dropStyle="combo" dx="16" fmlaLink="PedBerMedIV!$B$15" fmlaRange="tblMedicationContIV" sel="1" val="21"/>
</file>

<file path=xl/ctrlProps/ctrlProp318.xml><?xml version="1.0" encoding="utf-8"?>
<formControlPr xmlns="http://schemas.microsoft.com/office/spreadsheetml/2009/9/main" objectType="Drop" dropStyle="combo" dx="16" fmlaLink="PedBerMedIV!$I$15" fmlaRange="tblOplossing" sel="1" val="0"/>
</file>

<file path=xl/ctrlProps/ctrlProp319.xml><?xml version="1.0" encoding="utf-8"?>
<formControlPr xmlns="http://schemas.microsoft.com/office/spreadsheetml/2009/9/main" objectType="Drop" dropStyle="combo" dx="16" fmlaLink="PedBerMedIV!$B$16" fmlaRange="tblMedicationContIV" sel="1" val="0"/>
</file>

<file path=xl/ctrlProps/ctrlProp320.xml><?xml version="1.0" encoding="utf-8"?>
<formControlPr xmlns="http://schemas.microsoft.com/office/spreadsheetml/2009/9/main" objectType="Drop" dropStyle="combo" dx="16" fmlaLink="PedBerMedIV!$I$16" fmlaRange="tblOplossing" sel="1" val="0"/>
</file>

<file path=xl/ctrlProps/ctrlProp321.xml><?xml version="1.0" encoding="utf-8"?>
<formControlPr xmlns="http://schemas.microsoft.com/office/spreadsheetml/2009/9/main" objectType="Spin" dx="15" fmlaLink="PedBerMedIV!$J$15" max="1000" page="10" val="0"/>
</file>

<file path=xl/ctrlProps/ctrlProp322.xml><?xml version="1.0" encoding="utf-8"?>
<formControlPr xmlns="http://schemas.microsoft.com/office/spreadsheetml/2009/9/main" objectType="Spin" dx="15" fmlaLink="PedBerMedIV!$J$16" max="1000" page="10" val="0"/>
</file>

<file path=xl/ctrlProps/ctrlProp323.xml><?xml version="1.0" encoding="utf-8"?>
<formControlPr xmlns="http://schemas.microsoft.com/office/spreadsheetml/2009/9/main" objectType="Spin" dx="15" fmlaLink="PedBerMedIV!$E$15" max="1000" page="10" val="0"/>
</file>

<file path=xl/ctrlProps/ctrlProp324.xml><?xml version="1.0" encoding="utf-8"?>
<formControlPr xmlns="http://schemas.microsoft.com/office/spreadsheetml/2009/9/main" objectType="Spin" dx="15" fmlaLink="PedBerMedIV!$E$16" max="1000" page="10" val="0"/>
</file>

<file path=xl/ctrlProps/ctrlProp325.xml><?xml version="1.0" encoding="utf-8"?>
<formControlPr xmlns="http://schemas.microsoft.com/office/spreadsheetml/2009/9/main" objectType="Spin" dx="15" fmlaLink="PedBerMedIV!$D$15" max="1000" page="10" val="0"/>
</file>

<file path=xl/ctrlProps/ctrlProp326.xml><?xml version="1.0" encoding="utf-8"?>
<formControlPr xmlns="http://schemas.microsoft.com/office/spreadsheetml/2009/9/main" objectType="Spin" dx="15" fmlaLink="PedBerMedIV!$D$16" max="1000" page="10" val="0"/>
</file>

<file path=xl/ctrlProps/ctrlProp327.xml><?xml version="1.0" encoding="utf-8"?>
<formControlPr xmlns="http://schemas.microsoft.com/office/spreadsheetml/2009/9/main" objectType="Drop" dropStyle="combo" dx="16" fmlaLink="PedBerMedIV!$B$17" fmlaRange="tblMedicationContIV" sel="1" val="0"/>
</file>

<file path=xl/ctrlProps/ctrlProp328.xml><?xml version="1.0" encoding="utf-8"?>
<formControlPr xmlns="http://schemas.microsoft.com/office/spreadsheetml/2009/9/main" objectType="Drop" dropStyle="combo" dx="16" fmlaLink="PedBerMedIV!$I$17" fmlaRange="tblOplossing" sel="1" val="0"/>
</file>

<file path=xl/ctrlProps/ctrlProp329.xml><?xml version="1.0" encoding="utf-8"?>
<formControlPr xmlns="http://schemas.microsoft.com/office/spreadsheetml/2009/9/main" objectType="Spin" dx="15" fmlaLink="PedBerMedIV!$J$17" max="1000" page="10" val="0"/>
</file>

<file path=xl/ctrlProps/ctrlProp330.xml><?xml version="1.0" encoding="utf-8"?>
<formControlPr xmlns="http://schemas.microsoft.com/office/spreadsheetml/2009/9/main" objectType="Spin" dx="15" fmlaLink="PedBerMedIV!$E$17" max="1000" page="10" val="0"/>
</file>

<file path=xl/ctrlProps/ctrlProp331.xml><?xml version="1.0" encoding="utf-8"?>
<formControlPr xmlns="http://schemas.microsoft.com/office/spreadsheetml/2009/9/main" objectType="Spin" dx="15" fmlaLink="PedBerMedIV!$D$17" max="1000" page="10" val="0"/>
</file>

<file path=xl/ctrlProps/ctrlProp332.xml><?xml version="1.0" encoding="utf-8"?>
<formControlPr xmlns="http://schemas.microsoft.com/office/spreadsheetml/2009/9/main" objectType="Drop" dropStyle="combo" dx="16" fmlaLink="PedBerIVenPM!$B$2" fmlaRange="tblInfusen" sel="1" val="0"/>
</file>

<file path=xl/ctrlProps/ctrlProp333.xml><?xml version="1.0" encoding="utf-8"?>
<formControlPr xmlns="http://schemas.microsoft.com/office/spreadsheetml/2009/9/main" objectType="Drop" dropStyle="combo" dx="16" fmlaLink="PedBerIVenPM!$B$3" fmlaRange="tblInfusen" sel="1" val="0"/>
</file>

<file path=xl/ctrlProps/ctrlProp334.xml><?xml version="1.0" encoding="utf-8"?>
<formControlPr xmlns="http://schemas.microsoft.com/office/spreadsheetml/2009/9/main" objectType="Drop" dropStyle="combo" dx="16" fmlaLink="PedBerIVenPM!$B$4" fmlaRange="tblInfusen" sel="1" val="3"/>
</file>

<file path=xl/ctrlProps/ctrlProp335.xml><?xml version="1.0" encoding="utf-8"?>
<formControlPr xmlns="http://schemas.microsoft.com/office/spreadsheetml/2009/9/main" objectType="Drop" dropStyle="combo" dx="16" fmlaLink="PedBerIVenPM!$B$5" fmlaRange="tblInfusen" sel="1" val="0"/>
</file>

<file path=xl/ctrlProps/ctrlProp336.xml><?xml version="1.0" encoding="utf-8"?>
<formControlPr xmlns="http://schemas.microsoft.com/office/spreadsheetml/2009/9/main" objectType="Drop" dropStyle="combo" dx="16" fmlaLink="PedBerIVenPM!$B$6" fmlaRange="tblInfusen" sel="1" val="0"/>
</file>

<file path=xl/ctrlProps/ctrlProp337.xml><?xml version="1.0" encoding="utf-8"?>
<formControlPr xmlns="http://schemas.microsoft.com/office/spreadsheetml/2009/9/main" objectType="Drop" dropStyle="combo" dx="16" fmlaLink="PedBerIVenPM!$B$7" fmlaRange="tblInfusen" sel="1" val="0"/>
</file>

<file path=xl/ctrlProps/ctrlProp338.xml><?xml version="1.0" encoding="utf-8"?>
<formControlPr xmlns="http://schemas.microsoft.com/office/spreadsheetml/2009/9/main" objectType="Drop" dropStyle="combo" dx="16" fmlaLink="_Ped_PM_Actief" fmlaRange="tblPacemakerPositie" sel="1" val="0"/>
</file>

<file path=xl/ctrlProps/ctrlProp339.xml><?xml version="1.0" encoding="utf-8"?>
<formControlPr xmlns="http://schemas.microsoft.com/office/spreadsheetml/2009/9/main" objectType="Drop" dropStyle="combo" dx="16" fmlaLink="_Ped_PM_Mod" fmlaRange="tblPacemakerModus" sel="1" val="0"/>
</file>

<file path=xl/ctrlProps/ctrlProp340.xml><?xml version="1.0" encoding="utf-8"?>
<formControlPr xmlns="http://schemas.microsoft.com/office/spreadsheetml/2009/9/main" objectType="Spin" dx="15" fmlaLink="PedBerIVenPM!$K$1" max="200" min="30" page="10" val="30"/>
</file>

<file path=xl/ctrlProps/ctrlProp341.xml><?xml version="1.0" encoding="utf-8"?>
<formControlPr xmlns="http://schemas.microsoft.com/office/spreadsheetml/2009/9/main" objectType="Spin" dx="15" fmlaLink="PedBerIVenPM!$K$2" max="180" min="1" page="10"/>
</file>

<file path=xl/ctrlProps/ctrlProp342.xml><?xml version="1.0" encoding="utf-8"?>
<formControlPr xmlns="http://schemas.microsoft.com/office/spreadsheetml/2009/9/main" objectType="Spin" dx="15" fmlaLink="PedBerIVenPM!$K$3" max="180" min="1" page="10"/>
</file>

<file path=xl/ctrlProps/ctrlProp343.xml><?xml version="1.0" encoding="utf-8"?>
<formControlPr xmlns="http://schemas.microsoft.com/office/spreadsheetml/2009/9/main" objectType="Spin" dx="15" fmlaLink="PedBerIVenPM!$K$4" max="250" min="20" page="10" val="20"/>
</file>

<file path=xl/ctrlProps/ctrlProp344.xml><?xml version="1.0" encoding="utf-8"?>
<formControlPr xmlns="http://schemas.microsoft.com/office/spreadsheetml/2009/9/main" objectType="Spin" dx="15" fmlaLink="PedBerIVenPM!$K$5" max="200" min="2" page="10" val="2"/>
</file>

<file path=xl/ctrlProps/ctrlProp345.xml><?xml version="1.0" encoding="utf-8"?>
<formControlPr xmlns="http://schemas.microsoft.com/office/spreadsheetml/2009/9/main" objectType="Spin" dx="15" fmlaLink="PedBerIVenPM!$K$6" max="200" min="10" page="10" val="10"/>
</file>

<file path=xl/ctrlProps/ctrlProp346.xml><?xml version="1.0" encoding="utf-8"?>
<formControlPr xmlns="http://schemas.microsoft.com/office/spreadsheetml/2009/9/main" objectType="Spin" dx="15" fmlaLink="PedBerEnt!$B$3" max="24" min="1" page="10"/>
</file>

<file path=xl/ctrlProps/ctrlProp347.xml><?xml version="1.0" encoding="utf-8"?>
<formControlPr xmlns="http://schemas.microsoft.com/office/spreadsheetml/2009/9/main" objectType="Spin" dx="15" fmlaLink="PedBerEnt!$C$3" max="10000" min="1" page="10" val="10"/>
</file>

<file path=xl/ctrlProps/ctrlProp348.xml><?xml version="1.0" encoding="utf-8"?>
<formControlPr xmlns="http://schemas.microsoft.com/office/spreadsheetml/2009/9/main" objectType="Drop" dropStyle="combo" dx="16" fmlaLink="PedBerEnt!$F$3" fmlaRange="tblPerOs" sel="0" val="0"/>
</file>

<file path=xl/ctrlProps/ctrlProp349.xml><?xml version="1.0" encoding="utf-8"?>
<formControlPr xmlns="http://schemas.microsoft.com/office/spreadsheetml/2009/9/main" objectType="Spin" dx="15" fmlaLink="PedBerTPN!$D$3" max="300" page="10" val="0"/>
</file>

<file path=xl/ctrlProps/ctrlProp350.xml><?xml version="1.0" encoding="utf-8"?>
<formControlPr xmlns="http://schemas.microsoft.com/office/spreadsheetml/2009/9/main" objectType="Spin" dx="15" fmlaLink="PedBerTPN!$E$7" max="5000" min="1" page="10"/>
</file>

<file path=xl/ctrlProps/ctrlProp351.xml><?xml version="1.0" encoding="utf-8"?>
<formControlPr xmlns="http://schemas.microsoft.com/office/spreadsheetml/2009/9/main" objectType="Spin" dx="15" fmlaLink="PedBerTPN!$E$8" max="5000" min="1" page="10"/>
</file>

<file path=xl/ctrlProps/ctrlProp352.xml><?xml version="1.0" encoding="utf-8"?>
<formControlPr xmlns="http://schemas.microsoft.com/office/spreadsheetml/2009/9/main" objectType="Spin" dx="15" fmlaLink="PedBerTPN!$E$9" max="5000" min="1" page="10"/>
</file>

<file path=xl/ctrlProps/ctrlProp353.xml><?xml version="1.0" encoding="utf-8"?>
<formControlPr xmlns="http://schemas.microsoft.com/office/spreadsheetml/2009/9/main" objectType="CheckBox" fmlaLink="PedBerTPN!$C$7" lockText="1"/>
</file>

<file path=xl/ctrlProps/ctrlProp354.xml><?xml version="1.0" encoding="utf-8"?>
<formControlPr xmlns="http://schemas.microsoft.com/office/spreadsheetml/2009/9/main" objectType="CheckBox" fmlaLink="PedBerTPN!$C$8" lockText="1"/>
</file>

<file path=xl/ctrlProps/ctrlProp355.xml><?xml version="1.0" encoding="utf-8"?>
<formControlPr xmlns="http://schemas.microsoft.com/office/spreadsheetml/2009/9/main" objectType="CheckBox" fmlaLink="PedBerTPN!$C$9" lockText="1"/>
</file>

<file path=xl/ctrlProps/ctrlProp356.xml><?xml version="1.0" encoding="utf-8"?>
<formControlPr xmlns="http://schemas.microsoft.com/office/spreadsheetml/2009/9/main" objectType="Spin" dx="15" fmlaLink="PedBerTPN!$D$12" max="200" page="10" val="0"/>
</file>

<file path=xl/ctrlProps/ctrlProp357.xml><?xml version="1.0" encoding="utf-8"?>
<formControlPr xmlns="http://schemas.microsoft.com/office/spreadsheetml/2009/9/main" objectType="CheckBox" fmlaLink="PedBerTPN!$C$14" lockText="1"/>
</file>

<file path=xl/ctrlProps/ctrlProp358.xml><?xml version="1.0" encoding="utf-8"?>
<formControlPr xmlns="http://schemas.microsoft.com/office/spreadsheetml/2009/9/main" objectType="CheckBox" fmlaLink="PedBerTPN!$C$15" lockText="1"/>
</file>

<file path=xl/ctrlProps/ctrlProp359.xml><?xml version="1.0" encoding="utf-8"?>
<formControlPr xmlns="http://schemas.microsoft.com/office/spreadsheetml/2009/9/main" objectType="Spin" dx="15" fmlaLink="PedBerTPN!$E$14" max="55" min="1" page="10"/>
</file>

<file path=xl/ctrlProps/ctrlProp360.xml><?xml version="1.0" encoding="utf-8"?>
<formControlPr xmlns="http://schemas.microsoft.com/office/spreadsheetml/2009/9/main" objectType="Spin" dx="15" fmlaLink="PedBerTPN!$E$15" max="55" min="1" page="10"/>
</file>

<file path=xl/ctrlProps/ctrlProp361.xml><?xml version="1.0" encoding="utf-8"?>
<formControlPr xmlns="http://schemas.microsoft.com/office/spreadsheetml/2009/9/main" objectType="Drop" dropStyle="combo" dx="16" fmlaLink="PedBerEnt!$G$3" fmlaRange="tblSonde" sel="1" val="0"/>
</file>

<file path=xl/ctrlProps/ctrlProp362.xml><?xml version="1.0" encoding="utf-8"?>
<formControlPr xmlns="http://schemas.microsoft.com/office/spreadsheetml/2009/9/main" objectType="CheckBox" fmlaLink="PedBerTPN!$C$10" lockText="1"/>
</file>

<file path=xl/ctrlProps/ctrlProp363.xml><?xml version="1.0" encoding="utf-8"?>
<formControlPr xmlns="http://schemas.microsoft.com/office/spreadsheetml/2009/9/main" objectType="CheckBox" fmlaLink="PedBerTPN!$C$11" lockText="1"/>
</file>

<file path=xl/ctrlProps/ctrlProp364.xml><?xml version="1.0" encoding="utf-8"?>
<formControlPr xmlns="http://schemas.microsoft.com/office/spreadsheetml/2009/9/main" objectType="Spin" dx="15" fmlaLink="PedBerTPN!$E$10" max="5000" min="1" page="10"/>
</file>

<file path=xl/ctrlProps/ctrlProp365.xml><?xml version="1.0" encoding="utf-8"?>
<formControlPr xmlns="http://schemas.microsoft.com/office/spreadsheetml/2009/9/main" objectType="Spin" dx="15" fmlaLink="PedBerTPN!$E$11" max="200" min="1" page="10"/>
</file>

<file path=xl/ctrlProps/ctrlProp366.xml><?xml version="1.0" encoding="utf-8"?>
<formControlPr xmlns="http://schemas.microsoft.com/office/spreadsheetml/2009/9/main" objectType="Drop" dropStyle="combo" dx="16" fmlaLink="PedBerTPN!$B$4" fmlaRange="tblTPN" sel="1" val="0"/>
</file>

<file path=xl/ctrlProps/ctrlProp367.xml><?xml version="1.0" encoding="utf-8"?>
<formControlPr xmlns="http://schemas.microsoft.com/office/spreadsheetml/2009/9/main" objectType="Drop" dropStyle="combo" dx="16" fmlaLink="PedBerTPN!$B$6" fmlaRange="tblSSTGlucose" sel="1" val="0"/>
</file>

<file path=xl/ctrlProps/ctrlProp368.xml><?xml version="1.0" encoding="utf-8"?>
<formControlPr xmlns="http://schemas.microsoft.com/office/spreadsheetml/2009/9/main" objectType="Spin" dx="15" fmlaLink="PedBerTPN!$E$4" max="4000" page="10" val="0"/>
</file>

<file path=xl/ctrlProps/ctrlProp369.xml><?xml version="1.0" encoding="utf-8"?>
<formControlPr xmlns="http://schemas.microsoft.com/office/spreadsheetml/2009/9/main" objectType="Spin" dx="15" fmlaLink="PedBerEnt!$B$4" max="12" min="1" page="10"/>
</file>

<file path=xl/ctrlProps/ctrlProp370.xml><?xml version="1.0" encoding="utf-8"?>
<formControlPr xmlns="http://schemas.microsoft.com/office/spreadsheetml/2009/9/main" objectType="Spin" dx="15" fmlaLink="PedBerEnt!$C$4" max="100" page="10" val="10"/>
</file>

<file path=xl/ctrlProps/ctrlProp371.xml><?xml version="1.0" encoding="utf-8"?>
<formControlPr xmlns="http://schemas.microsoft.com/office/spreadsheetml/2009/9/main" objectType="Drop" dropStyle="combo" dx="16" fmlaLink="PedBerEnt!$F$4" fmlaRange="tblPoeder" sel="0" val="0"/>
</file>

<file path=xl/ctrlProps/ctrlProp372.xml><?xml version="1.0" encoding="utf-8"?>
<formControlPr xmlns="http://schemas.microsoft.com/office/spreadsheetml/2009/9/main" objectType="Spin" dx="15" fmlaLink="PedBerTPN!$E$5" max="15" page="10" val="0"/>
</file>

<file path=xl/ctrlProps/ctrlProp373.xml><?xml version="1.0" encoding="utf-8"?>
<formControlPr xmlns="http://schemas.microsoft.com/office/spreadsheetml/2009/9/main" objectType="Spin" dx="15" fmlaLink="PedBerEnt!$B$5" max="12" min="1" page="10"/>
</file>

<file path=xl/ctrlProps/ctrlProp374.xml><?xml version="1.0" encoding="utf-8"?>
<formControlPr xmlns="http://schemas.microsoft.com/office/spreadsheetml/2009/9/main" objectType="Spin" dx="15" fmlaLink="PedBerEnt!$C$5" max="100" page="10" val="10"/>
</file>

<file path=xl/ctrlProps/ctrlProp375.xml><?xml version="1.0" encoding="utf-8"?>
<formControlPr xmlns="http://schemas.microsoft.com/office/spreadsheetml/2009/9/main" objectType="Drop" dropStyle="combo" dx="16" fmlaLink="PedBerEnt!$F$5" fmlaRange="tblPoeder" sel="0" val="0"/>
</file>

<file path=xl/ctrlProps/ctrlProp376.xml><?xml version="1.0" encoding="utf-8"?>
<formControlPr xmlns="http://schemas.microsoft.com/office/spreadsheetml/2009/9/main" objectType="Spin" dx="15" fmlaLink="PedBerEnt!$B$6" max="12" min="1" page="10"/>
</file>

<file path=xl/ctrlProps/ctrlProp377.xml><?xml version="1.0" encoding="utf-8"?>
<formControlPr xmlns="http://schemas.microsoft.com/office/spreadsheetml/2009/9/main" objectType="Spin" dx="15" fmlaLink="PedBerEnt!$C$6" max="100" page="10" val="10"/>
</file>

<file path=xl/ctrlProps/ctrlProp378.xml><?xml version="1.0" encoding="utf-8"?>
<formControlPr xmlns="http://schemas.microsoft.com/office/spreadsheetml/2009/9/main" objectType="Drop" dropStyle="combo" dx="16" fmlaLink="PedBerEnt!$F$6" fmlaRange="tblPoeder" sel="0" val="0"/>
</file>

<file path=xl/ctrlProps/ctrlProp379.xml><?xml version="1.0" encoding="utf-8"?>
<formControlPr xmlns="http://schemas.microsoft.com/office/spreadsheetml/2009/9/main" objectType="Spin" dx="15" fmlaLink="PedBerTPN!$D$19" max="200" page="10" val="0"/>
</file>

<file path=xl/ctrlProps/ctrlProp380.xml><?xml version="1.0" encoding="utf-8"?>
<formControlPr xmlns="http://schemas.microsoft.com/office/spreadsheetml/2009/9/main" objectType="Spin" dx="15" fmlaLink="PedBerTPN!$E$21" max="1000" min="1" page="10"/>
</file>

<file path=xl/ctrlProps/ctrlProp381.xml><?xml version="1.0" encoding="utf-8"?>
<formControlPr xmlns="http://schemas.microsoft.com/office/spreadsheetml/2009/9/main" objectType="Spin" dx="15" fmlaLink="PedBerTPN!$E$22" max="200" min="1" page="10"/>
</file>

<file path=xl/ctrlProps/ctrlProp382.xml><?xml version="1.0" encoding="utf-8"?>
<formControlPr xmlns="http://schemas.microsoft.com/office/spreadsheetml/2009/9/main" objectType="CheckBox" fmlaLink="PedBerTPN!$C$21" lockText="1"/>
</file>

<file path=xl/ctrlProps/ctrlProp383.xml><?xml version="1.0" encoding="utf-8"?>
<formControlPr xmlns="http://schemas.microsoft.com/office/spreadsheetml/2009/9/main" objectType="CheckBox" fmlaLink="PedBerTPN!$C$22" lockText="1"/>
</file>

<file path=xl/ctrlProps/ctrlProp384.xml><?xml version="1.0" encoding="utf-8"?>
<formControlPr xmlns="http://schemas.microsoft.com/office/spreadsheetml/2009/9/main" objectType="Drop" dropStyle="combo" dx="16" fmlaLink="PedBerTPN!$B$20" fmlaRange="tblSSTGlucose" sel="1" val="6"/>
</file>

<file path=xl/ctrlProps/ctrlProp385.xml><?xml version="1.0" encoding="utf-8"?>
<formControlPr xmlns="http://schemas.microsoft.com/office/spreadsheetml/2009/9/main" objectType="CheckBox" fmlaLink="PedBerLab!$C$4" lockText="1"/>
</file>

<file path=xl/ctrlProps/ctrlProp386.xml><?xml version="1.0" encoding="utf-8"?>
<formControlPr xmlns="http://schemas.microsoft.com/office/spreadsheetml/2009/9/main" objectType="CheckBox" fmlaLink="PedBerLab!C5" lockText="1"/>
</file>

<file path=xl/ctrlProps/ctrlProp387.xml><?xml version="1.0" encoding="utf-8"?>
<formControlPr xmlns="http://schemas.microsoft.com/office/spreadsheetml/2009/9/main" objectType="CheckBox" fmlaLink="PedBerLab!C7" lockText="1"/>
</file>

<file path=xl/ctrlProps/ctrlProp388.xml><?xml version="1.0" encoding="utf-8"?>
<formControlPr xmlns="http://schemas.microsoft.com/office/spreadsheetml/2009/9/main" objectType="CheckBox" fmlaLink="PedBerLab!C8" lockText="1"/>
</file>

<file path=xl/ctrlProps/ctrlProp389.xml><?xml version="1.0" encoding="utf-8"?>
<formControlPr xmlns="http://schemas.microsoft.com/office/spreadsheetml/2009/9/main" objectType="CheckBox" fmlaLink="PedBerLab!C13" lockText="1"/>
</file>

<file path=xl/ctrlProps/ctrlProp390.xml><?xml version="1.0" encoding="utf-8"?>
<formControlPr xmlns="http://schemas.microsoft.com/office/spreadsheetml/2009/9/main" objectType="CheckBox" fmlaLink="PedBerLab!C12" lockText="1"/>
</file>

<file path=xl/ctrlProps/ctrlProp391.xml><?xml version="1.0" encoding="utf-8"?>
<formControlPr xmlns="http://schemas.microsoft.com/office/spreadsheetml/2009/9/main" objectType="CheckBox" fmlaLink="PedBerLab!C30" lockText="1"/>
</file>

<file path=xl/ctrlProps/ctrlProp392.xml><?xml version="1.0" encoding="utf-8"?>
<formControlPr xmlns="http://schemas.microsoft.com/office/spreadsheetml/2009/9/main" objectType="CheckBox" fmlaLink="PedBerLab!C15" lockText="1"/>
</file>

<file path=xl/ctrlProps/ctrlProp393.xml><?xml version="1.0" encoding="utf-8"?>
<formControlPr xmlns="http://schemas.microsoft.com/office/spreadsheetml/2009/9/main" objectType="CheckBox" fmlaLink="PedBerLab!C18" lockText="1"/>
</file>

<file path=xl/ctrlProps/ctrlProp394.xml><?xml version="1.0" encoding="utf-8"?>
<formControlPr xmlns="http://schemas.microsoft.com/office/spreadsheetml/2009/9/main" objectType="CheckBox" fmlaLink="PedBerLab!C19" lockText="1"/>
</file>

<file path=xl/ctrlProps/ctrlProp395.xml><?xml version="1.0" encoding="utf-8"?>
<formControlPr xmlns="http://schemas.microsoft.com/office/spreadsheetml/2009/9/main" objectType="CheckBox" fmlaLink="PedBerLab!C20" lockText="1"/>
</file>

<file path=xl/ctrlProps/ctrlProp396.xml><?xml version="1.0" encoding="utf-8"?>
<formControlPr xmlns="http://schemas.microsoft.com/office/spreadsheetml/2009/9/main" objectType="CheckBox" fmlaLink="PedBerLab!C11" lockText="1"/>
</file>

<file path=xl/ctrlProps/ctrlProp397.xml><?xml version="1.0" encoding="utf-8"?>
<formControlPr xmlns="http://schemas.microsoft.com/office/spreadsheetml/2009/9/main" objectType="CheckBox" fmlaLink="PedBerLab!$C$28" lockText="1"/>
</file>

<file path=xl/ctrlProps/ctrlProp398.xml><?xml version="1.0" encoding="utf-8"?>
<formControlPr xmlns="http://schemas.microsoft.com/office/spreadsheetml/2009/9/main" objectType="CheckBox" fmlaLink="PedBerLab!$G$4" lockText="1"/>
</file>

<file path=xl/ctrlProps/ctrlProp399.xml><?xml version="1.0" encoding="utf-8"?>
<formControlPr xmlns="http://schemas.microsoft.com/office/spreadsheetml/2009/9/main" objectType="CheckBox" fmlaLink="PedBerLab!$G$5" lockText="1"/>
</file>

<file path=xl/ctrlProps/ctrlProp400.xml><?xml version="1.0" encoding="utf-8"?>
<formControlPr xmlns="http://schemas.microsoft.com/office/spreadsheetml/2009/9/main" objectType="CheckBox" fmlaLink="PedBerLab!$G$7" lockText="1"/>
</file>

<file path=xl/ctrlProps/ctrlProp401.xml><?xml version="1.0" encoding="utf-8"?>
<formControlPr xmlns="http://schemas.microsoft.com/office/spreadsheetml/2009/9/main" objectType="CheckBox" fmlaLink="PedBerLab!$G$8" lockText="1"/>
</file>

<file path=xl/ctrlProps/ctrlProp402.xml><?xml version="1.0" encoding="utf-8"?>
<formControlPr xmlns="http://schemas.microsoft.com/office/spreadsheetml/2009/9/main" objectType="CheckBox" fmlaLink="PedBerLab!$G$13" lockText="1"/>
</file>

<file path=xl/ctrlProps/ctrlProp403.xml><?xml version="1.0" encoding="utf-8"?>
<formControlPr xmlns="http://schemas.microsoft.com/office/spreadsheetml/2009/9/main" objectType="CheckBox" fmlaLink="PedBerLab!$G$12" lockText="1"/>
</file>

<file path=xl/ctrlProps/ctrlProp404.xml><?xml version="1.0" encoding="utf-8"?>
<formControlPr xmlns="http://schemas.microsoft.com/office/spreadsheetml/2009/9/main" objectType="CheckBox" fmlaLink="PedBerLab!$G$30" lockText="1"/>
</file>

<file path=xl/ctrlProps/ctrlProp405.xml><?xml version="1.0" encoding="utf-8"?>
<formControlPr xmlns="http://schemas.microsoft.com/office/spreadsheetml/2009/9/main" objectType="CheckBox" fmlaLink="PedBerLab!$G$15" lockText="1"/>
</file>

<file path=xl/ctrlProps/ctrlProp406.xml><?xml version="1.0" encoding="utf-8"?>
<formControlPr xmlns="http://schemas.microsoft.com/office/spreadsheetml/2009/9/main" objectType="CheckBox" fmlaLink="PedBerLab!$G$18" lockText="1"/>
</file>

<file path=xl/ctrlProps/ctrlProp407.xml><?xml version="1.0" encoding="utf-8"?>
<formControlPr xmlns="http://schemas.microsoft.com/office/spreadsheetml/2009/9/main" objectType="CheckBox" fmlaLink="PedBerLab!$G$19" lockText="1"/>
</file>

<file path=xl/ctrlProps/ctrlProp408.xml><?xml version="1.0" encoding="utf-8"?>
<formControlPr xmlns="http://schemas.microsoft.com/office/spreadsheetml/2009/9/main" objectType="CheckBox" fmlaLink="PedBerLab!$G$20" lockText="1"/>
</file>

<file path=xl/ctrlProps/ctrlProp409.xml><?xml version="1.0" encoding="utf-8"?>
<formControlPr xmlns="http://schemas.microsoft.com/office/spreadsheetml/2009/9/main" objectType="CheckBox" fmlaLink="PedBerLab!$G$11" lockText="1"/>
</file>

<file path=xl/ctrlProps/ctrlProp410.xml><?xml version="1.0" encoding="utf-8"?>
<formControlPr xmlns="http://schemas.microsoft.com/office/spreadsheetml/2009/9/main" objectType="CheckBox" fmlaLink="PedBerLab!$G$28" lockText="1"/>
</file>

<file path=xl/ctrlProps/ctrlProp411.xml><?xml version="1.0" encoding="utf-8"?>
<formControlPr xmlns="http://schemas.microsoft.com/office/spreadsheetml/2009/9/main" objectType="CheckBox" fmlaLink="PedBerLab!$I$4" lockText="1"/>
</file>

<file path=xl/ctrlProps/ctrlProp412.xml><?xml version="1.0" encoding="utf-8"?>
<formControlPr xmlns="http://schemas.microsoft.com/office/spreadsheetml/2009/9/main" objectType="CheckBox" fmlaLink="PedBerLab!$I$5" lockText="1"/>
</file>

<file path=xl/ctrlProps/ctrlProp413.xml><?xml version="1.0" encoding="utf-8"?>
<formControlPr xmlns="http://schemas.microsoft.com/office/spreadsheetml/2009/9/main" objectType="CheckBox" fmlaLink="PedBerLab!$I$7" lockText="1"/>
</file>

<file path=xl/ctrlProps/ctrlProp414.xml><?xml version="1.0" encoding="utf-8"?>
<formControlPr xmlns="http://schemas.microsoft.com/office/spreadsheetml/2009/9/main" objectType="CheckBox" fmlaLink="PedBerLab!$I$8" lockText="1"/>
</file>

<file path=xl/ctrlProps/ctrlProp415.xml><?xml version="1.0" encoding="utf-8"?>
<formControlPr xmlns="http://schemas.microsoft.com/office/spreadsheetml/2009/9/main" objectType="CheckBox" fmlaLink="PedBerLab!$I$13" lockText="1"/>
</file>

<file path=xl/ctrlProps/ctrlProp416.xml><?xml version="1.0" encoding="utf-8"?>
<formControlPr xmlns="http://schemas.microsoft.com/office/spreadsheetml/2009/9/main" objectType="CheckBox" fmlaLink="PedBerLab!$I$12" lockText="1"/>
</file>

<file path=xl/ctrlProps/ctrlProp417.xml><?xml version="1.0" encoding="utf-8"?>
<formControlPr xmlns="http://schemas.microsoft.com/office/spreadsheetml/2009/9/main" objectType="CheckBox" fmlaLink="PedBerLab!$I$30" lockText="1"/>
</file>

<file path=xl/ctrlProps/ctrlProp418.xml><?xml version="1.0" encoding="utf-8"?>
<formControlPr xmlns="http://schemas.microsoft.com/office/spreadsheetml/2009/9/main" objectType="CheckBox" fmlaLink="PedBerLab!$I$15" lockText="1"/>
</file>

<file path=xl/ctrlProps/ctrlProp419.xml><?xml version="1.0" encoding="utf-8"?>
<formControlPr xmlns="http://schemas.microsoft.com/office/spreadsheetml/2009/9/main" objectType="CheckBox" fmlaLink="PedBerLab!$I$18" lockText="1"/>
</file>

<file path=xl/ctrlProps/ctrlProp420.xml><?xml version="1.0" encoding="utf-8"?>
<formControlPr xmlns="http://schemas.microsoft.com/office/spreadsheetml/2009/9/main" objectType="CheckBox" fmlaLink="PedBerLab!$I$19" lockText="1"/>
</file>

<file path=xl/ctrlProps/ctrlProp421.xml><?xml version="1.0" encoding="utf-8"?>
<formControlPr xmlns="http://schemas.microsoft.com/office/spreadsheetml/2009/9/main" objectType="CheckBox" fmlaLink="PedBerLab!$I$20" lockText="1"/>
</file>

<file path=xl/ctrlProps/ctrlProp422.xml><?xml version="1.0" encoding="utf-8"?>
<formControlPr xmlns="http://schemas.microsoft.com/office/spreadsheetml/2009/9/main" objectType="CheckBox" fmlaLink="PedBerLab!$I$11" lockText="1"/>
</file>

<file path=xl/ctrlProps/ctrlProp423.xml><?xml version="1.0" encoding="utf-8"?>
<formControlPr xmlns="http://schemas.microsoft.com/office/spreadsheetml/2009/9/main" objectType="CheckBox" fmlaLink="PedBerLab!$I$28" lockText="1"/>
</file>

<file path=xl/ctrlProps/ctrlProp424.xml><?xml version="1.0" encoding="utf-8"?>
<formControlPr xmlns="http://schemas.microsoft.com/office/spreadsheetml/2009/9/main" objectType="CheckBox" fmlaLink="PedBerLab!$L$4" lockText="1"/>
</file>

<file path=xl/ctrlProps/ctrlProp425.xml><?xml version="1.0" encoding="utf-8"?>
<formControlPr xmlns="http://schemas.microsoft.com/office/spreadsheetml/2009/9/main" objectType="CheckBox" fmlaLink="PedBerLab!$L$5" lockText="1"/>
</file>

<file path=xl/ctrlProps/ctrlProp426.xml><?xml version="1.0" encoding="utf-8"?>
<formControlPr xmlns="http://schemas.microsoft.com/office/spreadsheetml/2009/9/main" objectType="CheckBox" fmlaLink="PedBerLab!$L$7" lockText="1"/>
</file>

<file path=xl/ctrlProps/ctrlProp427.xml><?xml version="1.0" encoding="utf-8"?>
<formControlPr xmlns="http://schemas.microsoft.com/office/spreadsheetml/2009/9/main" objectType="CheckBox" fmlaLink="PedBerLab!$L$8" lockText="1"/>
</file>

<file path=xl/ctrlProps/ctrlProp428.xml><?xml version="1.0" encoding="utf-8"?>
<formControlPr xmlns="http://schemas.microsoft.com/office/spreadsheetml/2009/9/main" objectType="CheckBox" fmlaLink="PedBerLab!$L$13" lockText="1"/>
</file>

<file path=xl/ctrlProps/ctrlProp429.xml><?xml version="1.0" encoding="utf-8"?>
<formControlPr xmlns="http://schemas.microsoft.com/office/spreadsheetml/2009/9/main" objectType="CheckBox" fmlaLink="PedBerLab!$L$12" lockText="1"/>
</file>

<file path=xl/ctrlProps/ctrlProp430.xml><?xml version="1.0" encoding="utf-8"?>
<formControlPr xmlns="http://schemas.microsoft.com/office/spreadsheetml/2009/9/main" objectType="CheckBox" fmlaLink="PedBerLab!$L$30" lockText="1"/>
</file>

<file path=xl/ctrlProps/ctrlProp431.xml><?xml version="1.0" encoding="utf-8"?>
<formControlPr xmlns="http://schemas.microsoft.com/office/spreadsheetml/2009/9/main" objectType="CheckBox" fmlaLink="PedBerLab!$L$15" lockText="1"/>
</file>

<file path=xl/ctrlProps/ctrlProp432.xml><?xml version="1.0" encoding="utf-8"?>
<formControlPr xmlns="http://schemas.microsoft.com/office/spreadsheetml/2009/9/main" objectType="CheckBox" fmlaLink="PedBerLab!$L$18" lockText="1"/>
</file>

<file path=xl/ctrlProps/ctrlProp433.xml><?xml version="1.0" encoding="utf-8"?>
<formControlPr xmlns="http://schemas.microsoft.com/office/spreadsheetml/2009/9/main" objectType="CheckBox" fmlaLink="PedBerLab!$L$19" lockText="1"/>
</file>

<file path=xl/ctrlProps/ctrlProp434.xml><?xml version="1.0" encoding="utf-8"?>
<formControlPr xmlns="http://schemas.microsoft.com/office/spreadsheetml/2009/9/main" objectType="CheckBox" fmlaLink="PedBerLab!$L$20" lockText="1"/>
</file>

<file path=xl/ctrlProps/ctrlProp435.xml><?xml version="1.0" encoding="utf-8"?>
<formControlPr xmlns="http://schemas.microsoft.com/office/spreadsheetml/2009/9/main" objectType="CheckBox" fmlaLink="PedBerLab!$L$11" lockText="1"/>
</file>

<file path=xl/ctrlProps/ctrlProp436.xml><?xml version="1.0" encoding="utf-8"?>
<formControlPr xmlns="http://schemas.microsoft.com/office/spreadsheetml/2009/9/main" objectType="CheckBox" fmlaLink="PedBerLab!$L$28" lockText="1"/>
</file>

<file path=xl/ctrlProps/ctrlProp437.xml><?xml version="1.0" encoding="utf-8"?>
<formControlPr xmlns="http://schemas.microsoft.com/office/spreadsheetml/2009/9/main" objectType="CheckBox" fmlaLink="PedBerLab!$C$27" lockText="1"/>
</file>

<file path=xl/ctrlProps/ctrlProp438.xml><?xml version="1.0" encoding="utf-8"?>
<formControlPr xmlns="http://schemas.microsoft.com/office/spreadsheetml/2009/9/main" objectType="CheckBox" fmlaLink="PedBerLab!$G$27" lockText="1"/>
</file>

<file path=xl/ctrlProps/ctrlProp439.xml><?xml version="1.0" encoding="utf-8"?>
<formControlPr xmlns="http://schemas.microsoft.com/office/spreadsheetml/2009/9/main" objectType="CheckBox" fmlaLink="PedBerLab!$I$27" lockText="1"/>
</file>

<file path=xl/ctrlProps/ctrlProp440.xml><?xml version="1.0" encoding="utf-8"?>
<formControlPr xmlns="http://schemas.microsoft.com/office/spreadsheetml/2009/9/main" objectType="CheckBox" fmlaLink="PedBerLab!$L$27" lockText="1"/>
</file>

<file path=xl/ctrlProps/ctrlProp441.xml><?xml version="1.0" encoding="utf-8"?>
<formControlPr xmlns="http://schemas.microsoft.com/office/spreadsheetml/2009/9/main" objectType="CheckBox" fmlaLink="PedBerLab!C6" lockText="1"/>
</file>

<file path=xl/ctrlProps/ctrlProp442.xml><?xml version="1.0" encoding="utf-8"?>
<formControlPr xmlns="http://schemas.microsoft.com/office/spreadsheetml/2009/9/main" objectType="CheckBox" fmlaLink="PedBerLab!$G$6" lockText="1"/>
</file>

<file path=xl/ctrlProps/ctrlProp443.xml><?xml version="1.0" encoding="utf-8"?>
<formControlPr xmlns="http://schemas.microsoft.com/office/spreadsheetml/2009/9/main" objectType="CheckBox" fmlaLink="PedBerLab!$I$6" lockText="1"/>
</file>

<file path=xl/ctrlProps/ctrlProp444.xml><?xml version="1.0" encoding="utf-8"?>
<formControlPr xmlns="http://schemas.microsoft.com/office/spreadsheetml/2009/9/main" objectType="CheckBox" fmlaLink="PedBerLab!$L$6" lockText="1"/>
</file>

<file path=xl/ctrlProps/ctrlProp445.xml><?xml version="1.0" encoding="utf-8"?>
<formControlPr xmlns="http://schemas.microsoft.com/office/spreadsheetml/2009/9/main" objectType="CheckBox" fmlaLink="PedBerLab!$C$16" lockText="1"/>
</file>

<file path=xl/ctrlProps/ctrlProp446.xml><?xml version="1.0" encoding="utf-8"?>
<formControlPr xmlns="http://schemas.microsoft.com/office/spreadsheetml/2009/9/main" objectType="CheckBox" fmlaLink="PedBerLab!$G$16" lockText="1"/>
</file>

<file path=xl/ctrlProps/ctrlProp447.xml><?xml version="1.0" encoding="utf-8"?>
<formControlPr xmlns="http://schemas.microsoft.com/office/spreadsheetml/2009/9/main" objectType="CheckBox" fmlaLink="PedBerLab!$I$16" lockText="1"/>
</file>

<file path=xl/ctrlProps/ctrlProp448.xml><?xml version="1.0" encoding="utf-8"?>
<formControlPr xmlns="http://schemas.microsoft.com/office/spreadsheetml/2009/9/main" objectType="CheckBox" fmlaLink="PedBerLab!$L$16" lockText="1"/>
</file>

<file path=xl/ctrlProps/ctrlProp449.xml><?xml version="1.0" encoding="utf-8"?>
<formControlPr xmlns="http://schemas.microsoft.com/office/spreadsheetml/2009/9/main" objectType="CheckBox" fmlaLink="PedBerLab!$E$4" lockText="1"/>
</file>

<file path=xl/ctrlProps/ctrlProp450.xml><?xml version="1.0" encoding="utf-8"?>
<formControlPr xmlns="http://schemas.microsoft.com/office/spreadsheetml/2009/9/main" objectType="CheckBox" fmlaLink="PedBerLab!$E$5" lockText="1"/>
</file>

<file path=xl/ctrlProps/ctrlProp451.xml><?xml version="1.0" encoding="utf-8"?>
<formControlPr xmlns="http://schemas.microsoft.com/office/spreadsheetml/2009/9/main" objectType="CheckBox" fmlaLink="PedBerLab!$E$7" lockText="1"/>
</file>

<file path=xl/ctrlProps/ctrlProp452.xml><?xml version="1.0" encoding="utf-8"?>
<formControlPr xmlns="http://schemas.microsoft.com/office/spreadsheetml/2009/9/main" objectType="CheckBox" fmlaLink="PedBerLab!$E$8" lockText="1"/>
</file>

<file path=xl/ctrlProps/ctrlProp453.xml><?xml version="1.0" encoding="utf-8"?>
<formControlPr xmlns="http://schemas.microsoft.com/office/spreadsheetml/2009/9/main" objectType="CheckBox" fmlaLink="PedBerLab!$E$13" lockText="1"/>
</file>

<file path=xl/ctrlProps/ctrlProp454.xml><?xml version="1.0" encoding="utf-8"?>
<formControlPr xmlns="http://schemas.microsoft.com/office/spreadsheetml/2009/9/main" objectType="CheckBox" fmlaLink="PedBerLab!$E$12" lockText="1"/>
</file>

<file path=xl/ctrlProps/ctrlProp455.xml><?xml version="1.0" encoding="utf-8"?>
<formControlPr xmlns="http://schemas.microsoft.com/office/spreadsheetml/2009/9/main" objectType="CheckBox" fmlaLink="PedBerLab!$E$30" lockText="1"/>
</file>

<file path=xl/ctrlProps/ctrlProp456.xml><?xml version="1.0" encoding="utf-8"?>
<formControlPr xmlns="http://schemas.microsoft.com/office/spreadsheetml/2009/9/main" objectType="CheckBox" fmlaLink="PedBerLab!$E$15" lockText="1"/>
</file>

<file path=xl/ctrlProps/ctrlProp457.xml><?xml version="1.0" encoding="utf-8"?>
<formControlPr xmlns="http://schemas.microsoft.com/office/spreadsheetml/2009/9/main" objectType="CheckBox" fmlaLink="PedBerLab!$E$18" lockText="1"/>
</file>

<file path=xl/ctrlProps/ctrlProp458.xml><?xml version="1.0" encoding="utf-8"?>
<formControlPr xmlns="http://schemas.microsoft.com/office/spreadsheetml/2009/9/main" objectType="CheckBox" fmlaLink="PedBerLab!$E$19" lockText="1"/>
</file>

<file path=xl/ctrlProps/ctrlProp459.xml><?xml version="1.0" encoding="utf-8"?>
<formControlPr xmlns="http://schemas.microsoft.com/office/spreadsheetml/2009/9/main" objectType="CheckBox" fmlaLink="PedBerLab!$E$20" lockText="1"/>
</file>

<file path=xl/ctrlProps/ctrlProp460.xml><?xml version="1.0" encoding="utf-8"?>
<formControlPr xmlns="http://schemas.microsoft.com/office/spreadsheetml/2009/9/main" objectType="CheckBox" fmlaLink="PedBerLab!$E$11" lockText="1"/>
</file>

<file path=xl/ctrlProps/ctrlProp461.xml><?xml version="1.0" encoding="utf-8"?>
<formControlPr xmlns="http://schemas.microsoft.com/office/spreadsheetml/2009/9/main" objectType="CheckBox" fmlaLink="PedBerLab!$E$28" lockText="1"/>
</file>

<file path=xl/ctrlProps/ctrlProp462.xml><?xml version="1.0" encoding="utf-8"?>
<formControlPr xmlns="http://schemas.microsoft.com/office/spreadsheetml/2009/9/main" objectType="CheckBox" fmlaLink="PedBerLab!$E$27" lockText="1"/>
</file>

<file path=xl/ctrlProps/ctrlProp463.xml><?xml version="1.0" encoding="utf-8"?>
<formControlPr xmlns="http://schemas.microsoft.com/office/spreadsheetml/2009/9/main" objectType="CheckBox" fmlaLink="PedBerLab!$E$6" lockText="1"/>
</file>

<file path=xl/ctrlProps/ctrlProp464.xml><?xml version="1.0" encoding="utf-8"?>
<formControlPr xmlns="http://schemas.microsoft.com/office/spreadsheetml/2009/9/main" objectType="CheckBox" fmlaLink="PedBerLab!$E$16" lockText="1"/>
</file>

<file path=xl/ctrlProps/ctrlProp465.xml><?xml version="1.0" encoding="utf-8"?>
<formControlPr xmlns="http://schemas.microsoft.com/office/spreadsheetml/2009/9/main" objectType="CheckBox" fmlaLink="PedBerLab!$C$26" lockText="1"/>
</file>

<file path=xl/ctrlProps/ctrlProp466.xml><?xml version="1.0" encoding="utf-8"?>
<formControlPr xmlns="http://schemas.microsoft.com/office/spreadsheetml/2009/9/main" objectType="CheckBox" fmlaLink="PedBerLab!$G$26" lockText="1"/>
</file>

<file path=xl/ctrlProps/ctrlProp467.xml><?xml version="1.0" encoding="utf-8"?>
<formControlPr xmlns="http://schemas.microsoft.com/office/spreadsheetml/2009/9/main" objectType="CheckBox" fmlaLink="PedBerLab!$I$26" lockText="1"/>
</file>

<file path=xl/ctrlProps/ctrlProp468.xml><?xml version="1.0" encoding="utf-8"?>
<formControlPr xmlns="http://schemas.microsoft.com/office/spreadsheetml/2009/9/main" objectType="CheckBox" fmlaLink="PedBerLab!$L$26" lockText="1"/>
</file>

<file path=xl/ctrlProps/ctrlProp469.xml><?xml version="1.0" encoding="utf-8"?>
<formControlPr xmlns="http://schemas.microsoft.com/office/spreadsheetml/2009/9/main" objectType="CheckBox" fmlaLink="PedBerLab!$E$26" lockText="1"/>
</file>

<file path=xl/ctrlProps/ctrlProp470.xml><?xml version="1.0" encoding="utf-8"?>
<formControlPr xmlns="http://schemas.microsoft.com/office/spreadsheetml/2009/9/main" objectType="CheckBox" fmlaLink="PedBerLab!$C$32" lockText="1"/>
</file>

<file path=xl/ctrlProps/ctrlProp471.xml><?xml version="1.0" encoding="utf-8"?>
<formControlPr xmlns="http://schemas.microsoft.com/office/spreadsheetml/2009/9/main" objectType="CheckBox" fmlaLink="PedBerLab!$G$32" lockText="1"/>
</file>

<file path=xl/ctrlProps/ctrlProp472.xml><?xml version="1.0" encoding="utf-8"?>
<formControlPr xmlns="http://schemas.microsoft.com/office/spreadsheetml/2009/9/main" objectType="CheckBox" fmlaLink="PedBerLab!$I$32" lockText="1"/>
</file>

<file path=xl/ctrlProps/ctrlProp473.xml><?xml version="1.0" encoding="utf-8"?>
<formControlPr xmlns="http://schemas.microsoft.com/office/spreadsheetml/2009/9/main" objectType="CheckBox" fmlaLink="PedBerLab!$L$32" lockText="1"/>
</file>

<file path=xl/ctrlProps/ctrlProp474.xml><?xml version="1.0" encoding="utf-8"?>
<formControlPr xmlns="http://schemas.microsoft.com/office/spreadsheetml/2009/9/main" objectType="CheckBox" fmlaLink="PedBerLab!$E$32" lockText="1"/>
</file>

<file path=xl/ctrlProps/ctrlProp475.xml><?xml version="1.0" encoding="utf-8"?>
<formControlPr xmlns="http://schemas.microsoft.com/office/spreadsheetml/2009/9/main" objectType="CheckBox" fmlaLink="PedBerLab!$C$9" lockText="1"/>
</file>

<file path=xl/ctrlProps/ctrlProp476.xml><?xml version="1.0" encoding="utf-8"?>
<formControlPr xmlns="http://schemas.microsoft.com/office/spreadsheetml/2009/9/main" objectType="CheckBox" fmlaLink="PedBerLab!$G$9" lockText="1"/>
</file>

<file path=xl/ctrlProps/ctrlProp477.xml><?xml version="1.0" encoding="utf-8"?>
<formControlPr xmlns="http://schemas.microsoft.com/office/spreadsheetml/2009/9/main" objectType="CheckBox" fmlaLink="PedBerLab!$I$9" lockText="1"/>
</file>

<file path=xl/ctrlProps/ctrlProp478.xml><?xml version="1.0" encoding="utf-8"?>
<formControlPr xmlns="http://schemas.microsoft.com/office/spreadsheetml/2009/9/main" objectType="CheckBox" fmlaLink="PedBerLab!$L$9" lockText="1"/>
</file>

<file path=xl/ctrlProps/ctrlProp479.xml><?xml version="1.0" encoding="utf-8"?>
<formControlPr xmlns="http://schemas.microsoft.com/office/spreadsheetml/2009/9/main" objectType="CheckBox" fmlaLink="PedBerLab!$E$9" lockText="1"/>
</file>

<file path=xl/ctrlProps/ctrlProp480.xml><?xml version="1.0" encoding="utf-8"?>
<formControlPr xmlns="http://schemas.microsoft.com/office/spreadsheetml/2009/9/main" objectType="CheckBox" fmlaLink="PedBerLab!$C$10" lockText="1"/>
</file>

<file path=xl/ctrlProps/ctrlProp481.xml><?xml version="1.0" encoding="utf-8"?>
<formControlPr xmlns="http://schemas.microsoft.com/office/spreadsheetml/2009/9/main" objectType="CheckBox" fmlaLink="PedBerLab!$G$10" lockText="1"/>
</file>

<file path=xl/ctrlProps/ctrlProp482.xml><?xml version="1.0" encoding="utf-8"?>
<formControlPr xmlns="http://schemas.microsoft.com/office/spreadsheetml/2009/9/main" objectType="CheckBox" fmlaLink="PedBerLab!$I$10" lockText="1"/>
</file>

<file path=xl/ctrlProps/ctrlProp483.xml><?xml version="1.0" encoding="utf-8"?>
<formControlPr xmlns="http://schemas.microsoft.com/office/spreadsheetml/2009/9/main" objectType="CheckBox" fmlaLink="PedBerLab!$L$10" lockText="1"/>
</file>

<file path=xl/ctrlProps/ctrlProp484.xml><?xml version="1.0" encoding="utf-8"?>
<formControlPr xmlns="http://schemas.microsoft.com/office/spreadsheetml/2009/9/main" objectType="CheckBox" fmlaLink="PedBerLab!$E$10" lockText="1"/>
</file>

<file path=xl/ctrlProps/ctrlProp485.xml><?xml version="1.0" encoding="utf-8"?>
<formControlPr xmlns="http://schemas.microsoft.com/office/spreadsheetml/2009/9/main" objectType="CheckBox" fmlaLink="PedBerLab!$C$14" lockText="1"/>
</file>

<file path=xl/ctrlProps/ctrlProp486.xml><?xml version="1.0" encoding="utf-8"?>
<formControlPr xmlns="http://schemas.microsoft.com/office/spreadsheetml/2009/9/main" objectType="CheckBox" fmlaLink="PedBerLab!$G$14" lockText="1"/>
</file>

<file path=xl/ctrlProps/ctrlProp487.xml><?xml version="1.0" encoding="utf-8"?>
<formControlPr xmlns="http://schemas.microsoft.com/office/spreadsheetml/2009/9/main" objectType="CheckBox" fmlaLink="PedBerLab!$I$14" lockText="1"/>
</file>

<file path=xl/ctrlProps/ctrlProp488.xml><?xml version="1.0" encoding="utf-8"?>
<formControlPr xmlns="http://schemas.microsoft.com/office/spreadsheetml/2009/9/main" objectType="CheckBox" fmlaLink="PedBerLab!$L$14" lockText="1"/>
</file>

<file path=xl/ctrlProps/ctrlProp489.xml><?xml version="1.0" encoding="utf-8"?>
<formControlPr xmlns="http://schemas.microsoft.com/office/spreadsheetml/2009/9/main" objectType="CheckBox" fmlaLink="PedBerLab!$E$14" lockText="1"/>
</file>

<file path=xl/ctrlProps/ctrlProp490.xml><?xml version="1.0" encoding="utf-8"?>
<formControlPr xmlns="http://schemas.microsoft.com/office/spreadsheetml/2009/9/main" objectType="CheckBox" fmlaLink="PedBerLab!$C$21" lockText="1"/>
</file>

<file path=xl/ctrlProps/ctrlProp491.xml><?xml version="1.0" encoding="utf-8"?>
<formControlPr xmlns="http://schemas.microsoft.com/office/spreadsheetml/2009/9/main" objectType="CheckBox" fmlaLink="PedBerLab!$G$21" lockText="1"/>
</file>

<file path=xl/ctrlProps/ctrlProp492.xml><?xml version="1.0" encoding="utf-8"?>
<formControlPr xmlns="http://schemas.microsoft.com/office/spreadsheetml/2009/9/main" objectType="CheckBox" fmlaLink="PedBerLab!$I$21" lockText="1"/>
</file>

<file path=xl/ctrlProps/ctrlProp493.xml><?xml version="1.0" encoding="utf-8"?>
<formControlPr xmlns="http://schemas.microsoft.com/office/spreadsheetml/2009/9/main" objectType="CheckBox" fmlaLink="PedBerLab!$L$21" lockText="1"/>
</file>

<file path=xl/ctrlProps/ctrlProp494.xml><?xml version="1.0" encoding="utf-8"?>
<formControlPr xmlns="http://schemas.microsoft.com/office/spreadsheetml/2009/9/main" objectType="CheckBox" fmlaLink="PedBerLab!$E$21" lockText="1"/>
</file>

<file path=xl/ctrlProps/ctrlProp495.xml><?xml version="1.0" encoding="utf-8"?>
<formControlPr xmlns="http://schemas.microsoft.com/office/spreadsheetml/2009/9/main" objectType="CheckBox" fmlaLink="PedBerLab!$C$22" lockText="1"/>
</file>

<file path=xl/ctrlProps/ctrlProp496.xml><?xml version="1.0" encoding="utf-8"?>
<formControlPr xmlns="http://schemas.microsoft.com/office/spreadsheetml/2009/9/main" objectType="CheckBox" fmlaLink="PedBerLab!$G$22" lockText="1"/>
</file>

<file path=xl/ctrlProps/ctrlProp497.xml><?xml version="1.0" encoding="utf-8"?>
<formControlPr xmlns="http://schemas.microsoft.com/office/spreadsheetml/2009/9/main" objectType="CheckBox" fmlaLink="PedBerLab!$I$22" lockText="1"/>
</file>

<file path=xl/ctrlProps/ctrlProp498.xml><?xml version="1.0" encoding="utf-8"?>
<formControlPr xmlns="http://schemas.microsoft.com/office/spreadsheetml/2009/9/main" objectType="CheckBox" fmlaLink="PedBerLab!$L$22" lockText="1"/>
</file>

<file path=xl/ctrlProps/ctrlProp499.xml><?xml version="1.0" encoding="utf-8"?>
<formControlPr xmlns="http://schemas.microsoft.com/office/spreadsheetml/2009/9/main" objectType="CheckBox" fmlaLink="PedBerLab!$E$22" lockText="1"/>
</file>

<file path=xl/ctrlProps/ctrlProp500.xml><?xml version="1.0" encoding="utf-8"?>
<formControlPr xmlns="http://schemas.microsoft.com/office/spreadsheetml/2009/9/main" objectType="CheckBox" fmlaLink="PedBerLab!$C$23" lockText="1"/>
</file>

<file path=xl/ctrlProps/ctrlProp501.xml><?xml version="1.0" encoding="utf-8"?>
<formControlPr xmlns="http://schemas.microsoft.com/office/spreadsheetml/2009/9/main" objectType="CheckBox" fmlaLink="PedBerLab!$G$23" lockText="1"/>
</file>

<file path=xl/ctrlProps/ctrlProp502.xml><?xml version="1.0" encoding="utf-8"?>
<formControlPr xmlns="http://schemas.microsoft.com/office/spreadsheetml/2009/9/main" objectType="CheckBox" fmlaLink="PedBerLab!$I$23" lockText="1"/>
</file>

<file path=xl/ctrlProps/ctrlProp503.xml><?xml version="1.0" encoding="utf-8"?>
<formControlPr xmlns="http://schemas.microsoft.com/office/spreadsheetml/2009/9/main" objectType="CheckBox" fmlaLink="PedBerLab!$L$23" lockText="1"/>
</file>

<file path=xl/ctrlProps/ctrlProp504.xml><?xml version="1.0" encoding="utf-8"?>
<formControlPr xmlns="http://schemas.microsoft.com/office/spreadsheetml/2009/9/main" objectType="CheckBox" fmlaLink="PedBerLab!$E$23" lockText="1"/>
</file>

<file path=xl/ctrlProps/ctrlProp505.xml><?xml version="1.0" encoding="utf-8"?>
<formControlPr xmlns="http://schemas.microsoft.com/office/spreadsheetml/2009/9/main" objectType="CheckBox" fmlaLink="PedBerLab!$C$24" lockText="1"/>
</file>

<file path=xl/ctrlProps/ctrlProp506.xml><?xml version="1.0" encoding="utf-8"?>
<formControlPr xmlns="http://schemas.microsoft.com/office/spreadsheetml/2009/9/main" objectType="CheckBox" fmlaLink="PedBerLab!$G$24" lockText="1"/>
</file>

<file path=xl/ctrlProps/ctrlProp507.xml><?xml version="1.0" encoding="utf-8"?>
<formControlPr xmlns="http://schemas.microsoft.com/office/spreadsheetml/2009/9/main" objectType="CheckBox" fmlaLink="PedBerLab!$I$24" lockText="1"/>
</file>

<file path=xl/ctrlProps/ctrlProp508.xml><?xml version="1.0" encoding="utf-8"?>
<formControlPr xmlns="http://schemas.microsoft.com/office/spreadsheetml/2009/9/main" objectType="CheckBox" fmlaLink="PedBerLab!$L$24" lockText="1"/>
</file>

<file path=xl/ctrlProps/ctrlProp509.xml><?xml version="1.0" encoding="utf-8"?>
<formControlPr xmlns="http://schemas.microsoft.com/office/spreadsheetml/2009/9/main" objectType="CheckBox" fmlaLink="PedBerLab!$E$24" lockText="1"/>
</file>

<file path=xl/ctrlProps/ctrlProp510.xml><?xml version="1.0" encoding="utf-8"?>
<formControlPr xmlns="http://schemas.microsoft.com/office/spreadsheetml/2009/9/main" objectType="CheckBox" fmlaLink="PedBerLab!$C$25" lockText="1"/>
</file>

<file path=xl/ctrlProps/ctrlProp511.xml><?xml version="1.0" encoding="utf-8"?>
<formControlPr xmlns="http://schemas.microsoft.com/office/spreadsheetml/2009/9/main" objectType="CheckBox" fmlaLink="PedBerLab!$G$25" lockText="1"/>
</file>

<file path=xl/ctrlProps/ctrlProp512.xml><?xml version="1.0" encoding="utf-8"?>
<formControlPr xmlns="http://schemas.microsoft.com/office/spreadsheetml/2009/9/main" objectType="CheckBox" fmlaLink="PedBerLab!$I$25" lockText="1"/>
</file>

<file path=xl/ctrlProps/ctrlProp513.xml><?xml version="1.0" encoding="utf-8"?>
<formControlPr xmlns="http://schemas.microsoft.com/office/spreadsheetml/2009/9/main" objectType="CheckBox" fmlaLink="PedBerLab!$L$25" lockText="1"/>
</file>

<file path=xl/ctrlProps/ctrlProp514.xml><?xml version="1.0" encoding="utf-8"?>
<formControlPr xmlns="http://schemas.microsoft.com/office/spreadsheetml/2009/9/main" objectType="CheckBox" fmlaLink="PedBerLab!$E$25" lockText="1"/>
</file>

<file path=xl/ctrlProps/ctrlProp515.xml><?xml version="1.0" encoding="utf-8"?>
<formControlPr xmlns="http://schemas.microsoft.com/office/spreadsheetml/2009/9/main" objectType="CheckBox" fmlaLink="PedBerLab!$C$29" lockText="1"/>
</file>

<file path=xl/ctrlProps/ctrlProp516.xml><?xml version="1.0" encoding="utf-8"?>
<formControlPr xmlns="http://schemas.microsoft.com/office/spreadsheetml/2009/9/main" objectType="CheckBox" fmlaLink="PedBerLab!$G$29" lockText="1"/>
</file>

<file path=xl/ctrlProps/ctrlProp517.xml><?xml version="1.0" encoding="utf-8"?>
<formControlPr xmlns="http://schemas.microsoft.com/office/spreadsheetml/2009/9/main" objectType="CheckBox" fmlaLink="PedBerLab!$I$29" lockText="1"/>
</file>

<file path=xl/ctrlProps/ctrlProp518.xml><?xml version="1.0" encoding="utf-8"?>
<formControlPr xmlns="http://schemas.microsoft.com/office/spreadsheetml/2009/9/main" objectType="CheckBox" fmlaLink="PedBerLab!$L$29" lockText="1"/>
</file>

<file path=xl/ctrlProps/ctrlProp519.xml><?xml version="1.0" encoding="utf-8"?>
<formControlPr xmlns="http://schemas.microsoft.com/office/spreadsheetml/2009/9/main" objectType="CheckBox" fmlaLink="PedBerLab!$E$29" lockText="1"/>
</file>

<file path=xl/ctrlProps/ctrlProp520.xml><?xml version="1.0" encoding="utf-8"?>
<formControlPr xmlns="http://schemas.microsoft.com/office/spreadsheetml/2009/9/main" objectType="CheckBox" fmlaLink="PedBerLab!$C$17" lockText="1"/>
</file>

<file path=xl/ctrlProps/ctrlProp521.xml><?xml version="1.0" encoding="utf-8"?>
<formControlPr xmlns="http://schemas.microsoft.com/office/spreadsheetml/2009/9/main" objectType="CheckBox" fmlaLink="PedBerLab!$G$17" lockText="1"/>
</file>

<file path=xl/ctrlProps/ctrlProp522.xml><?xml version="1.0" encoding="utf-8"?>
<formControlPr xmlns="http://schemas.microsoft.com/office/spreadsheetml/2009/9/main" objectType="CheckBox" fmlaLink="PedBerLab!$I$17" lockText="1"/>
</file>

<file path=xl/ctrlProps/ctrlProp523.xml><?xml version="1.0" encoding="utf-8"?>
<formControlPr xmlns="http://schemas.microsoft.com/office/spreadsheetml/2009/9/main" objectType="CheckBox" fmlaLink="PedBerLab!$L$17" lockText="1"/>
</file>

<file path=xl/ctrlProps/ctrlProp524.xml><?xml version="1.0" encoding="utf-8"?>
<formControlPr xmlns="http://schemas.microsoft.com/office/spreadsheetml/2009/9/main" objectType="CheckBox" fmlaLink="PedBerLab!$E$17" lockText="1"/>
</file>

<file path=xl/ctrlProps/ctrlProp525.xml><?xml version="1.0" encoding="utf-8"?>
<formControlPr xmlns="http://schemas.microsoft.com/office/spreadsheetml/2009/9/main" objectType="CheckBox" fmlaLink="PedBerLab!$C$31" lockText="1"/>
</file>

<file path=xl/ctrlProps/ctrlProp526.xml><?xml version="1.0" encoding="utf-8"?>
<formControlPr xmlns="http://schemas.microsoft.com/office/spreadsheetml/2009/9/main" objectType="CheckBox" fmlaLink="PedBerLab!$G$31" lockText="1"/>
</file>

<file path=xl/ctrlProps/ctrlProp527.xml><?xml version="1.0" encoding="utf-8"?>
<formControlPr xmlns="http://schemas.microsoft.com/office/spreadsheetml/2009/9/main" objectType="CheckBox" fmlaLink="PedBerLab!$I$31" lockText="1"/>
</file>

<file path=xl/ctrlProps/ctrlProp528.xml><?xml version="1.0" encoding="utf-8"?>
<formControlPr xmlns="http://schemas.microsoft.com/office/spreadsheetml/2009/9/main" objectType="CheckBox" fmlaLink="PedBerLab!$L$31" lockText="1"/>
</file>

<file path=xl/ctrlProps/ctrlProp529.xml><?xml version="1.0" encoding="utf-8"?>
<formControlPr xmlns="http://schemas.microsoft.com/office/spreadsheetml/2009/9/main" objectType="CheckBox" fmlaLink="PedBerLab!$E$31" lockText="1"/>
</file>

<file path=xl/ctrlProps/ctrlProp530.xml><?xml version="1.0" encoding="utf-8"?>
<formControlPr xmlns="http://schemas.microsoft.com/office/spreadsheetml/2009/9/main" objectType="CheckBox" fmlaLink="PedBerLab!C35" lockText="1"/>
</file>

<file path=xl/ctrlProps/ctrlProp531.xml><?xml version="1.0" encoding="utf-8"?>
<formControlPr xmlns="http://schemas.microsoft.com/office/spreadsheetml/2009/9/main" objectType="CheckBox" fmlaLink="PedBerLab!$C$33" lockText="1"/>
</file>

<file path=xl/ctrlProps/ctrlProp532.xml><?xml version="1.0" encoding="utf-8"?>
<formControlPr xmlns="http://schemas.microsoft.com/office/spreadsheetml/2009/9/main" objectType="CheckBox" fmlaLink="PedBerLab!$G$33" lockText="1"/>
</file>

<file path=xl/ctrlProps/ctrlProp533.xml><?xml version="1.0" encoding="utf-8"?>
<formControlPr xmlns="http://schemas.microsoft.com/office/spreadsheetml/2009/9/main" objectType="CheckBox" fmlaLink="PedBerLab!$I$33" lockText="1"/>
</file>

<file path=xl/ctrlProps/ctrlProp534.xml><?xml version="1.0" encoding="utf-8"?>
<formControlPr xmlns="http://schemas.microsoft.com/office/spreadsheetml/2009/9/main" objectType="CheckBox" fmlaLink="PedBerLab!$L$33" lockText="1"/>
</file>

<file path=xl/ctrlProps/ctrlProp535.xml><?xml version="1.0" encoding="utf-8"?>
<formControlPr xmlns="http://schemas.microsoft.com/office/spreadsheetml/2009/9/main" objectType="CheckBox" fmlaLink="PedBerLab!$E$33" lockText="1"/>
</file>

<file path=xl/ctrlProps/ctrlProp536.xml><?xml version="1.0" encoding="utf-8"?>
<formControlPr xmlns="http://schemas.microsoft.com/office/spreadsheetml/2009/9/main" objectType="CheckBox" fmlaLink="PedBerLab!$C$34" lockText="1"/>
</file>

<file path=xl/ctrlProps/ctrlProp537.xml><?xml version="1.0" encoding="utf-8"?>
<formControlPr xmlns="http://schemas.microsoft.com/office/spreadsheetml/2009/9/main" objectType="CheckBox" fmlaLink="PedBerLab!$G$34" lockText="1"/>
</file>

<file path=xl/ctrlProps/ctrlProp538.xml><?xml version="1.0" encoding="utf-8"?>
<formControlPr xmlns="http://schemas.microsoft.com/office/spreadsheetml/2009/9/main" objectType="CheckBox" fmlaLink="PedBerLab!$I$34" lockText="1"/>
</file>

<file path=xl/ctrlProps/ctrlProp539.xml><?xml version="1.0" encoding="utf-8"?>
<formControlPr xmlns="http://schemas.microsoft.com/office/spreadsheetml/2009/9/main" objectType="CheckBox" fmlaLink="PedBerLab!L34" lockText="1"/>
</file>

<file path=xl/ctrlProps/ctrlProp540.xml><?xml version="1.0" encoding="utf-8"?>
<formControlPr xmlns="http://schemas.microsoft.com/office/spreadsheetml/2009/9/main" objectType="CheckBox" fmlaLink="PedBerLab!$E$34" lockText="1"/>
</file>

<file path=xl/ctrlProps/ctrlProp541.xml><?xml version="1.0" encoding="utf-8"?>
<formControlPr xmlns="http://schemas.microsoft.com/office/spreadsheetml/2009/9/main" objectType="CheckBox" fmlaLink="PedBerAfspr!$F$7" lockText="1"/>
</file>

<file path=xl/ctrlProps/ctrlProp542.xml><?xml version="1.0" encoding="utf-8"?>
<formControlPr xmlns="http://schemas.microsoft.com/office/spreadsheetml/2009/9/main" objectType="CheckBox" fmlaLink="PedBerAfspr!$F$8" lockText="1"/>
</file>

<file path=xl/ctrlProps/ctrlProp543.xml><?xml version="1.0" encoding="utf-8"?>
<formControlPr xmlns="http://schemas.microsoft.com/office/spreadsheetml/2009/9/main" objectType="Spin" dx="15" fmlaLink="PedBerAfspr!$B$12" max="24" page="10" val="0"/>
</file>

<file path=xl/ctrlProps/ctrlProp544.xml><?xml version="1.0" encoding="utf-8"?>
<formControlPr xmlns="http://schemas.microsoft.com/office/spreadsheetml/2009/9/main" objectType="CheckBox" fmlaLink="PedBerAfspr!$B$22" lockText="1"/>
</file>

<file path=xl/ctrlProps/ctrlProp545.xml><?xml version="1.0" encoding="utf-8"?>
<formControlPr xmlns="http://schemas.microsoft.com/office/spreadsheetml/2009/9/main" objectType="CheckBox" fmlaLink="PedBerAfspr!$B$23" lockText="1"/>
</file>

<file path=xl/ctrlProps/ctrlProp546.xml><?xml version="1.0" encoding="utf-8"?>
<formControlPr xmlns="http://schemas.microsoft.com/office/spreadsheetml/2009/9/main" objectType="CheckBox" fmlaLink="PedBerAfspr!$B$27" lockText="1"/>
</file>

<file path=xl/ctrlProps/ctrlProp547.xml><?xml version="1.0" encoding="utf-8"?>
<formControlPr xmlns="http://schemas.microsoft.com/office/spreadsheetml/2009/9/main" objectType="Drop" dropStyle="combo" dx="16" fmlaLink="PedBerAfspr!$D$27" fmlaRange="tbl_Ped_DrainLokatie" noThreeD="1" sel="1" val="0"/>
</file>

<file path=xl/ctrlProps/ctrlProp548.xml><?xml version="1.0" encoding="utf-8"?>
<formControlPr xmlns="http://schemas.microsoft.com/office/spreadsheetml/2009/9/main" objectType="Drop" dropStyle="combo" dx="16" fmlaLink="PedBerAfspr!$D$28" fmlaRange="tbl_Ped_DrainModus" noThreeD="1" sel="1" val="0"/>
</file>

<file path=xl/ctrlProps/ctrlProp549.xml><?xml version="1.0" encoding="utf-8"?>
<formControlPr xmlns="http://schemas.microsoft.com/office/spreadsheetml/2009/9/main" objectType="CheckBox" fmlaLink="PedBerAfspr!$B$30" lockText="1"/>
</file>

<file path=xl/ctrlProps/ctrlProp550.xml><?xml version="1.0" encoding="utf-8"?>
<formControlPr xmlns="http://schemas.microsoft.com/office/spreadsheetml/2009/9/main" objectType="Drop" dropStyle="combo" dx="16" fmlaLink="PedBerAfspr!$D$30" fmlaRange="tbl_Ped_DrainLokatie" noThreeD="1" sel="1" val="0"/>
</file>

<file path=xl/ctrlProps/ctrlProp551.xml><?xml version="1.0" encoding="utf-8"?>
<formControlPr xmlns="http://schemas.microsoft.com/office/spreadsheetml/2009/9/main" objectType="Drop" dropStyle="combo" dx="16" fmlaLink="PedBerAfspr!$D$31" fmlaRange="tbl_Ped_DrainModus" noThreeD="1" sel="1" val="0"/>
</file>

<file path=xl/ctrlProps/ctrlProp552.xml><?xml version="1.0" encoding="utf-8"?>
<formControlPr xmlns="http://schemas.microsoft.com/office/spreadsheetml/2009/9/main" objectType="CheckBox" fmlaLink="PedBerAfspr!$B$7" lockText="1"/>
</file>

<file path=xl/ctrlProps/ctrlProp553.xml><?xml version="1.0" encoding="utf-8"?>
<formControlPr xmlns="http://schemas.microsoft.com/office/spreadsheetml/2009/9/main" objectType="CheckBox" fmlaLink="PedBerAfspr!$B$8" lockText="1"/>
</file>

<file path=xl/ctrlProps/ctrlProp554.xml><?xml version="1.0" encoding="utf-8"?>
<formControlPr xmlns="http://schemas.microsoft.com/office/spreadsheetml/2009/9/main" objectType="CheckBox" fmlaLink="PedBerAfspr!$B$21" lockText="1"/>
</file>

<file path=xl/ctrlProps/ctrlProp555.xml><?xml version="1.0" encoding="utf-8"?>
<formControlPr xmlns="http://schemas.microsoft.com/office/spreadsheetml/2009/9/main" objectType="CheckBox" fmlaLink="PedBerAfspr!$B$11" lockText="1"/>
</file>

<file path=xl/ctrlProps/ctrlProp556.xml><?xml version="1.0" encoding="utf-8"?>
<formControlPr xmlns="http://schemas.microsoft.com/office/spreadsheetml/2009/9/main" objectType="CheckBox" fmlaLink="PedBerAfspr!$B$15" lockText="1"/>
</file>

<file path=xl/ctrlProps/ctrlProp557.xml><?xml version="1.0" encoding="utf-8"?>
<formControlPr xmlns="http://schemas.microsoft.com/office/spreadsheetml/2009/9/main" objectType="CheckBox" fmlaLink="PedBerAfspr!$B$16" lockText="1"/>
</file>

<file path=xl/ctrlProps/ctrlProp558.xml><?xml version="1.0" encoding="utf-8"?>
<formControlPr xmlns="http://schemas.microsoft.com/office/spreadsheetml/2009/9/main" objectType="CheckBox" fmlaLink="PedBerAfspr!$B$17" lockText="1"/>
</file>

<file path=xl/ctrlProps/ctrlProp559.xml><?xml version="1.0" encoding="utf-8"?>
<formControlPr xmlns="http://schemas.microsoft.com/office/spreadsheetml/2009/9/main" objectType="CheckBox" fmlaLink="PedBerAfspr!$D$11" lockText="1"/>
</file>

<file path=xl/ctrlProps/ctrlProp560.xml><?xml version="1.0" encoding="utf-8"?>
<formControlPr xmlns="http://schemas.microsoft.com/office/spreadsheetml/2009/9/main" objectType="CheckBox" fmlaLink="PedBerAfspr!$D$12" lockText="1"/>
</file>

<file path=xl/ctrlProps/ctrlProp561.xml><?xml version="1.0" encoding="utf-8"?>
<formControlPr xmlns="http://schemas.microsoft.com/office/spreadsheetml/2009/9/main" objectType="CheckBox" fmlaLink="PedBerAfspr!$D$13" lockText="1"/>
</file>

<file path=xl/ctrlProps/ctrlProp562.xml><?xml version="1.0" encoding="utf-8"?>
<formControlPr xmlns="http://schemas.microsoft.com/office/spreadsheetml/2009/9/main" objectType="CheckBox" fmlaLink="PedBerAfspr!$D$14" lockText="1"/>
</file>

<file path=xl/ctrlProps/ctrlProp563.xml><?xml version="1.0" encoding="utf-8"?>
<formControlPr xmlns="http://schemas.microsoft.com/office/spreadsheetml/2009/9/main" objectType="CheckBox" fmlaLink="PedBerAfspr!$B$20" lockText="1"/>
</file>

<file path=xl/ctrlProps/ctrlProp564.xml><?xml version="1.0" encoding="utf-8"?>
<formControlPr xmlns="http://schemas.microsoft.com/office/spreadsheetml/2009/9/main" objectType="CheckBox" fmlaLink="PedBerAfspr!$B$9" lockText="1"/>
</file>

<file path=xl/ctrlProps/ctrlProp565.xml><?xml version="1.0" encoding="utf-8"?>
<formControlPr xmlns="http://schemas.microsoft.com/office/spreadsheetml/2009/9/main" objectType="Spin" dx="15" fmlaLink="PedBerAfspr!$C$7" max="10" page="10" val="0"/>
</file>

<file path=xl/ctrlProps/ctrlProp566.xml><?xml version="1.0" encoding="utf-8"?>
<formControlPr xmlns="http://schemas.microsoft.com/office/spreadsheetml/2009/9/main" objectType="Spin" dx="15" fmlaLink="PedBerAfspr!$C$8" max="10" page="10" val="0"/>
</file>

<file path=xl/ctrlProps/ctrlProp567.xml><?xml version="1.0" encoding="utf-8"?>
<formControlPr xmlns="http://schemas.microsoft.com/office/spreadsheetml/2009/9/main" objectType="Spin" dx="15" fmlaLink="PedBerAfspr!$C$9" max="10" page="10" val="0"/>
</file>

<file path=xl/ctrlProps/ctrlProp568.xml><?xml version="1.0" encoding="utf-8"?>
<formControlPr xmlns="http://schemas.microsoft.com/office/spreadsheetml/2009/9/main" objectType="Drop" dropStyle="combo" dx="16" fmlaLink="PedBerAfspr!$D$7" fmlaRange="tbl_Ped_Periode" noThreeD="1" sel="0" val="0"/>
</file>

<file path=xl/ctrlProps/ctrlProp569.xml><?xml version="1.0" encoding="utf-8"?>
<formControlPr xmlns="http://schemas.microsoft.com/office/spreadsheetml/2009/9/main" objectType="Drop" dropStyle="combo" dx="16" fmlaLink="PedBerAfspr!$D$8" fmlaRange="tbl_Ped_Periode" noThreeD="1" sel="0" val="0"/>
</file>

<file path=xl/ctrlProps/ctrlProp570.xml><?xml version="1.0" encoding="utf-8"?>
<formControlPr xmlns="http://schemas.microsoft.com/office/spreadsheetml/2009/9/main" objectType="Drop" dropStyle="combo" dx="16" fmlaLink="PedBerAfspr!$D$9" fmlaRange="tbl_Ped_Periode" noThreeD="1" sel="1" val="0"/>
</file>

<file path=xl/ctrlProps/ctrlProp571.xml><?xml version="1.0" encoding="utf-8"?>
<formControlPr xmlns="http://schemas.microsoft.com/office/spreadsheetml/2009/9/main" objectType="Spin" dx="15" fmlaLink="PedBerAfspr!$C$8" max="10" page="10" val="0"/>
</file>

<file path=xl/ctrlProps/ctrlProp572.xml><?xml version="1.0" encoding="utf-8"?>
<formControlPr xmlns="http://schemas.microsoft.com/office/spreadsheetml/2009/9/main" objectType="Spin" dx="15" fmlaLink="PedBerAfspr!$C$9" max="10" page="10" val="0"/>
</file>

<file path=xl/ctrlProps/ctrlProp573.xml><?xml version="1.0" encoding="utf-8"?>
<formControlPr xmlns="http://schemas.microsoft.com/office/spreadsheetml/2009/9/main" objectType="Drop" dropStyle="combo" dx="16" fmlaLink="PedBerAfspr!$D$29" fmlaRange="tbl_Ped_DrainZuig" noThreeD="1" sel="1" val="0"/>
</file>

<file path=xl/ctrlProps/ctrlProp574.xml><?xml version="1.0" encoding="utf-8"?>
<formControlPr xmlns="http://schemas.microsoft.com/office/spreadsheetml/2009/9/main" objectType="Drop" dropStyle="combo" dx="16" fmlaLink="PedBerAfspr!$D$32" fmlaRange="tbl_Ped_DrainZuig" noThreeD="1" sel="1" val="0"/>
</file>

<file path=xl/ctrlProps/ctrlProp575.xml><?xml version="1.0" encoding="utf-8"?>
<formControlPr xmlns="http://schemas.microsoft.com/office/spreadsheetml/2009/9/main" objectType="CheckBox" fmlaLink="PedBerAfspr!$B$33" lockText="1"/>
</file>

<file path=xl/ctrlProps/ctrlProp576.xml><?xml version="1.0" encoding="utf-8"?>
<formControlPr xmlns="http://schemas.microsoft.com/office/spreadsheetml/2009/9/main" objectType="Drop" dropStyle="combo" dx="16" fmlaLink="PedBerAfspr!$D$33" fmlaRange="tbl_Ped_DrainLokatie" noThreeD="1" sel="1" val="0"/>
</file>

<file path=xl/ctrlProps/ctrlProp577.xml><?xml version="1.0" encoding="utf-8"?>
<formControlPr xmlns="http://schemas.microsoft.com/office/spreadsheetml/2009/9/main" objectType="Drop" dropStyle="combo" dx="16" fmlaLink="PedBerAfspr!$D$34" fmlaRange="tbl_Ped_DrainModus" noThreeD="1" sel="1" val="0"/>
</file>

<file path=xl/ctrlProps/ctrlProp578.xml><?xml version="1.0" encoding="utf-8"?>
<formControlPr xmlns="http://schemas.microsoft.com/office/spreadsheetml/2009/9/main" objectType="Drop" dropStyle="combo" dx="16" fmlaLink="PedBerAfspr!$D$35" fmlaRange="tbl_Ped_DrainZuig" noThreeD="1" sel="1" val="0"/>
</file>

<file path=xl/ctrlProps/ctrlProp579.xml><?xml version="1.0" encoding="utf-8"?>
<formControlPr xmlns="http://schemas.microsoft.com/office/spreadsheetml/2009/9/main" objectType="CheckBox" fmlaLink="PedBerAfspr!$B$36" lockText="1"/>
</file>

<file path=xl/ctrlProps/ctrlProp580.xml><?xml version="1.0" encoding="utf-8"?>
<formControlPr xmlns="http://schemas.microsoft.com/office/spreadsheetml/2009/9/main" objectType="CheckBox" fmlaLink="PedBerAfspr!$B$38" lockText="1"/>
</file>

<file path=xl/ctrlProps/ctrlProp581.xml><?xml version="1.0" encoding="utf-8"?>
<formControlPr xmlns="http://schemas.microsoft.com/office/spreadsheetml/2009/9/main" objectType="CheckBox" fmlaLink="PedBerAfspr!$B$37" lockText="1"/>
</file>

<file path=xl/ctrlProps/ctrlProp582.xml><?xml version="1.0" encoding="utf-8"?>
<formControlPr xmlns="http://schemas.microsoft.com/office/spreadsheetml/2009/9/main" objectType="CheckBox" fmlaLink="PedBerAfspr!$D$36" lockText="1"/>
</file>

<file path=xl/ctrlProps/ctrlProp583.xml><?xml version="1.0" encoding="utf-8"?>
<formControlPr xmlns="http://schemas.microsoft.com/office/spreadsheetml/2009/9/main" objectType="CheckBox" fmlaLink="PedBerAfspr!$D$37" lockText="1"/>
</file>

<file path=xl/ctrlProps/ctrlProp584.xml><?xml version="1.0" encoding="utf-8"?>
<formControlPr xmlns="http://schemas.microsoft.com/office/spreadsheetml/2009/9/main" objectType="CheckBox" fmlaLink="PedBerAfspr!$D$38" lockText="1"/>
</file>

<file path=xl/ctrlProps/ctrlProp585.xml><?xml version="1.0" encoding="utf-8"?>
<formControlPr xmlns="http://schemas.microsoft.com/office/spreadsheetml/2009/9/main" objectType="Drop" dropStyle="combo" dx="16" fmlaLink="PedBerAfspr!$D$39" fmlaRange="tbl_Ped_LiquorDrain" noThreeD="1" sel="0" val="0"/>
</file>

<file path=xl/ctrlProps/ctrlProp586.xml><?xml version="1.0" encoding="utf-8"?>
<formControlPr xmlns="http://schemas.microsoft.com/office/spreadsheetml/2009/9/main" objectType="Spin" dx="15" fmlaLink="PedBerAfspr!$D$40" max="100" page="10" val="0"/>
</file>

<file path=xl/ctrlProps/ctrlProp587.xml><?xml version="1.0" encoding="utf-8"?>
<formControlPr xmlns="http://schemas.microsoft.com/office/spreadsheetml/2009/9/main" objectType="CheckBox" fmlaLink="PedBerAfspr!$B$39" lockText="1"/>
</file>

<file path=xl/ctrlProps/ctrlProp588.xml><?xml version="1.0" encoding="utf-8"?>
<formControlPr xmlns="http://schemas.microsoft.com/office/spreadsheetml/2009/9/main" objectType="CheckBox" fmlaLink="PedBerAfspr!$F$9" lockText="1"/>
</file>

<file path=xl/ctrlProps/ctrlProp589.xml><?xml version="1.0" encoding="utf-8"?>
<formControlPr xmlns="http://schemas.microsoft.com/office/spreadsheetml/2009/9/main" objectType="CheckBox" fmlaLink="PedBerAfspr!$F$10" lockText="1"/>
</file>

<file path=xl/ctrlProps/ctrlProp590.xml><?xml version="1.0" encoding="utf-8"?>
<formControlPr xmlns="http://schemas.microsoft.com/office/spreadsheetml/2009/9/main" objectType="CheckBox" fmlaLink="PedBerAfspr!$F$12" lockText="1"/>
</file>

<file path=xl/ctrlProps/ctrlProp591.xml><?xml version="1.0" encoding="utf-8"?>
<formControlPr xmlns="http://schemas.microsoft.com/office/spreadsheetml/2009/9/main" objectType="CheckBox" fmlaLink="PedBerAfspr!$F$13" lockText="1"/>
</file>

<file path=xl/ctrlProps/ctrlProp592.xml><?xml version="1.0" encoding="utf-8"?>
<formControlPr xmlns="http://schemas.microsoft.com/office/spreadsheetml/2009/9/main" objectType="CheckBox" fmlaLink="PedBerAfspr!$F$14" lockText="1"/>
</file>

<file path=xl/ctrlProps/ctrlProp593.xml><?xml version="1.0" encoding="utf-8"?>
<formControlPr xmlns="http://schemas.microsoft.com/office/spreadsheetml/2009/9/main" objectType="CheckBox" fmlaLink="PedBerAfspr!$F$15" lockText="1"/>
</file>

<file path=xl/ctrlProps/ctrlProp594.xml><?xml version="1.0" encoding="utf-8"?>
<formControlPr xmlns="http://schemas.microsoft.com/office/spreadsheetml/2009/9/main" objectType="CheckBox" fmlaLink="PedBerAfspr!$B$24" lockText="1"/>
</file>

<file path=xl/ctrlProps/ctrlProp595.xml><?xml version="1.0" encoding="utf-8"?>
<formControlPr xmlns="http://schemas.microsoft.com/office/spreadsheetml/2009/9/main" objectType="CheckBox" fmlaLink="PedBerAfspr!$B$25" lockText="1"/>
</file>

<file path=xl/ctrlProps/ctrlProp596.xml><?xml version="1.0" encoding="utf-8"?>
<formControlPr xmlns="http://schemas.microsoft.com/office/spreadsheetml/2009/9/main" objectType="Spin" dx="15" fmlaLink="PedBerAfspr!$C$8" max="10" page="10" val="0"/>
</file>

<file path=xl/ctrlProps/ctrlProp597.xml><?xml version="1.0" encoding="utf-8"?>
<formControlPr xmlns="http://schemas.microsoft.com/office/spreadsheetml/2009/9/main" objectType="Spin" dx="15" fmlaLink="PedBerAfspr!$C$9" max="10" page="10" val="0"/>
</file>

<file path=xl/ctrlProps/ctrlProp598.xml><?xml version="1.0" encoding="utf-8"?>
<formControlPr xmlns="http://schemas.microsoft.com/office/spreadsheetml/2009/9/main" objectType="CheckBox" fmlaLink="PedBerAfspr!$F$16" lockText="1"/>
</file>

<file path=xl/ctrlProps/ctrlProp599.xml><?xml version="1.0" encoding="utf-8"?>
<formControlPr xmlns="http://schemas.microsoft.com/office/spreadsheetml/2009/9/main" objectType="Spin" dx="15" fmlaLink="PedBerAfspr!$G$16" max="24" page="10" val="0"/>
</file>

<file path=xl/ctrlProps/ctrlProp600.xml><?xml version="1.0" encoding="utf-8"?>
<formControlPr xmlns="http://schemas.microsoft.com/office/spreadsheetml/2009/9/main" objectType="Spin" dx="15" fmlaLink="PedBerAfspr!$G$18" max="24" page="10" val="0"/>
</file>

<file path=xl/ctrlProps/ctrlProp601.xml><?xml version="1.0" encoding="utf-8"?>
<formControlPr xmlns="http://schemas.microsoft.com/office/spreadsheetml/2009/9/main" objectType="CheckBox" fmlaLink="PedBerAfspr!$F$18" lockText="1"/>
</file>

<file path=xl/ctrlProps/ctrlProp602.xml><?xml version="1.0" encoding="utf-8"?>
<formControlPr xmlns="http://schemas.microsoft.com/office/spreadsheetml/2009/9/main" objectType="CheckBox" fmlaLink="PedBerAfspr!$B$42" lockText="1"/>
</file>

<file path=xl/ctrlProps/ctrlProp603.xml><?xml version="1.0" encoding="utf-8"?>
<formControlPr xmlns="http://schemas.microsoft.com/office/spreadsheetml/2009/9/main" objectType="CheckBox" fmlaLink="PedBerAfspr!$B$43" lockText="1"/>
</file>

<file path=xl/ctrlProps/ctrlProp604.xml><?xml version="1.0" encoding="utf-8"?>
<formControlPr xmlns="http://schemas.microsoft.com/office/spreadsheetml/2009/9/main" objectType="CheckBox" fmlaLink="PedBerAfspr!$B$44" lockText="1"/>
</file>

<file path=xl/ctrlProps/ctrlProp605.xml><?xml version="1.0" encoding="utf-8"?>
<formControlPr xmlns="http://schemas.microsoft.com/office/spreadsheetml/2009/9/main" objectType="Spin" dx="15" fmlaLink="PedBerAfspr!$C$42" max="24" page="10" val="0"/>
</file>

<file path=xl/ctrlProps/ctrlProp606.xml><?xml version="1.0" encoding="utf-8"?>
<formControlPr xmlns="http://schemas.microsoft.com/office/spreadsheetml/2009/9/main" objectType="Spin" dx="15" fmlaLink="PedBerAfspr!$C$43" max="24" page="10" val="3"/>
</file>

<file path=xl/ctrlProps/ctrlProp607.xml><?xml version="1.0" encoding="utf-8"?>
<formControlPr xmlns="http://schemas.microsoft.com/office/spreadsheetml/2009/9/main" objectType="Drop" dropStyle="combo" dx="16" fmlaLink="NeoBerInfB!$B$20" fmlaRange="tbl_Neo_MedIV" sel="1" val="0"/>
</file>

<file path=xl/ctrlProps/ctrlProp608.xml><?xml version="1.0" encoding="utf-8"?>
<formControlPr xmlns="http://schemas.microsoft.com/office/spreadsheetml/2009/9/main" objectType="Drop" dropStyle="combo" dx="16" fmlaLink="NeoBerInfB!$B$21" fmlaRange="tbl_Neo_MedIV" sel="1" val="0"/>
</file>

<file path=xl/ctrlProps/ctrlProp609.xml><?xml version="1.0" encoding="utf-8"?>
<formControlPr xmlns="http://schemas.microsoft.com/office/spreadsheetml/2009/9/main" objectType="Drop" dropStyle="combo" dx="16" fmlaLink="NeoBerInfB!$B$22" fmlaRange="tbl_Neo_MedIV" sel="1" val="0"/>
</file>

<file path=xl/ctrlProps/ctrlProp610.xml><?xml version="1.0" encoding="utf-8"?>
<formControlPr xmlns="http://schemas.microsoft.com/office/spreadsheetml/2009/9/main" objectType="Drop" dropStyle="combo" dx="16" fmlaLink="NeoBerInfB!$B$23" fmlaRange="tbl_Neo_MedIV" sel="1" val="7"/>
</file>

<file path=xl/ctrlProps/ctrlProp611.xml><?xml version="1.0" encoding="utf-8"?>
<formControlPr xmlns="http://schemas.microsoft.com/office/spreadsheetml/2009/9/main" objectType="Drop" dropStyle="combo" dx="16" fmlaLink="NeoBerInfB!$B$24" fmlaRange="tbl_Neo_MedIV" sel="1" val="0"/>
</file>

<file path=xl/ctrlProps/ctrlProp612.xml><?xml version="1.0" encoding="utf-8"?>
<formControlPr xmlns="http://schemas.microsoft.com/office/spreadsheetml/2009/9/main" objectType="Drop" dropStyle="combo" dx="16" fmlaLink="NeoBerInfB!$B$25" fmlaRange="tbl_Neo_MedIV" sel="1" val="0"/>
</file>

<file path=xl/ctrlProps/ctrlProp613.xml><?xml version="1.0" encoding="utf-8"?>
<formControlPr xmlns="http://schemas.microsoft.com/office/spreadsheetml/2009/9/main" objectType="Drop" dropStyle="combo" dx="16" fmlaLink="NeoBerInfB!$B$26" fmlaRange="tbl_Neo_MedIV" sel="1" val="0"/>
</file>

<file path=xl/ctrlProps/ctrlProp614.xml><?xml version="1.0" encoding="utf-8"?>
<formControlPr xmlns="http://schemas.microsoft.com/office/spreadsheetml/2009/9/main" objectType="Spin" dx="15" fmlaLink="NeoBerInfB!$B$18" inc="5" max="10" page="10" val="0"/>
</file>

<file path=xl/ctrlProps/ctrlProp615.xml><?xml version="1.0" encoding="utf-8"?>
<formControlPr xmlns="http://schemas.microsoft.com/office/spreadsheetml/2009/9/main" objectType="Spin" dx="15" fmlaLink="NeoBerInfB!$F$20" max="30000" page="10" val="0"/>
</file>

<file path=xl/ctrlProps/ctrlProp616.xml><?xml version="1.0" encoding="utf-8"?>
<formControlPr xmlns="http://schemas.microsoft.com/office/spreadsheetml/2009/9/main" objectType="Spin" dx="15" fmlaLink="NeoBerInfB!$F$21" max="30000" page="10" val="0"/>
</file>

<file path=xl/ctrlProps/ctrlProp617.xml><?xml version="1.0" encoding="utf-8"?>
<formControlPr xmlns="http://schemas.microsoft.com/office/spreadsheetml/2009/9/main" objectType="Spin" dx="15" fmlaLink="NeoBerInfB!$F$22" max="30000" page="10" val="0"/>
</file>

<file path=xl/ctrlProps/ctrlProp618.xml><?xml version="1.0" encoding="utf-8"?>
<formControlPr xmlns="http://schemas.microsoft.com/office/spreadsheetml/2009/9/main" objectType="Spin" dx="15" fmlaLink="NeoBerInfB!$F$23" max="30000" page="10" val="0"/>
</file>

<file path=xl/ctrlProps/ctrlProp619.xml><?xml version="1.0" encoding="utf-8"?>
<formControlPr xmlns="http://schemas.microsoft.com/office/spreadsheetml/2009/9/main" objectType="Spin" dx="15" fmlaLink="NeoBerInfB!$F$24" max="30000" page="10" val="0"/>
</file>

<file path=xl/ctrlProps/ctrlProp620.xml><?xml version="1.0" encoding="utf-8"?>
<formControlPr xmlns="http://schemas.microsoft.com/office/spreadsheetml/2009/9/main" objectType="Spin" dx="15" fmlaLink="NeoBerInfB!$F$25" max="30000" page="10" val="0"/>
</file>

<file path=xl/ctrlProps/ctrlProp621.xml><?xml version="1.0" encoding="utf-8"?>
<formControlPr xmlns="http://schemas.microsoft.com/office/spreadsheetml/2009/9/main" objectType="Spin" dx="15" fmlaLink="NeoBerInfB!$F$26" max="30000" page="10" val="0"/>
</file>

<file path=xl/ctrlProps/ctrlProp622.xml><?xml version="1.0" encoding="utf-8"?>
<formControlPr xmlns="http://schemas.microsoft.com/office/spreadsheetml/2009/9/main" objectType="Radio" firstButton="1" fmlaLink="NeoBerInfB!$J$14" lockText="1"/>
</file>

<file path=xl/ctrlProps/ctrlProp623.xml><?xml version="1.0" encoding="utf-8"?>
<formControlPr xmlns="http://schemas.microsoft.com/office/spreadsheetml/2009/9/main" objectType="Radio" checked="Checked" lockText="1"/>
</file>

<file path=xl/ctrlProps/ctrlProp624.xml><?xml version="1.0" encoding="utf-8"?>
<formControlPr xmlns="http://schemas.microsoft.com/office/spreadsheetml/2009/9/main" objectType="Spin" dx="15" fmlaLink="NeoBerInfB!$D$10" max="24" page="10" val="4"/>
</file>

<file path=xl/ctrlProps/ctrlProp625.xml><?xml version="1.0" encoding="utf-8"?>
<formControlPr xmlns="http://schemas.microsoft.com/office/spreadsheetml/2009/9/main" objectType="Spin" dx="15" fmlaLink="NeoBerInfB!$D$11" inc="5" max="30000" page="10" val="10"/>
</file>

<file path=xl/ctrlProps/ctrlProp626.xml><?xml version="1.0" encoding="utf-8"?>
<formControlPr xmlns="http://schemas.microsoft.com/office/spreadsheetml/2009/9/main" objectType="Spin" dx="15" fmlaLink="NeoBerInfB!$D$16" inc="5" max="30000" page="10" val="5015"/>
</file>

<file path=xl/ctrlProps/ctrlProp627.xml><?xml version="1.0" encoding="utf-8"?>
<formControlPr xmlns="http://schemas.microsoft.com/office/spreadsheetml/2009/9/main" objectType="Radio" checked="Checked" firstButton="1" fmlaLink="NeoBerInfB!$D$36" lockText="1"/>
</file>

<file path=xl/ctrlProps/ctrlProp628.xml><?xml version="1.0" encoding="utf-8"?>
<formControlPr xmlns="http://schemas.microsoft.com/office/spreadsheetml/2009/9/main" objectType="Radio" lockText="1"/>
</file>

<file path=xl/ctrlProps/ctrlProp629.xml><?xml version="1.0" encoding="utf-8"?>
<formControlPr xmlns="http://schemas.microsoft.com/office/spreadsheetml/2009/9/main" objectType="Radio" lockText="1"/>
</file>

<file path=xl/ctrlProps/ctrlProp630.xml><?xml version="1.0" encoding="utf-8"?>
<formControlPr xmlns="http://schemas.microsoft.com/office/spreadsheetml/2009/9/main" objectType="Spin" dx="15" fmlaLink="NeoBerInfB!$D$37" inc="10" max="30000" page="10" val="5000"/>
</file>

<file path=xl/ctrlProps/ctrlProp631.xml><?xml version="1.0" encoding="utf-8"?>
<formControlPr xmlns="http://schemas.microsoft.com/office/spreadsheetml/2009/9/main" objectType="Spin" dx="15" fmlaLink="NeoBerInfB!$D$38" inc="10" max="30000" page="10" val="5000"/>
</file>

<file path=xl/ctrlProps/ctrlProp632.xml><?xml version="1.0" encoding="utf-8"?>
<formControlPr xmlns="http://schemas.microsoft.com/office/spreadsheetml/2009/9/main" objectType="Spin" dx="15" fmlaLink="NeoBerInfB!$D$39" inc="10" max="30000" page="10" val="5000"/>
</file>

<file path=xl/ctrlProps/ctrlProp633.xml><?xml version="1.0" encoding="utf-8"?>
<formControlPr xmlns="http://schemas.microsoft.com/office/spreadsheetml/2009/9/main" objectType="Spin" dx="15" fmlaLink="NeoBerInfB!$D$40" max="30000" page="10" val="5000"/>
</file>

<file path=xl/ctrlProps/ctrlProp634.xml><?xml version="1.0" encoding="utf-8"?>
<formControlPr xmlns="http://schemas.microsoft.com/office/spreadsheetml/2009/9/main" objectType="Spin" dx="15" fmlaLink="NeoBerInfB!$D$41" max="30000" page="10" val="5000"/>
</file>

<file path=xl/ctrlProps/ctrlProp635.xml><?xml version="1.0" encoding="utf-8"?>
<formControlPr xmlns="http://schemas.microsoft.com/office/spreadsheetml/2009/9/main" objectType="Spin" dx="15" fmlaLink="NeoBerInfB!$D$42" max="30000" page="10" val="5000"/>
</file>

<file path=xl/ctrlProps/ctrlProp636.xml><?xml version="1.0" encoding="utf-8"?>
<formControlPr xmlns="http://schemas.microsoft.com/office/spreadsheetml/2009/9/main" objectType="Spin" dx="15" fmlaLink="NeoBerInfB!$D$43" max="30000" page="10" val="5000"/>
</file>

<file path=xl/ctrlProps/ctrlProp637.xml><?xml version="1.0" encoding="utf-8"?>
<formControlPr xmlns="http://schemas.microsoft.com/office/spreadsheetml/2009/9/main" objectType="Spin" dx="15" fmlaLink="NeoBerInfB!$D$37" max="30000" page="10" val="5000"/>
</file>

<file path=xl/ctrlProps/ctrlProp638.xml><?xml version="1.0" encoding="utf-8"?>
<formControlPr xmlns="http://schemas.microsoft.com/office/spreadsheetml/2009/9/main" objectType="Spin" dx="15" fmlaLink="NeoBerInfB!$D$38" max="30000" page="10" val="5000"/>
</file>

<file path=xl/ctrlProps/ctrlProp639.xml><?xml version="1.0" encoding="utf-8"?>
<formControlPr xmlns="http://schemas.microsoft.com/office/spreadsheetml/2009/9/main" objectType="Spin" dx="15" fmlaLink="NeoBerInfB!$D$44" max="30000" page="10" val="5000"/>
</file>

<file path=xl/ctrlProps/ctrlProp640.xml><?xml version="1.0" encoding="utf-8"?>
<formControlPr xmlns="http://schemas.microsoft.com/office/spreadsheetml/2009/9/main" objectType="Radio" checked="Checked" firstButton="1" fmlaLink="NeoBerInfB!$B$15" lockText="1"/>
</file>

<file path=xl/ctrlProps/ctrlProp641.xml><?xml version="1.0" encoding="utf-8"?>
<formControlPr xmlns="http://schemas.microsoft.com/office/spreadsheetml/2009/9/main" objectType="Radio" lockText="1"/>
</file>

<file path=xl/ctrlProps/ctrlProp642.xml><?xml version="1.0" encoding="utf-8"?>
<formControlPr xmlns="http://schemas.microsoft.com/office/spreadsheetml/2009/9/main" objectType="Drop" dropStyle="combo" dx="16" fmlaLink="NeoBerInfB!$E$20" fmlaRange="tbl_Neo_Opl" sel="1" val="0"/>
</file>

<file path=xl/ctrlProps/ctrlProp643.xml><?xml version="1.0" encoding="utf-8"?>
<formControlPr xmlns="http://schemas.microsoft.com/office/spreadsheetml/2009/9/main" objectType="Drop" dropStyle="combo" dx="16" fmlaLink="NeoBerInfB!$E$21" fmlaRange="tbl_Neo_Opl" sel="1" val="0"/>
</file>

<file path=xl/ctrlProps/ctrlProp644.xml><?xml version="1.0" encoding="utf-8"?>
<formControlPr xmlns="http://schemas.microsoft.com/office/spreadsheetml/2009/9/main" objectType="Drop" dropStyle="combo" dx="16" fmlaLink="NeoBerInfB!$E$22" fmlaRange="tbl_Neo_Opl" sel="1" val="0"/>
</file>

<file path=xl/ctrlProps/ctrlProp645.xml><?xml version="1.0" encoding="utf-8"?>
<formControlPr xmlns="http://schemas.microsoft.com/office/spreadsheetml/2009/9/main" objectType="Drop" dropStyle="combo" dx="16" fmlaLink="NeoBerInfB!$E$23" fmlaRange="tbl_Neo_Opl" sel="1" val="0"/>
</file>

<file path=xl/ctrlProps/ctrlProp646.xml><?xml version="1.0" encoding="utf-8"?>
<formControlPr xmlns="http://schemas.microsoft.com/office/spreadsheetml/2009/9/main" objectType="Drop" dropStyle="combo" dx="16" fmlaLink="NeoBerInfB!$E$24" fmlaRange="tbl_Neo_Opl" sel="1" val="0"/>
</file>

<file path=xl/ctrlProps/ctrlProp647.xml><?xml version="1.0" encoding="utf-8"?>
<formControlPr xmlns="http://schemas.microsoft.com/office/spreadsheetml/2009/9/main" objectType="Drop" dropStyle="combo" dx="16" fmlaLink="NeoBerInfB!$E$25" fmlaRange="tbl_Neo_Opl" sel="1" val="0"/>
</file>

<file path=xl/ctrlProps/ctrlProp648.xml><?xml version="1.0" encoding="utf-8"?>
<formControlPr xmlns="http://schemas.microsoft.com/office/spreadsheetml/2009/9/main" objectType="Spin" dx="15" fmlaLink="NeoBerInfB!$D$20" max="30000" page="10" val="0"/>
</file>

<file path=xl/ctrlProps/ctrlProp649.xml><?xml version="1.0" encoding="utf-8"?>
<formControlPr xmlns="http://schemas.microsoft.com/office/spreadsheetml/2009/9/main" objectType="Spin" dx="15" fmlaLink="NeoBerInfB!$D$21" max="30000" page="10" val="0"/>
</file>

<file path=xl/ctrlProps/ctrlProp650.xml><?xml version="1.0" encoding="utf-8"?>
<formControlPr xmlns="http://schemas.microsoft.com/office/spreadsheetml/2009/9/main" objectType="Spin" dx="15" fmlaLink="NeoBerInfB!$D$22" max="30000" page="10" val="0"/>
</file>

<file path=xl/ctrlProps/ctrlProp651.xml><?xml version="1.0" encoding="utf-8"?>
<formControlPr xmlns="http://schemas.microsoft.com/office/spreadsheetml/2009/9/main" objectType="Spin" dx="15" fmlaLink="NeoBerInfB!$D$23" max="30000" page="10" val="0"/>
</file>

<file path=xl/ctrlProps/ctrlProp652.xml><?xml version="1.0" encoding="utf-8"?>
<formControlPr xmlns="http://schemas.microsoft.com/office/spreadsheetml/2009/9/main" objectType="Spin" dx="15" fmlaLink="NeoBerInfB!$D$24" max="30000" page="10" val="0"/>
</file>

<file path=xl/ctrlProps/ctrlProp653.xml><?xml version="1.0" encoding="utf-8"?>
<formControlPr xmlns="http://schemas.microsoft.com/office/spreadsheetml/2009/9/main" objectType="Spin" dx="15" fmlaLink="NeoBerInfB!$D$25" max="30000" page="10" val="0"/>
</file>

<file path=xl/ctrlProps/ctrlProp654.xml><?xml version="1.0" encoding="utf-8"?>
<formControlPr xmlns="http://schemas.microsoft.com/office/spreadsheetml/2009/9/main" objectType="Spin" dx="15" fmlaLink="NeoBerInfB!$D$26" max="30000" page="10" val="0"/>
</file>

<file path=xl/ctrlProps/ctrlProp655.xml><?xml version="1.0" encoding="utf-8"?>
<formControlPr xmlns="http://schemas.microsoft.com/office/spreadsheetml/2009/9/main" objectType="Spin" dx="15" fmlaLink="NeoBerInfB!$C$20" inc="10" max="30000" page="10" val="0"/>
</file>

<file path=xl/ctrlProps/ctrlProp656.xml><?xml version="1.0" encoding="utf-8"?>
<formControlPr xmlns="http://schemas.microsoft.com/office/spreadsheetml/2009/9/main" objectType="Spin" dx="15" fmlaLink="NeoBerInfB!$C$21" inc="10" max="30000" page="10" val="0"/>
</file>

<file path=xl/ctrlProps/ctrlProp657.xml><?xml version="1.0" encoding="utf-8"?>
<formControlPr xmlns="http://schemas.microsoft.com/office/spreadsheetml/2009/9/main" objectType="Spin" dx="15" fmlaLink="NeoBerInfB!$C$22" inc="10" max="30000" page="10" val="0"/>
</file>

<file path=xl/ctrlProps/ctrlProp658.xml><?xml version="1.0" encoding="utf-8"?>
<formControlPr xmlns="http://schemas.microsoft.com/office/spreadsheetml/2009/9/main" objectType="Spin" dx="15" fmlaLink="NeoBerInfB!$C$23" inc="10" max="30000" page="10" val="0"/>
</file>

<file path=xl/ctrlProps/ctrlProp659.xml><?xml version="1.0" encoding="utf-8"?>
<formControlPr xmlns="http://schemas.microsoft.com/office/spreadsheetml/2009/9/main" objectType="Spin" dx="15" fmlaLink="NeoBerInfB!$C$24" inc="10" max="30000" page="10" val="0"/>
</file>

<file path=xl/ctrlProps/ctrlProp660.xml><?xml version="1.0" encoding="utf-8"?>
<formControlPr xmlns="http://schemas.microsoft.com/office/spreadsheetml/2009/9/main" objectType="Spin" dx="15" fmlaLink="NeoBerInfB!$C$25" inc="10" max="30000" page="10" val="0"/>
</file>

<file path=xl/ctrlProps/ctrlProp661.xml><?xml version="1.0" encoding="utf-8"?>
<formControlPr xmlns="http://schemas.microsoft.com/office/spreadsheetml/2009/9/main" objectType="Spin" dx="15" fmlaLink="NeoBerInfB!$C$26" inc="10" max="30000" page="10" val="0"/>
</file>

<file path=xl/ctrlProps/ctrlProp662.xml><?xml version="1.0" encoding="utf-8"?>
<formControlPr xmlns="http://schemas.microsoft.com/office/spreadsheetml/2009/9/main" objectType="GBox"/>
</file>

<file path=xl/ctrlProps/ctrlProp663.xml><?xml version="1.0" encoding="utf-8"?>
<formControlPr xmlns="http://schemas.microsoft.com/office/spreadsheetml/2009/9/main" objectType="GBox" noThreeD="1"/>
</file>

<file path=xl/ctrlProps/ctrlProp664.xml><?xml version="1.0" encoding="utf-8"?>
<formControlPr xmlns="http://schemas.microsoft.com/office/spreadsheetml/2009/9/main" objectType="CheckBox" fmlaLink="NeoBerInfB!$J$18" lockText="1"/>
</file>

<file path=xl/ctrlProps/ctrlProp665.xml><?xml version="1.0" encoding="utf-8"?>
<formControlPr xmlns="http://schemas.microsoft.com/office/spreadsheetml/2009/9/main" objectType="CheckBox" fmlaLink="NeoBerInfB!$J$20" lockText="1"/>
</file>

<file path=xl/ctrlProps/ctrlProp666.xml><?xml version="1.0" encoding="utf-8"?>
<formControlPr xmlns="http://schemas.microsoft.com/office/spreadsheetml/2009/9/main" objectType="CheckBox" fmlaLink="NeoBerInfB!$J$21" lockText="1"/>
</file>

<file path=xl/ctrlProps/ctrlProp667.xml><?xml version="1.0" encoding="utf-8"?>
<formControlPr xmlns="http://schemas.microsoft.com/office/spreadsheetml/2009/9/main" objectType="CheckBox" fmlaLink="NeoBerInfB!$J$22" lockText="1"/>
</file>

<file path=xl/ctrlProps/ctrlProp668.xml><?xml version="1.0" encoding="utf-8"?>
<formControlPr xmlns="http://schemas.microsoft.com/office/spreadsheetml/2009/9/main" objectType="CheckBox" fmlaLink="NeoBerInfB!$J$23" lockText="1"/>
</file>

<file path=xl/ctrlProps/ctrlProp669.xml><?xml version="1.0" encoding="utf-8"?>
<formControlPr xmlns="http://schemas.microsoft.com/office/spreadsheetml/2009/9/main" objectType="CheckBox" fmlaLink="NeoBerInfB!$J$24" lockText="1"/>
</file>

<file path=xl/ctrlProps/ctrlProp670.xml><?xml version="1.0" encoding="utf-8"?>
<formControlPr xmlns="http://schemas.microsoft.com/office/spreadsheetml/2009/9/main" objectType="CheckBox" fmlaLink="NeoBerInfB!$J$25" lockText="1"/>
</file>

<file path=xl/ctrlProps/ctrlProp671.xml><?xml version="1.0" encoding="utf-8"?>
<formControlPr xmlns="http://schemas.microsoft.com/office/spreadsheetml/2009/9/main" objectType="CheckBox" lockText="1"/>
</file>

<file path=xl/ctrlProps/ctrlProp672.xml><?xml version="1.0" encoding="utf-8"?>
<formControlPr xmlns="http://schemas.microsoft.com/office/spreadsheetml/2009/9/main" objectType="Drop" dropStyle="combo" dx="16" fmlaLink="NeoBerInfB!$B$27" fmlaRange="tbl_Neo_MedIV" sel="1" val="0"/>
</file>

<file path=xl/ctrlProps/ctrlProp673.xml><?xml version="1.0" encoding="utf-8"?>
<formControlPr xmlns="http://schemas.microsoft.com/office/spreadsheetml/2009/9/main" objectType="Spin" dx="15" fmlaLink="NeoBerInfB!$F$27" max="30000" page="10" val="0"/>
</file>

<file path=xl/ctrlProps/ctrlProp674.xml><?xml version="1.0" encoding="utf-8"?>
<formControlPr xmlns="http://schemas.microsoft.com/office/spreadsheetml/2009/9/main" objectType="Drop" dropStyle="combo" dx="16" fmlaLink="NeoBerInfB!$E$26" fmlaRange="tbl_Neo_Opl" sel="1" val="0"/>
</file>

<file path=xl/ctrlProps/ctrlProp675.xml><?xml version="1.0" encoding="utf-8"?>
<formControlPr xmlns="http://schemas.microsoft.com/office/spreadsheetml/2009/9/main" objectType="Spin" dx="15" fmlaLink="NeoBerInfB!$D$27" max="30000" page="10" val="0"/>
</file>

<file path=xl/ctrlProps/ctrlProp676.xml><?xml version="1.0" encoding="utf-8"?>
<formControlPr xmlns="http://schemas.microsoft.com/office/spreadsheetml/2009/9/main" objectType="Spin" dx="15" fmlaLink="NeoBerInfB!$C$27" inc="10" max="30000" page="10" val="0"/>
</file>

<file path=xl/ctrlProps/ctrlProp677.xml><?xml version="1.0" encoding="utf-8"?>
<formControlPr xmlns="http://schemas.microsoft.com/office/spreadsheetml/2009/9/main" objectType="CheckBox" fmlaLink="NeoBerInfB!$J$26" lockText="1"/>
</file>

<file path=xl/ctrlProps/ctrlProp678.xml><?xml version="1.0" encoding="utf-8"?>
<formControlPr xmlns="http://schemas.microsoft.com/office/spreadsheetml/2009/9/main" objectType="CheckBox" lockText="1"/>
</file>

<file path=xl/ctrlProps/ctrlProp679.xml><?xml version="1.0" encoding="utf-8"?>
<formControlPr xmlns="http://schemas.microsoft.com/office/spreadsheetml/2009/9/main" objectType="Spin" dx="15" fmlaLink="NeoBerInfB!$F$28" max="30000" page="10" val="0"/>
</file>

<file path=xl/ctrlProps/ctrlProp680.xml><?xml version="1.0" encoding="utf-8"?>
<formControlPr xmlns="http://schemas.microsoft.com/office/spreadsheetml/2009/9/main" objectType="Drop" dropStyle="combo" dx="16" fmlaLink="NeoBerInfB!$E$27" fmlaRange="tbl_Neo_Opl" sel="1" val="0"/>
</file>

<file path=xl/ctrlProps/ctrlProp681.xml><?xml version="1.0" encoding="utf-8"?>
<formControlPr xmlns="http://schemas.microsoft.com/office/spreadsheetml/2009/9/main" objectType="Drop" dropStyle="combo" dx="16" fmlaLink="NeoBerInfB!$E$28" fmlaRange="tbl_Neo_Opl" sel="1" val="0"/>
</file>

<file path=xl/ctrlProps/ctrlProp682.xml><?xml version="1.0" encoding="utf-8"?>
<formControlPr xmlns="http://schemas.microsoft.com/office/spreadsheetml/2009/9/main" objectType="CheckBox" fmlaLink="NeoBerInfB!$J$27" lockText="1"/>
</file>

<file path=xl/ctrlProps/ctrlProp683.xml><?xml version="1.0" encoding="utf-8"?>
<formControlPr xmlns="http://schemas.microsoft.com/office/spreadsheetml/2009/9/main" objectType="CheckBox" fmlaLink="NeoBerInfB!$J$28" lockText="1"/>
</file>

<file path=xl/ctrlProps/ctrlProp684.xml><?xml version="1.0" encoding="utf-8"?>
<formControlPr xmlns="http://schemas.microsoft.com/office/spreadsheetml/2009/9/main" objectType="Spin" dx="15" fmlaLink="NeoBerInfB!$D$35" max="30000" page="10" val="5000"/>
</file>

<file path=xl/ctrlProps/ctrlProp685.xml><?xml version="1.0" encoding="utf-8"?>
<formControlPr xmlns="http://schemas.microsoft.com/office/spreadsheetml/2009/9/main" objectType="Drop" dropStyle="combo" dx="16" fmlaLink="NeoBerInfB!$D$45" fmlaRange="NeoTblLijst!$A$4:$A$13" sel="2" val="0"/>
</file>

<file path=xl/ctrlProps/ctrlProp686.xml><?xml version="1.0" encoding="utf-8"?>
<formControlPr xmlns="http://schemas.microsoft.com/office/spreadsheetml/2009/9/main" objectType="Spin" dx="15" fmlaLink="NeoBerInfB!$D$4" max="43" min="24" page="10" val="24"/>
</file>

<file path=xl/ctrlProps/ctrlProp687.xml><?xml version="1.0" encoding="utf-8"?>
<formControlPr xmlns="http://schemas.microsoft.com/office/spreadsheetml/2009/9/main" objectType="Spin" dx="15" fmlaLink="NeoBerInfB!$D$5" max="6" page="10" val="0"/>
</file>

<file path=xl/ctrlProps/ctrlProp688.xml><?xml version="1.0" encoding="utf-8"?>
<formControlPr xmlns="http://schemas.microsoft.com/office/spreadsheetml/2009/9/main" objectType="Drop" dropStyle="combo" dx="16" fmlaLink="NeoBerInfB!$B$54" fmlaRange="tbl_Neo_NutrMMToev" sel="1" val="0"/>
</file>

<file path=xl/ctrlProps/ctrlProp689.xml><?xml version="1.0" encoding="utf-8"?>
<formControlPr xmlns="http://schemas.microsoft.com/office/spreadsheetml/2009/9/main" objectType="Drop" dropStyle="combo" dx="16" fmlaLink="NeoBerInfB!$B$55" fmlaRange="NeoTblLijst!#REF!" sel="0" val="0"/>
</file>

<file path=xl/ctrlProps/ctrlProp690.xml><?xml version="1.0" encoding="utf-8"?>
<formControlPr xmlns="http://schemas.microsoft.com/office/spreadsheetml/2009/9/main" objectType="Drop" dropStyle="combo" dx="16" fmlaLink="NeoBerInfB!$D$14" fmlaRange="tbl_Neo_Pos" sel="3" val="0"/>
</file>

<file path=xl/ctrlProps/ctrlProp691.xml><?xml version="1.0" encoding="utf-8"?>
<formControlPr xmlns="http://schemas.microsoft.com/office/spreadsheetml/2009/9/main" objectType="Spin" dx="15" fmlaLink="NeoBerInfB!$D$12" max="24" page="10" val="2"/>
</file>

<file path=xl/ctrlProps/ctrlProp692.xml><?xml version="1.0" encoding="utf-8"?>
<formControlPr xmlns="http://schemas.microsoft.com/office/spreadsheetml/2009/9/main" objectType="Spin" dx="15" fmlaLink="NeoBerInfB!$D$13" inc="5" max="30000" page="10" val="20"/>
</file>

<file path=xl/ctrlProps/ctrlProp693.xml><?xml version="1.0" encoding="utf-8"?>
<formControlPr xmlns="http://schemas.microsoft.com/office/spreadsheetml/2009/9/main" objectType="Drop" dropStyle="combo" dx="16" fmlaLink="NeoBerInfB!$B$55" fmlaRange="tbl_Neo_NutrMMToev" sel="1" val="0"/>
</file>

<file path=xl/ctrlProps/ctrlProp694.xml><?xml version="1.0" encoding="utf-8"?>
<formControlPr xmlns="http://schemas.microsoft.com/office/spreadsheetml/2009/9/main" objectType="Drop" dropStyle="combo" dx="16" fmlaLink="NeoBerInfB!$B$56" fmlaRange="tbl_Neo_NutrMMToev" sel="1" val="0"/>
</file>

<file path=xl/ctrlProps/ctrlProp695.xml><?xml version="1.0" encoding="utf-8"?>
<formControlPr xmlns="http://schemas.microsoft.com/office/spreadsheetml/2009/9/main" objectType="Drop" dropStyle="combo" dx="16" fmlaLink="NeoBerInfB!$B$28" fmlaRange="tbl_Neo_MedIV" sel="1" val="17"/>
</file>

<file path=xl/ctrlProps/ctrlProp696.xml><?xml version="1.0" encoding="utf-8"?>
<formControlPr xmlns="http://schemas.microsoft.com/office/spreadsheetml/2009/9/main" objectType="Spin" dx="15" fmlaLink="NeoBerInfB!$D$28" max="30000" page="10" val="0"/>
</file>

<file path=xl/ctrlProps/ctrlProp697.xml><?xml version="1.0" encoding="utf-8"?>
<formControlPr xmlns="http://schemas.microsoft.com/office/spreadsheetml/2009/9/main" objectType="Spin" dx="15" fmlaLink="NeoBerInfB!$C$28" inc="10" max="30000" page="10" val="0"/>
</file>

<file path=xl/ctrlProps/ctrlProp698.xml><?xml version="1.0" encoding="utf-8"?>
<formControlPr xmlns="http://schemas.microsoft.com/office/spreadsheetml/2009/9/main" objectType="Drop" dropStyle="combo" dx="16" fmlaLink="NeoBerInfB!$E$28" fmlaRange="tbl_Neo_Opl" sel="1" val="0"/>
</file>

<file path=xl/ctrlProps/ctrlProp699.xml><?xml version="1.0" encoding="utf-8"?>
<formControlPr xmlns="http://schemas.microsoft.com/office/spreadsheetml/2009/9/main" objectType="Drop" dropStyle="combo" dx="16" fmlaLink="NeoBerInfB!$E$29" fmlaRange="tbl_Neo_Opl" sel="0" val="0"/>
</file>

<file path=xl/ctrlProps/ctrlProp700.xml><?xml version="1.0" encoding="utf-8"?>
<formControlPr xmlns="http://schemas.microsoft.com/office/spreadsheetml/2009/9/main" objectType="Spin" dx="15" fmlaLink="NeoBerInfB!$F$29" max="30000" page="10" val="0"/>
</file>

<file path=xl/ctrlProps/ctrlProp701.xml><?xml version="1.0" encoding="utf-8"?>
<formControlPr xmlns="http://schemas.microsoft.com/office/spreadsheetml/2009/9/main" objectType="CheckBox" fmlaLink="NeoBerInfB!$J$29" lockText="1"/>
</file>

<file path=xl/ctrlProps/ctrlProp702.xml><?xml version="1.0" encoding="utf-8"?>
<formControlPr xmlns="http://schemas.microsoft.com/office/spreadsheetml/2009/9/main" objectType="Drop" dropStyle="combo" dx="16" fmlaLink="NeoBerInfB!$E$30" fmlaRange="tbl_Neo_Opl" sel="0" val="0"/>
</file>

<file path=xl/ctrlProps/ctrlProp703.xml><?xml version="1.0" encoding="utf-8"?>
<formControlPr xmlns="http://schemas.microsoft.com/office/spreadsheetml/2009/9/main" objectType="Spin" dx="15" fmlaLink="NeoBerInfB!$F$30" max="30000" page="10" val="0"/>
</file>

<file path=xl/ctrlProps/ctrlProp704.xml><?xml version="1.0" encoding="utf-8"?>
<formControlPr xmlns="http://schemas.microsoft.com/office/spreadsheetml/2009/9/main" objectType="CheckBox" fmlaLink="NeoBerInfB!$J$30" lockText="1"/>
</file>

<file path=xl/ctrlProps/ctrlProp705.xml><?xml version="1.0" encoding="utf-8"?>
<formControlPr xmlns="http://schemas.microsoft.com/office/spreadsheetml/2009/9/main" objectType="CheckBox" fmlaLink="NeoBerInfB!$J$30" lockText="1"/>
</file>

<file path=xl/ctrlProps/ctrlProp706.xml><?xml version="1.0" encoding="utf-8"?>
<formControlPr xmlns="http://schemas.microsoft.com/office/spreadsheetml/2009/9/main" objectType="Drop" dropStyle="combo" dx="16" fmlaLink="NeoBerInfB!$E$31" fmlaRange="tbl_Neo_Opl" sel="0" val="0"/>
</file>

<file path=xl/ctrlProps/ctrlProp707.xml><?xml version="1.0" encoding="utf-8"?>
<formControlPr xmlns="http://schemas.microsoft.com/office/spreadsheetml/2009/9/main" objectType="Spin" dx="15" fmlaLink="NeoBerInfB!$F$31" max="30000" page="10" val="0"/>
</file>

<file path=xl/ctrlProps/ctrlProp708.xml><?xml version="1.0" encoding="utf-8"?>
<formControlPr xmlns="http://schemas.microsoft.com/office/spreadsheetml/2009/9/main" objectType="CheckBox" fmlaLink="NeoBerInfB!$J$31" lockText="1"/>
</file>

<file path=xl/ctrlProps/ctrlProp709.xml><?xml version="1.0" encoding="utf-8"?>
<formControlPr xmlns="http://schemas.microsoft.com/office/spreadsheetml/2009/9/main" objectType="Drop" dropStyle="combo" dx="16" fmlaLink="NeoBerInfB!$B$59" fmlaRange="tbl_Neo_NutrKunstToev" sel="1" val="0"/>
</file>

<file path=xl/ctrlProps/ctrlProp710.xml><?xml version="1.0" encoding="utf-8"?>
<formControlPr xmlns="http://schemas.microsoft.com/office/spreadsheetml/2009/9/main" objectType="Drop" dropStyle="combo" dx="16" fmlaLink="NeoBerInfB!$B$55" fmlaRange="NeoTblLijst!#REF!" sel="0" val="0"/>
</file>

<file path=xl/ctrlProps/ctrlProp711.xml><?xml version="1.0" encoding="utf-8"?>
<formControlPr xmlns="http://schemas.microsoft.com/office/spreadsheetml/2009/9/main" objectType="Drop" dropStyle="combo" dx="16" fmlaLink="NeoBerInfB!$B$60" fmlaRange="tbl_Neo_NutrKunstToev" sel="1" val="0"/>
</file>

<file path=xl/ctrlProps/ctrlProp712.xml><?xml version="1.0" encoding="utf-8"?>
<formControlPr xmlns="http://schemas.microsoft.com/office/spreadsheetml/2009/9/main" objectType="Drop" dropStyle="combo" dx="16" fmlaLink="NeoBerInfB!$B$61" fmlaRange="tbl_Neo_NutrKunstToev" sel="1" val="0"/>
</file>

<file path=xl/ctrlProps/ctrlProp713.xml><?xml version="1.0" encoding="utf-8"?>
<formControlPr xmlns="http://schemas.microsoft.com/office/spreadsheetml/2009/9/main" objectType="Drop" dropStyle="combo" dx="16" fmlaLink="NeoBerInfB!$K$58" fmlaRange="tbl_Neo_NutrToevWaard" sel="0" val="0"/>
</file>

<file path=xl/ctrlProps/ctrlProp714.xml><?xml version="1.0" encoding="utf-8"?>
<formControlPr xmlns="http://schemas.microsoft.com/office/spreadsheetml/2009/9/main" objectType="Drop" dropStyle="combo" dx="16" fmlaLink="NeoBerInfB!$J$59" fmlaRange="tbl_Neo_NutrToevWaard" sel="1" val="0"/>
</file>

<file path=xl/ctrlProps/ctrlProp715.xml><?xml version="1.0" encoding="utf-8"?>
<formControlPr xmlns="http://schemas.microsoft.com/office/spreadsheetml/2009/9/main" objectType="Drop" dropStyle="combo" dx="16" fmlaLink="NeoBerInfB!$J$60" fmlaRange="tbl_Neo_NutrToevWaard" sel="1" val="0"/>
</file>

<file path=xl/ctrlProps/ctrlProp716.xml><?xml version="1.0" encoding="utf-8"?>
<formControlPr xmlns="http://schemas.microsoft.com/office/spreadsheetml/2009/9/main" objectType="Drop" dropStyle="combo" dx="16" fmlaLink="NeoBerInfB!$J$61" fmlaRange="tbl_Neo_NutrToevWaard" sel="1" val="0"/>
</file>

<file path=xl/ctrlProps/ctrlProp717.xml><?xml version="1.0" encoding="utf-8"?>
<formControlPr xmlns="http://schemas.microsoft.com/office/spreadsheetml/2009/9/main" objectType="Drop" dropStyle="combo" dx="16" fmlaLink="NeoBerInfB!$B$53" fmlaRange="tbl_Neo_NutrMMToev" sel="1" val="0"/>
</file>

<file path=xl/ctrlProps/ctrlProp718.xml><?xml version="1.0" encoding="utf-8"?>
<formControlPr xmlns="http://schemas.microsoft.com/office/spreadsheetml/2009/9/main" objectType="Drop" dropStyle="combo" dx="16" fmlaLink="NeoBerInfB!$B$58" fmlaRange="tbl_Neo_NutrKunstToev" sel="1" val="0"/>
</file>

<file path=xl/ctrlProps/ctrlProp719.xml><?xml version="1.0" encoding="utf-8"?>
<formControlPr xmlns="http://schemas.microsoft.com/office/spreadsheetml/2009/9/main" objectType="Drop" dropStyle="combo" dx="16" fmlaLink="NeoBerInfB!$J$58" fmlaRange="tbl_Neo_NutrToevWaard" sel="1" val="0"/>
</file>

<file path=xl/ctrlProps/ctrlProp720.xml><?xml version="1.0" encoding="utf-8"?>
<formControlPr xmlns="http://schemas.microsoft.com/office/spreadsheetml/2009/9/main" objectType="Drop" dropStyle="combo" dx="16" fmlaLink="NeoBerInfB!$J$52" fmlaRange="tbl_Neo_NutrBMFWaard" sel="1" val="0"/>
</file>

<file path=xl/ctrlProps/ctrlProp721.xml><?xml version="1.0" encoding="utf-8"?>
<formControlPr xmlns="http://schemas.microsoft.com/office/spreadsheetml/2009/9/main" objectType="Drop" dropStyle="combo" dx="16" fmlaLink="NeoBerInfB!$J$54" fmlaRange="tbl_Neo_NutrToevWaard" sel="1" val="0"/>
</file>

<file path=xl/ctrlProps/ctrlProp722.xml><?xml version="1.0" encoding="utf-8"?>
<formControlPr xmlns="http://schemas.microsoft.com/office/spreadsheetml/2009/9/main" objectType="Drop" dropStyle="combo" dx="16" fmlaLink="NeoBerInfB!$J$55" fmlaRange="tbl_Neo_NutrToevWaard" sel="1" val="0"/>
</file>

<file path=xl/ctrlProps/ctrlProp723.xml><?xml version="1.0" encoding="utf-8"?>
<formControlPr xmlns="http://schemas.microsoft.com/office/spreadsheetml/2009/9/main" objectType="Drop" dropStyle="combo" dx="16" fmlaLink="NeoBerInfB!$J$56" fmlaRange="tbl_Neo_NutrToevWaard" sel="1" val="0"/>
</file>

<file path=xl/ctrlProps/ctrlProp724.xml><?xml version="1.0" encoding="utf-8"?>
<formControlPr xmlns="http://schemas.microsoft.com/office/spreadsheetml/2009/9/main" objectType="Drop" dropStyle="combo" dx="16" fmlaLink="NeoBerInfB!$J$53" fmlaRange="tbl_Neo_NutrToevWaard" sel="1" val="0"/>
</file>

<file path=xl/ctrlProps/ctrlProp725.xml><?xml version="1.0" encoding="utf-8"?>
<formControlPr xmlns="http://schemas.microsoft.com/office/spreadsheetml/2009/9/main" objectType="CheckBox" fmlaLink="NeoBerInfB!$B$17" lockText="1" noThreeD="1"/>
</file>

<file path=xl/ctrlProps/ctrlProp726.xml><?xml version="1.0" encoding="utf-8"?>
<formControlPr xmlns="http://schemas.microsoft.com/office/spreadsheetml/2009/9/main" objectType="Spin" dx="15" fmlaLink="NeoBerInfB!$F$21" max="30000" page="10" val="0"/>
</file>

<file path=xl/ctrlProps/ctrlProp727.xml><?xml version="1.0" encoding="utf-8"?>
<formControlPr xmlns="http://schemas.microsoft.com/office/spreadsheetml/2009/9/main" objectType="Spin" dx="15" fmlaLink="NeoBerInfB!$F$22" max="30000" page="10" val="0"/>
</file>

<file path=xl/ctrlProps/ctrlProp728.xml><?xml version="1.0" encoding="utf-8"?>
<formControlPr xmlns="http://schemas.microsoft.com/office/spreadsheetml/2009/9/main" objectType="Spin" dx="15" fmlaLink="NeoBerInfB!$F$23" max="30000" page="10" val="0"/>
</file>

<file path=xl/ctrlProps/ctrlProp729.xml><?xml version="1.0" encoding="utf-8"?>
<formControlPr xmlns="http://schemas.microsoft.com/office/spreadsheetml/2009/9/main" objectType="Spin" dx="15" fmlaLink="NeoBerInfB!$F$24" max="30000" page="10" val="0"/>
</file>

<file path=xl/ctrlProps/ctrlProp730.xml><?xml version="1.0" encoding="utf-8"?>
<formControlPr xmlns="http://schemas.microsoft.com/office/spreadsheetml/2009/9/main" objectType="Spin" dx="15" fmlaLink="NeoBerInfB!$F$25" max="30000" page="10" val="0"/>
</file>

<file path=xl/ctrlProps/ctrlProp731.xml><?xml version="1.0" encoding="utf-8"?>
<formControlPr xmlns="http://schemas.microsoft.com/office/spreadsheetml/2009/9/main" objectType="Spin" dx="15" fmlaLink="NeoBerInfB!$F$26" max="30000" page="10" val="0"/>
</file>

<file path=xl/ctrlProps/ctrlProp732.xml><?xml version="1.0" encoding="utf-8"?>
<formControlPr xmlns="http://schemas.microsoft.com/office/spreadsheetml/2009/9/main" objectType="Spin" dx="15" fmlaLink="NeoBerInfB!$F$27" max="30000" page="10" val="0"/>
</file>

<file path=xl/ctrlProps/ctrlProp733.xml><?xml version="1.0" encoding="utf-8"?>
<formControlPr xmlns="http://schemas.microsoft.com/office/spreadsheetml/2009/9/main" objectType="Spin" dx="15" fmlaLink="NeoBerInfB!$F$28" max="30000" page="10" val="0"/>
</file>

<file path=xl/ctrlProps/ctrlProp734.xml><?xml version="1.0" encoding="utf-8"?>
<formControlPr xmlns="http://schemas.microsoft.com/office/spreadsheetml/2009/9/main" objectType="Drop" dropStyle="combo" dx="16" fmlaLink="NeoBerInfB!$F$35" fmlaRange="tbl_Neo_IntralipidSmof" sel="1" val="0"/>
</file>

<file path=xl/ctrlProps/ctrlProp735.xml><?xml version="1.0" encoding="utf-8"?>
<formControlPr xmlns="http://schemas.microsoft.com/office/spreadsheetml/2009/9/main" objectType="Spin" dx="15" fmlaLink="PatDetails!$B$7" max="200" min="25" page="10" val="25"/>
</file>

<file path=xl/ctrlProps/ctrlProp736.xml><?xml version="1.0" encoding="utf-8"?>
<formControlPr xmlns="http://schemas.microsoft.com/office/spreadsheetml/2009/9/main" objectType="CheckBox" fmlaLink="NeoBerAfspr!$F$7" lockText="1"/>
</file>

<file path=xl/ctrlProps/ctrlProp737.xml><?xml version="1.0" encoding="utf-8"?>
<formControlPr xmlns="http://schemas.microsoft.com/office/spreadsheetml/2009/9/main" objectType="CheckBox" fmlaLink="NeoBerAfspr!$F$8" lockText="1"/>
</file>

<file path=xl/ctrlProps/ctrlProp738.xml><?xml version="1.0" encoding="utf-8"?>
<formControlPr xmlns="http://schemas.microsoft.com/office/spreadsheetml/2009/9/main" objectType="CheckBox" fmlaLink="NeoBerAfspr!$F$13" lockText="1"/>
</file>

<file path=xl/ctrlProps/ctrlProp739.xml><?xml version="1.0" encoding="utf-8"?>
<formControlPr xmlns="http://schemas.microsoft.com/office/spreadsheetml/2009/9/main" objectType="CheckBox" fmlaLink="NeoBerAfspr!$F$14" lockText="1"/>
</file>

<file path=xl/ctrlProps/ctrlProp740.xml><?xml version="1.0" encoding="utf-8"?>
<formControlPr xmlns="http://schemas.microsoft.com/office/spreadsheetml/2009/9/main" objectType="CheckBox" fmlaLink="NeoBerAfspr!$F$15" lockText="1"/>
</file>

<file path=xl/ctrlProps/ctrlProp741.xml><?xml version="1.0" encoding="utf-8"?>
<formControlPr xmlns="http://schemas.microsoft.com/office/spreadsheetml/2009/9/main" objectType="CheckBox" fmlaLink="NeoBerAfspr!$F$17" lockText="1"/>
</file>

<file path=xl/ctrlProps/ctrlProp742.xml><?xml version="1.0" encoding="utf-8"?>
<formControlPr xmlns="http://schemas.microsoft.com/office/spreadsheetml/2009/9/main" objectType="CheckBox" fmlaLink="NeoBerAfspr!$F$18" lockText="1"/>
</file>

<file path=xl/ctrlProps/ctrlProp743.xml><?xml version="1.0" encoding="utf-8"?>
<formControlPr xmlns="http://schemas.microsoft.com/office/spreadsheetml/2009/9/main" objectType="CheckBox" fmlaLink="NeoBerAfspr!$F$21" lockText="1"/>
</file>

<file path=xl/ctrlProps/ctrlProp744.xml><?xml version="1.0" encoding="utf-8"?>
<formControlPr xmlns="http://schemas.microsoft.com/office/spreadsheetml/2009/9/main" objectType="CheckBox" fmlaLink="NeoBerAfspr!$F$22" lockText="1"/>
</file>

<file path=xl/ctrlProps/ctrlProp745.xml><?xml version="1.0" encoding="utf-8"?>
<formControlPr xmlns="http://schemas.microsoft.com/office/spreadsheetml/2009/9/main" objectType="CheckBox" fmlaLink="NeoBerAfspr!$H$9" lockText="1"/>
</file>

<file path=xl/ctrlProps/ctrlProp746.xml><?xml version="1.0" encoding="utf-8"?>
<formControlPr xmlns="http://schemas.microsoft.com/office/spreadsheetml/2009/9/main" objectType="CheckBox" fmlaLink="NeoBerAfspr!$H$10" lockText="1"/>
</file>

<file path=xl/ctrlProps/ctrlProp747.xml><?xml version="1.0" encoding="utf-8"?>
<formControlPr xmlns="http://schemas.microsoft.com/office/spreadsheetml/2009/9/main" objectType="CheckBox" fmlaLink="NeoBerAfspr!$H$11" lockText="1"/>
</file>

<file path=xl/ctrlProps/ctrlProp748.xml><?xml version="1.0" encoding="utf-8"?>
<formControlPr xmlns="http://schemas.microsoft.com/office/spreadsheetml/2009/9/main" objectType="CheckBox" fmlaLink="NeoBerAfspr!$H$8" lockText="1"/>
</file>

<file path=xl/ctrlProps/ctrlProp749.xml><?xml version="1.0" encoding="utf-8"?>
<formControlPr xmlns="http://schemas.microsoft.com/office/spreadsheetml/2009/9/main" objectType="CheckBox" fmlaLink="NeoBerAfspr!$F$12" lockText="1"/>
</file>

<file path=xl/ctrlProps/ctrlProp750.xml><?xml version="1.0" encoding="utf-8"?>
<formControlPr xmlns="http://schemas.microsoft.com/office/spreadsheetml/2009/9/main" objectType="CheckBox" fmlaLink="NeoBerAfspr!$H$13" lockText="1"/>
</file>

<file path=xl/ctrlProps/ctrlProp751.xml><?xml version="1.0" encoding="utf-8"?>
<formControlPr xmlns="http://schemas.microsoft.com/office/spreadsheetml/2009/9/main" objectType="CheckBox" fmlaLink="NeoBerAfspr!$H$15" lockText="1"/>
</file>

<file path=xl/ctrlProps/ctrlProp752.xml><?xml version="1.0" encoding="utf-8"?>
<formControlPr xmlns="http://schemas.microsoft.com/office/spreadsheetml/2009/9/main" objectType="CheckBox" fmlaLink="NeoBerAfspr!$H$16" lockText="1"/>
</file>

<file path=xl/ctrlProps/ctrlProp753.xml><?xml version="1.0" encoding="utf-8"?>
<formControlPr xmlns="http://schemas.microsoft.com/office/spreadsheetml/2009/9/main" objectType="CheckBox" fmlaLink="NeoBerAfspr!$H$18" lockText="1"/>
</file>

<file path=xl/ctrlProps/ctrlProp754.xml><?xml version="1.0" encoding="utf-8"?>
<formControlPr xmlns="http://schemas.microsoft.com/office/spreadsheetml/2009/9/main" objectType="CheckBox" fmlaLink="NeoBerAfspr!$H$20" lockText="1"/>
</file>

<file path=xl/ctrlProps/ctrlProp755.xml><?xml version="1.0" encoding="utf-8"?>
<formControlPr xmlns="http://schemas.microsoft.com/office/spreadsheetml/2009/9/main" objectType="CheckBox" fmlaLink="NeoBerAfspr!$H$19" lockText="1"/>
</file>

<file path=xl/ctrlProps/ctrlProp756.xml><?xml version="1.0" encoding="utf-8"?>
<formControlPr xmlns="http://schemas.microsoft.com/office/spreadsheetml/2009/9/main" objectType="CheckBox" fmlaLink="NeoBerAfspr!$H$22" lockText="1"/>
</file>

<file path=xl/ctrlProps/ctrlProp757.xml><?xml version="1.0" encoding="utf-8"?>
<formControlPr xmlns="http://schemas.microsoft.com/office/spreadsheetml/2009/9/main" objectType="CheckBox" fmlaLink="NeoBerAfspr!$F$23" lockText="1"/>
</file>

<file path=xl/ctrlProps/ctrlProp758.xml><?xml version="1.0" encoding="utf-8"?>
<formControlPr xmlns="http://schemas.microsoft.com/office/spreadsheetml/2009/9/main" objectType="CheckBox" fmlaLink="NeoBerAfspr!$H$23" lockText="1"/>
</file>

<file path=xl/ctrlProps/ctrlProp759.xml><?xml version="1.0" encoding="utf-8"?>
<formControlPr xmlns="http://schemas.microsoft.com/office/spreadsheetml/2009/9/main" objectType="CheckBox" fmlaLink="NeoBerAfspr!$H$24" lockText="1"/>
</file>

<file path=xl/ctrlProps/ctrlProp760.xml><?xml version="1.0" encoding="utf-8"?>
<formControlPr xmlns="http://schemas.microsoft.com/office/spreadsheetml/2009/9/main" objectType="CheckBox" fmlaLink="NeoBerAfspr!$H$25" lockText="1"/>
</file>

<file path=xl/ctrlProps/ctrlProp761.xml><?xml version="1.0" encoding="utf-8"?>
<formControlPr xmlns="http://schemas.microsoft.com/office/spreadsheetml/2009/9/main" objectType="CheckBox" fmlaLink="NeoBerAfspr!$H$26" lockText="1"/>
</file>

<file path=xl/ctrlProps/ctrlProp762.xml><?xml version="1.0" encoding="utf-8"?>
<formControlPr xmlns="http://schemas.microsoft.com/office/spreadsheetml/2009/9/main" objectType="CheckBox" fmlaLink="NeoBerAfspr!$H$27" lockText="1"/>
</file>

<file path=xl/ctrlProps/ctrlProp763.xml><?xml version="1.0" encoding="utf-8"?>
<formControlPr xmlns="http://schemas.microsoft.com/office/spreadsheetml/2009/9/main" objectType="CheckBox" fmlaLink="NeoBerAfspr!$H$28" lockText="1"/>
</file>

<file path=xl/ctrlProps/ctrlProp764.xml><?xml version="1.0" encoding="utf-8"?>
<formControlPr xmlns="http://schemas.microsoft.com/office/spreadsheetml/2009/9/main" objectType="CheckBox" fmlaLink="NeoBerAfspr!$H$29" lockText="1"/>
</file>

<file path=xl/ctrlProps/ctrlProp765.xml><?xml version="1.0" encoding="utf-8"?>
<formControlPr xmlns="http://schemas.microsoft.com/office/spreadsheetml/2009/9/main" objectType="CheckBox" fmlaLink="NeoBerAfspr!$H$30" lockText="1"/>
</file>

<file path=xl/ctrlProps/ctrlProp766.xml><?xml version="1.0" encoding="utf-8"?>
<formControlPr xmlns="http://schemas.microsoft.com/office/spreadsheetml/2009/9/main" objectType="CheckBox" fmlaLink="NeoBerAfspr!$F$31" lockText="1"/>
</file>

<file path=xl/ctrlProps/ctrlProp767.xml><?xml version="1.0" encoding="utf-8"?>
<formControlPr xmlns="http://schemas.microsoft.com/office/spreadsheetml/2009/9/main" objectType="CheckBox" fmlaLink="NeoBerAfspr!$J$7" lockText="1"/>
</file>

<file path=xl/ctrlProps/ctrlProp768.xml><?xml version="1.0" encoding="utf-8"?>
<formControlPr xmlns="http://schemas.microsoft.com/office/spreadsheetml/2009/9/main" objectType="CheckBox" fmlaLink="NeoBerAfspr!$J$8" lockText="1"/>
</file>

<file path=xl/ctrlProps/ctrlProp769.xml><?xml version="1.0" encoding="utf-8"?>
<formControlPr xmlns="http://schemas.microsoft.com/office/spreadsheetml/2009/9/main" objectType="CheckBox" fmlaLink="NeoBerAfspr!$J$9" lockText="1"/>
</file>

<file path=xl/ctrlProps/ctrlProp770.xml><?xml version="1.0" encoding="utf-8"?>
<formControlPr xmlns="http://schemas.microsoft.com/office/spreadsheetml/2009/9/main" objectType="CheckBox" fmlaLink="NeoBerAfspr!$J$10" lockText="1"/>
</file>

<file path=xl/ctrlProps/ctrlProp771.xml><?xml version="1.0" encoding="utf-8"?>
<formControlPr xmlns="http://schemas.microsoft.com/office/spreadsheetml/2009/9/main" objectType="CheckBox" fmlaLink="NeoBerAfspr!$J$12" lockText="1"/>
</file>

<file path=xl/ctrlProps/ctrlProp772.xml><?xml version="1.0" encoding="utf-8"?>
<formControlPr xmlns="http://schemas.microsoft.com/office/spreadsheetml/2009/9/main" objectType="CheckBox" fmlaLink="NeoBerAfspr!$J$13" lockText="1"/>
</file>

<file path=xl/ctrlProps/ctrlProp773.xml><?xml version="1.0" encoding="utf-8"?>
<formControlPr xmlns="http://schemas.microsoft.com/office/spreadsheetml/2009/9/main" objectType="CheckBox" fmlaLink="NeoBerAfspr!$J$14" lockText="1"/>
</file>

<file path=xl/ctrlProps/ctrlProp774.xml><?xml version="1.0" encoding="utf-8"?>
<formControlPr xmlns="http://schemas.microsoft.com/office/spreadsheetml/2009/9/main" objectType="CheckBox" fmlaLink="NeoBerAfspr!$J$15" lockText="1"/>
</file>

<file path=xl/ctrlProps/ctrlProp775.xml><?xml version="1.0" encoding="utf-8"?>
<formControlPr xmlns="http://schemas.microsoft.com/office/spreadsheetml/2009/9/main" objectType="CheckBox" fmlaLink="NeoBerAfspr!$J$16" lockText="1"/>
</file>

<file path=xl/ctrlProps/ctrlProp776.xml><?xml version="1.0" encoding="utf-8"?>
<formControlPr xmlns="http://schemas.microsoft.com/office/spreadsheetml/2009/9/main" objectType="CheckBox" fmlaLink="NeoBerAfspr!$J$19" lockText="1"/>
</file>

<file path=xl/ctrlProps/ctrlProp777.xml><?xml version="1.0" encoding="utf-8"?>
<formControlPr xmlns="http://schemas.microsoft.com/office/spreadsheetml/2009/9/main" objectType="CheckBox" fmlaLink="NeoBerAfspr!$J$17" lockText="1"/>
</file>

<file path=xl/ctrlProps/ctrlProp778.xml><?xml version="1.0" encoding="utf-8"?>
<formControlPr xmlns="http://schemas.microsoft.com/office/spreadsheetml/2009/9/main" objectType="CheckBox" fmlaLink="NeoBerAfspr!$J$24" lockText="1"/>
</file>

<file path=xl/ctrlProps/ctrlProp779.xml><?xml version="1.0" encoding="utf-8"?>
<formControlPr xmlns="http://schemas.microsoft.com/office/spreadsheetml/2009/9/main" objectType="CheckBox" fmlaLink="NeoBerAfspr!$L$24" lockText="1"/>
</file>

<file path=xl/ctrlProps/ctrlProp780.xml><?xml version="1.0" encoding="utf-8"?>
<formControlPr xmlns="http://schemas.microsoft.com/office/spreadsheetml/2009/9/main" objectType="CheckBox" fmlaLink="NeoBerAfspr!$L$25" lockText="1"/>
</file>

<file path=xl/ctrlProps/ctrlProp781.xml><?xml version="1.0" encoding="utf-8"?>
<formControlPr xmlns="http://schemas.microsoft.com/office/spreadsheetml/2009/9/main" objectType="CheckBox" fmlaLink="NeoBerAfspr!$L$26" lockText="1"/>
</file>

<file path=xl/ctrlProps/ctrlProp782.xml><?xml version="1.0" encoding="utf-8"?>
<formControlPr xmlns="http://schemas.microsoft.com/office/spreadsheetml/2009/9/main" objectType="CheckBox" fmlaLink="NeoBerAfspr!$L$27" lockText="1"/>
</file>

<file path=xl/ctrlProps/ctrlProp783.xml><?xml version="1.0" encoding="utf-8"?>
<formControlPr xmlns="http://schemas.microsoft.com/office/spreadsheetml/2009/9/main" objectType="CheckBox" fmlaLink="NeoBerAfspr!$J$20" lockText="1"/>
</file>

<file path=xl/ctrlProps/ctrlProp784.xml><?xml version="1.0" encoding="utf-8"?>
<formControlPr xmlns="http://schemas.microsoft.com/office/spreadsheetml/2009/9/main" objectType="CheckBox" fmlaLink="NeoBerAfspr!$L$21" lockText="1"/>
</file>

<file path=xl/ctrlProps/ctrlProp785.xml><?xml version="1.0" encoding="utf-8"?>
<formControlPr xmlns="http://schemas.microsoft.com/office/spreadsheetml/2009/9/main" objectType="CheckBox" fmlaLink="NeoBerAfspr!$L$22" lockText="1"/>
</file>

<file path=xl/ctrlProps/ctrlProp786.xml><?xml version="1.0" encoding="utf-8"?>
<formControlPr xmlns="http://schemas.microsoft.com/office/spreadsheetml/2009/9/main" objectType="CheckBox" fmlaLink="NeoBerAfspr!$L$23" lockText="1"/>
</file>

<file path=xl/ctrlProps/ctrlProp787.xml><?xml version="1.0" encoding="utf-8"?>
<formControlPr xmlns="http://schemas.microsoft.com/office/spreadsheetml/2009/9/main" objectType="Spin" dx="15" fmlaLink="NeoBerAfspr!$B$12" max="24" page="10" val="0"/>
</file>

<file path=xl/ctrlProps/ctrlProp788.xml><?xml version="1.0" encoding="utf-8"?>
<formControlPr xmlns="http://schemas.microsoft.com/office/spreadsheetml/2009/9/main" objectType="Spin" dx="15" fmlaLink="NeoBerAfspr!$K$17" max="24" page="10" val="0"/>
</file>

<file path=xl/ctrlProps/ctrlProp789.xml><?xml version="1.0" encoding="utf-8"?>
<formControlPr xmlns="http://schemas.microsoft.com/office/spreadsheetml/2009/9/main" objectType="Spin" dx="15" fmlaLink="NeoBerAfspr!$L$17" max="1000" page="10" val="0"/>
</file>

<file path=xl/ctrlProps/ctrlProp790.xml><?xml version="1.0" encoding="utf-8"?>
<formControlPr xmlns="http://schemas.microsoft.com/office/spreadsheetml/2009/9/main" objectType="CheckBox" fmlaLink="NeoBerAfspr!$B$27" lockText="1"/>
</file>

<file path=xl/ctrlProps/ctrlProp791.xml><?xml version="1.0" encoding="utf-8"?>
<formControlPr xmlns="http://schemas.microsoft.com/office/spreadsheetml/2009/9/main" objectType="CheckBox" fmlaLink="NeoBerAfspr!$B$28" lockText="1"/>
</file>

<file path=xl/ctrlProps/ctrlProp792.xml><?xml version="1.0" encoding="utf-8"?>
<formControlPr xmlns="http://schemas.microsoft.com/office/spreadsheetml/2009/9/main" objectType="CheckBox" fmlaLink="NeoBerAfspr!$B$29" lockText="1"/>
</file>

<file path=xl/ctrlProps/ctrlProp793.xml><?xml version="1.0" encoding="utf-8"?>
<formControlPr xmlns="http://schemas.microsoft.com/office/spreadsheetml/2009/9/main" objectType="CheckBox" fmlaLink="NeoBerAfspr!$B$30" lockText="1"/>
</file>

<file path=xl/ctrlProps/ctrlProp794.xml><?xml version="1.0" encoding="utf-8"?>
<formControlPr xmlns="http://schemas.microsoft.com/office/spreadsheetml/2009/9/main" objectType="CheckBox" fmlaLink="NeoBerAfspr!$B$34" lockText="1"/>
</file>

<file path=xl/ctrlProps/ctrlProp795.xml><?xml version="1.0" encoding="utf-8"?>
<formControlPr xmlns="http://schemas.microsoft.com/office/spreadsheetml/2009/9/main" objectType="CheckBox" checked="Checked" fmlaLink="NeoBerAfspr!$D$35" lockText="1"/>
</file>

<file path=xl/ctrlProps/ctrlProp796.xml><?xml version="1.0" encoding="utf-8"?>
<formControlPr xmlns="http://schemas.microsoft.com/office/spreadsheetml/2009/9/main" objectType="CheckBox" checked="Checked" fmlaLink="NeoBerAfspr!$D$36" lockText="1"/>
</file>

<file path=xl/ctrlProps/ctrlProp797.xml><?xml version="1.0" encoding="utf-8"?>
<formControlPr xmlns="http://schemas.microsoft.com/office/spreadsheetml/2009/9/main" objectType="Drop" dropStyle="combo" dx="16" fmlaLink="NeoBerAfspr!$D$34" fmlaRange="tbl_Ped_DrainLokatie" noThreeD="1" sel="1" val="0"/>
</file>

<file path=xl/ctrlProps/ctrlProp798.xml><?xml version="1.0" encoding="utf-8"?>
<formControlPr xmlns="http://schemas.microsoft.com/office/spreadsheetml/2009/9/main" objectType="CheckBox" fmlaLink="NeoBerAfspr!$B$37" lockText="1"/>
</file>

<file path=xl/ctrlProps/ctrlProp799.xml><?xml version="1.0" encoding="utf-8"?>
<formControlPr xmlns="http://schemas.microsoft.com/office/spreadsheetml/2009/9/main" objectType="Drop" dropStyle="combo" dx="16" fmlaLink="NeoBerAfspr!$D$37" fmlaRange="tbl_Ped_DrainLokatie" noThreeD="1" sel="1" val="0"/>
</file>

<file path=xl/ctrlProps/ctrlProp800.xml><?xml version="1.0" encoding="utf-8"?>
<formControlPr xmlns="http://schemas.microsoft.com/office/spreadsheetml/2009/9/main" objectType="CheckBox" fmlaLink="NeoBerAfspr!$B$7" lockText="1"/>
</file>

<file path=xl/ctrlProps/ctrlProp801.xml><?xml version="1.0" encoding="utf-8"?>
<formControlPr xmlns="http://schemas.microsoft.com/office/spreadsheetml/2009/9/main" objectType="CheckBox" fmlaLink="NeoBerAfspr!$B$8" lockText="1"/>
</file>

<file path=xl/ctrlProps/ctrlProp802.xml><?xml version="1.0" encoding="utf-8"?>
<formControlPr xmlns="http://schemas.microsoft.com/office/spreadsheetml/2009/9/main" objectType="CheckBox" fmlaLink="NeoBerAfspr!$B$9" lockText="1"/>
</file>

<file path=xl/ctrlProps/ctrlProp803.xml><?xml version="1.0" encoding="utf-8"?>
<formControlPr xmlns="http://schemas.microsoft.com/office/spreadsheetml/2009/9/main" objectType="CheckBox" fmlaLink="NeoBerAfspr!$B$10" lockText="1"/>
</file>

<file path=xl/ctrlProps/ctrlProp804.xml><?xml version="1.0" encoding="utf-8"?>
<formControlPr xmlns="http://schemas.microsoft.com/office/spreadsheetml/2009/9/main" objectType="CheckBox" fmlaLink="NeoBerAfspr!$B$22" lockText="1"/>
</file>

<file path=xl/ctrlProps/ctrlProp805.xml><?xml version="1.0" encoding="utf-8"?>
<formControlPr xmlns="http://schemas.microsoft.com/office/spreadsheetml/2009/9/main" objectType="Drop" dropStyle="combo" dx="16" fmlaLink="NeoBerAfspr!$D$22" fmlaRange="tbl_Ped_aEEG" noThreeD="1" sel="1" val="0"/>
</file>

<file path=xl/ctrlProps/ctrlProp806.xml><?xml version="1.0" encoding="utf-8"?>
<formControlPr xmlns="http://schemas.microsoft.com/office/spreadsheetml/2009/9/main" objectType="CheckBox" fmlaLink="NeoBerAfspr!$B$23" lockText="1"/>
</file>

<file path=xl/ctrlProps/ctrlProp807.xml><?xml version="1.0" encoding="utf-8"?>
<formControlPr xmlns="http://schemas.microsoft.com/office/spreadsheetml/2009/9/main" objectType="CheckBox" fmlaLink="NeoBerAfspr!$B$25" lockText="1"/>
</file>

<file path=xl/ctrlProps/ctrlProp808.xml><?xml version="1.0" encoding="utf-8"?>
<formControlPr xmlns="http://schemas.microsoft.com/office/spreadsheetml/2009/9/main" objectType="CheckBox" fmlaLink="NeoBerAfspr!$B$26" lockText="1"/>
</file>

<file path=xl/ctrlProps/ctrlProp809.xml><?xml version="1.0" encoding="utf-8"?>
<formControlPr xmlns="http://schemas.microsoft.com/office/spreadsheetml/2009/9/main" objectType="CheckBox" fmlaLink="NeoBerAfspr!$B$24" lockText="1"/>
</file>

<file path=xl/ctrlProps/ctrlProp810.xml><?xml version="1.0" encoding="utf-8"?>
<formControlPr xmlns="http://schemas.microsoft.com/office/spreadsheetml/2009/9/main" objectType="CheckBox" fmlaLink="NeoBerAfspr!$B$31" lockText="1"/>
</file>

<file path=xl/ctrlProps/ctrlProp811.xml><?xml version="1.0" encoding="utf-8"?>
<formControlPr xmlns="http://schemas.microsoft.com/office/spreadsheetml/2009/9/main" objectType="CheckBox" fmlaLink="NeoBerAfspr!$B$32" lockText="1"/>
</file>

<file path=xl/ctrlProps/ctrlProp812.xml><?xml version="1.0" encoding="utf-8"?>
<formControlPr xmlns="http://schemas.microsoft.com/office/spreadsheetml/2009/9/main" objectType="CheckBox" fmlaLink="NeoBerAfspr!$B$11" lockText="1"/>
</file>

<file path=xl/ctrlProps/ctrlProp813.xml><?xml version="1.0" encoding="utf-8"?>
<formControlPr xmlns="http://schemas.microsoft.com/office/spreadsheetml/2009/9/main" objectType="CheckBox" fmlaLink="NeoBerAfspr!$B$15" lockText="1"/>
</file>

<file path=xl/ctrlProps/ctrlProp814.xml><?xml version="1.0" encoding="utf-8"?>
<formControlPr xmlns="http://schemas.microsoft.com/office/spreadsheetml/2009/9/main" objectType="CheckBox" fmlaLink="NeoBerAfspr!$B$16" lockText="1"/>
</file>

<file path=xl/ctrlProps/ctrlProp815.xml><?xml version="1.0" encoding="utf-8"?>
<formControlPr xmlns="http://schemas.microsoft.com/office/spreadsheetml/2009/9/main" objectType="CheckBox" fmlaLink="NeoBerAfspr!$B$17" lockText="1"/>
</file>

<file path=xl/ctrlProps/ctrlProp816.xml><?xml version="1.0" encoding="utf-8"?>
<formControlPr xmlns="http://schemas.microsoft.com/office/spreadsheetml/2009/9/main" objectType="CheckBox" fmlaLink="NeoBerAfspr!$B$19" lockText="1"/>
</file>

<file path=xl/ctrlProps/ctrlProp817.xml><?xml version="1.0" encoding="utf-8"?>
<formControlPr xmlns="http://schemas.microsoft.com/office/spreadsheetml/2009/9/main" objectType="CheckBox" fmlaLink="NeoBerAfspr!$D$11" lockText="1"/>
</file>

<file path=xl/ctrlProps/ctrlProp818.xml><?xml version="1.0" encoding="utf-8"?>
<formControlPr xmlns="http://schemas.microsoft.com/office/spreadsheetml/2009/9/main" objectType="CheckBox" fmlaLink="NeoBerAfspr!$D$12" lockText="1"/>
</file>

<file path=xl/ctrlProps/ctrlProp819.xml><?xml version="1.0" encoding="utf-8"?>
<formControlPr xmlns="http://schemas.microsoft.com/office/spreadsheetml/2009/9/main" objectType="CheckBox" fmlaLink="NeoBerAfspr!$D$13" lockText="1"/>
</file>

<file path=xl/ctrlProps/ctrlProp820.xml><?xml version="1.0" encoding="utf-8"?>
<formControlPr xmlns="http://schemas.microsoft.com/office/spreadsheetml/2009/9/main" objectType="CheckBox" fmlaLink="NeoBerAfspr!$D$14" lockText="1"/>
</file>

<file path=xl/ctrlProps/ctrlProp821.xml><?xml version="1.0" encoding="utf-8"?>
<formControlPr xmlns="http://schemas.microsoft.com/office/spreadsheetml/2009/9/main" objectType="Spin" dx="15" fmlaLink="NeoBerAfspr!$D$27" max="97" min="1" page="10" val="50"/>
</file>

<file path=xl/ctrlProps/ctrlProp822.xml><?xml version="1.0" encoding="utf-8"?>
<formControlPr xmlns="http://schemas.microsoft.com/office/spreadsheetml/2009/9/main" objectType="Drop" dropStyle="combo" dx="16" fmlaLink="NeoBerAfspr!$D$36" fmlaRange="tbl_Ped_DrainZuig" noThreeD="1" sel="1" val="0"/>
</file>

<file path=xl/ctrlProps/ctrlProp823.xml><?xml version="1.0" encoding="utf-8"?>
<formControlPr xmlns="http://schemas.microsoft.com/office/spreadsheetml/2009/9/main" objectType="Drop" dropStyle="combo" dx="16" fmlaLink="NeoBerAfspr!$D$39" fmlaRange="tbl_Ped_DrainZuig" noThreeD="1" sel="1" val="0"/>
</file>

<file path=xl/ctrlProps/ctrlProp824.xml><?xml version="1.0" encoding="utf-8"?>
<formControlPr xmlns="http://schemas.microsoft.com/office/spreadsheetml/2009/9/main" objectType="Drop" dropStyle="combo" dx="16" fmlaLink="NeoBerAfspr!$D$35" fmlaRange="tbl_Ped_DrainModus" noThreeD="1" sel="1" val="0"/>
</file>

<file path=xl/ctrlProps/ctrlProp825.xml><?xml version="1.0" encoding="utf-8"?>
<formControlPr xmlns="http://schemas.microsoft.com/office/spreadsheetml/2009/9/main" objectType="Drop" dropStyle="combo" dx="16" fmlaLink="NeoBerAfspr!$D$38" fmlaRange="tbl_Ped_DrainModus" noThreeD="1" sel="1" val="0"/>
</file>

<file path=xl/ctrlProps/ctrlProp826.xml><?xml version="1.0" encoding="utf-8"?>
<formControlPr xmlns="http://schemas.microsoft.com/office/spreadsheetml/2009/9/main" objectType="CheckBox" checked="Checked" fmlaLink="NeoBerAfspr!$D$35" lockText="1"/>
</file>

<file path=xl/ctrlProps/ctrlProp827.xml><?xml version="1.0" encoding="utf-8"?>
<formControlPr xmlns="http://schemas.microsoft.com/office/spreadsheetml/2009/9/main" objectType="CheckBox" checked="Checked" fmlaLink="NeoBerAfspr!$D$36" lockText="1"/>
</file>

<file path=xl/ctrlProps/ctrlProp828.xml><?xml version="1.0" encoding="utf-8"?>
<formControlPr xmlns="http://schemas.microsoft.com/office/spreadsheetml/2009/9/main" objectType="CheckBox" fmlaLink="NeoBerAfspr!$B$40" lockText="1"/>
</file>

<file path=xl/ctrlProps/ctrlProp829.xml><?xml version="1.0" encoding="utf-8"?>
<formControlPr xmlns="http://schemas.microsoft.com/office/spreadsheetml/2009/9/main" objectType="Drop" dropStyle="combo" dx="16" fmlaLink="NeoBerAfspr!$D$40" fmlaRange="tbl_Ped_DrainLokatie" noThreeD="1" sel="1" val="0"/>
</file>

<file path=xl/ctrlProps/ctrlProp830.xml><?xml version="1.0" encoding="utf-8"?>
<formControlPr xmlns="http://schemas.microsoft.com/office/spreadsheetml/2009/9/main" objectType="Drop" dropStyle="combo" dx="16" fmlaLink="NeoBerAfspr!$D$42" fmlaRange="tbl_Ped_DrainZuig" noThreeD="1" sel="1" val="0"/>
</file>

<file path=xl/ctrlProps/ctrlProp831.xml><?xml version="1.0" encoding="utf-8"?>
<formControlPr xmlns="http://schemas.microsoft.com/office/spreadsheetml/2009/9/main" objectType="Drop" dropStyle="combo" dx="16" fmlaLink="NeoBerAfspr!$D$41" fmlaRange="tbl_Ped_DrainModus" noThreeD="1" sel="1" val="0"/>
</file>

<file path=xl/ctrlProps/ctrlProp832.xml><?xml version="1.0" encoding="utf-8"?>
<formControlPr xmlns="http://schemas.microsoft.com/office/spreadsheetml/2009/9/main" objectType="CheckBox" fmlaLink="NeoBerAfspr!$B$43" lockText="1"/>
</file>

<file path=xl/ctrlProps/ctrlProp833.xml><?xml version="1.0" encoding="utf-8"?>
<formControlPr xmlns="http://schemas.microsoft.com/office/spreadsheetml/2009/9/main" objectType="CheckBox" fmlaLink="NeoBerAfspr!$B$45" lockText="1"/>
</file>

<file path=xl/ctrlProps/ctrlProp834.xml><?xml version="1.0" encoding="utf-8"?>
<formControlPr xmlns="http://schemas.microsoft.com/office/spreadsheetml/2009/9/main" objectType="CheckBox" fmlaLink="NeoBerAfspr!$B$44" lockText="1"/>
</file>

<file path=xl/ctrlProps/ctrlProp835.xml><?xml version="1.0" encoding="utf-8"?>
<formControlPr xmlns="http://schemas.microsoft.com/office/spreadsheetml/2009/9/main" objectType="CheckBox" fmlaLink="NeoBerAfspr!$D$43" lockText="1"/>
</file>

<file path=xl/ctrlProps/ctrlProp836.xml><?xml version="1.0" encoding="utf-8"?>
<formControlPr xmlns="http://schemas.microsoft.com/office/spreadsheetml/2009/9/main" objectType="CheckBox" fmlaLink="NeoBerAfspr!$D$44" lockText="1"/>
</file>

<file path=xl/ctrlProps/ctrlProp837.xml><?xml version="1.0" encoding="utf-8"?>
<formControlPr xmlns="http://schemas.microsoft.com/office/spreadsheetml/2009/9/main" objectType="CheckBox" fmlaLink="NeoBerAfspr!$D$45" lockText="1"/>
</file>

<file path=xl/ctrlProps/ctrlProp838.xml><?xml version="1.0" encoding="utf-8"?>
<formControlPr xmlns="http://schemas.microsoft.com/office/spreadsheetml/2009/9/main" objectType="Drop" dropStyle="combo" dx="16" fmlaLink="NeoBerAfspr!$D$46" fmlaRange="tbl_Ped_LiquorDrain" noThreeD="1" sel="1" val="0"/>
</file>

<file path=xl/ctrlProps/ctrlProp839.xml><?xml version="1.0" encoding="utf-8"?>
<formControlPr xmlns="http://schemas.microsoft.com/office/spreadsheetml/2009/9/main" objectType="Spin" dx="15" fmlaLink="NeoBerAfspr!$D$47" max="100" page="10" val="0"/>
</file>

<file path=xl/ctrlProps/ctrlProp840.xml><?xml version="1.0" encoding="utf-8"?>
<formControlPr xmlns="http://schemas.microsoft.com/office/spreadsheetml/2009/9/main" objectType="CheckBox" fmlaLink="NeoBerAfspr!$B$46" lockText="1"/>
</file>

<file path=xl/ctrlProps/ctrlProp841.xml><?xml version="1.0" encoding="utf-8"?>
<formControlPr xmlns="http://schemas.microsoft.com/office/spreadsheetml/2009/9/main" objectType="CheckBox" fmlaLink="NeoBerAfspr!$L$28" lockText="1"/>
</file>

<file path=xl/ctrlProps/ctrlProp842.xml><?xml version="1.0" encoding="utf-8"?>
<formControlPr xmlns="http://schemas.microsoft.com/office/spreadsheetml/2009/9/main" objectType="Spin" dx="15" fmlaLink="NeoBerAfspr!$C$8" max="10" page="10" val="0"/>
</file>

<file path=xl/ctrlProps/ctrlProp843.xml><?xml version="1.0" encoding="utf-8"?>
<formControlPr xmlns="http://schemas.microsoft.com/office/spreadsheetml/2009/9/main" objectType="Spin" dx="15" fmlaLink="PedBerAfspr!$C$8" max="10" page="10" val="0"/>
</file>

<file path=xl/ctrlProps/ctrlProp844.xml><?xml version="1.0" encoding="utf-8"?>
<formControlPr xmlns="http://schemas.microsoft.com/office/spreadsheetml/2009/9/main" objectType="Drop" dropStyle="combo" dx="16" fmlaLink="NeoBerAfspr!$D$8" fmlaRange="tbl_Ped_Periode" noThreeD="1" sel="1" val="0"/>
</file>

<file path=xl/ctrlProps/ctrlProp845.xml><?xml version="1.0" encoding="utf-8"?>
<formControlPr xmlns="http://schemas.microsoft.com/office/spreadsheetml/2009/9/main" objectType="Drop" dropStyle="combo" dx="16" fmlaLink="NeoBerAfspr!$D$9" fmlaRange="tbl_Ped_Periode" noThreeD="1" sel="1" val="0"/>
</file>

<file path=xl/ctrlProps/ctrlProp846.xml><?xml version="1.0" encoding="utf-8"?>
<formControlPr xmlns="http://schemas.microsoft.com/office/spreadsheetml/2009/9/main" objectType="Spin" dx="15" fmlaLink="PedBerAfspr!$C$8" max="10" page="10" val="0"/>
</file>

<file path=xl/ctrlProps/ctrlProp847.xml><?xml version="1.0" encoding="utf-8"?>
<formControlPr xmlns="http://schemas.microsoft.com/office/spreadsheetml/2009/9/main" objectType="Spin" dx="15" fmlaLink="NeoBerAfspr!$C$9" max="10" page="10" val="0"/>
</file>

<file path=xl/ctrlProps/ctrlProp848.xml><?xml version="1.0" encoding="utf-8"?>
<formControlPr xmlns="http://schemas.microsoft.com/office/spreadsheetml/2009/9/main" objectType="Spin" dx="15" fmlaLink="NeoBerAfspr!$K$20" max="24" page="10" val="0"/>
</file>

<file path=xl/ctrlProps/ctrlProp849.xml><?xml version="1.0" encoding="utf-8"?>
<formControlPr xmlns="http://schemas.microsoft.com/office/spreadsheetml/2009/9/main" objectType="CheckBox" fmlaLink="NeoBerAfspr!$J$29" lockText="1"/>
</file>

<file path=xl/ctrlProps/ctrlProp850.xml><?xml version="1.0" encoding="utf-8"?>
<formControlPr xmlns="http://schemas.microsoft.com/office/spreadsheetml/2009/9/main" objectType="Spin" dx="15" fmlaLink="NeoBerAfspr!$K$29" max="3" page="10" val="0"/>
</file>

<file path=xl/ctrlProps/ctrlProp851.xml><?xml version="1.0" encoding="utf-8"?>
<formControlPr xmlns="http://schemas.microsoft.com/office/spreadsheetml/2009/9/main" objectType="CheckBox" fmlaLink="NeoBerAfspr!$B$18" lockText="1"/>
</file>

<file path=xl/ctrlProps/ctrlProp852.xml><?xml version="1.0" encoding="utf-8"?>
<formControlPr xmlns="http://schemas.microsoft.com/office/spreadsheetml/2009/9/main" objectType="Spin" dx="15" fmlaLink="PedBerAfspr!$C$8" max="10" page="10" val="0"/>
</file>

<file path=xl/ctrlProps/ctrlProp853.xml><?xml version="1.0" encoding="utf-8"?>
<formControlPr xmlns="http://schemas.microsoft.com/office/spreadsheetml/2009/9/main" objectType="Drop" dropStyle="combo" dx="16" fmlaLink="NeoBerAfspr!$D$18" fmlaRange="tbl_Ped_Periode" noThreeD="1" sel="1" val="0"/>
</file>

<file path=xl/ctrlProps/ctrlProp854.xml><?xml version="1.0" encoding="utf-8"?>
<formControlPr xmlns="http://schemas.microsoft.com/office/spreadsheetml/2009/9/main" objectType="Spin" dx="15" fmlaLink="PedBerAfspr!$C$8" max="10" page="10" val="0"/>
</file>

<file path=xl/ctrlProps/ctrlProp855.xml><?xml version="1.0" encoding="utf-8"?>
<formControlPr xmlns="http://schemas.microsoft.com/office/spreadsheetml/2009/9/main" objectType="Spin" dx="15" fmlaLink="NeoBerAfspr!$C$18" max="10" page="10" val="0"/>
</file>

<file path=xl/ctrlProps/ctrlProp856.xml><?xml version="1.0" encoding="utf-8"?>
<formControlPr xmlns="http://schemas.microsoft.com/office/spreadsheetml/2009/9/main" objectType="CheckBox" fmlaLink="NeoBerLab!$C$4" lockText="1"/>
</file>

<file path=xl/ctrlProps/ctrlProp857.xml><?xml version="1.0" encoding="utf-8"?>
<formControlPr xmlns="http://schemas.microsoft.com/office/spreadsheetml/2009/9/main" objectType="CheckBox" fmlaLink="NeoBerLab!C5" lockText="1"/>
</file>

<file path=xl/ctrlProps/ctrlProp858.xml><?xml version="1.0" encoding="utf-8"?>
<formControlPr xmlns="http://schemas.microsoft.com/office/spreadsheetml/2009/9/main" objectType="CheckBox" fmlaLink="NeoBerLab!C7" lockText="1"/>
</file>

<file path=xl/ctrlProps/ctrlProp859.xml><?xml version="1.0" encoding="utf-8"?>
<formControlPr xmlns="http://schemas.microsoft.com/office/spreadsheetml/2009/9/main" objectType="CheckBox" fmlaLink="NeoBerLab!C8" lockText="1"/>
</file>

<file path=xl/ctrlProps/ctrlProp860.xml><?xml version="1.0" encoding="utf-8"?>
<formControlPr xmlns="http://schemas.microsoft.com/office/spreadsheetml/2009/9/main" objectType="CheckBox" fmlaLink="NeoBerLab!C14" lockText="1"/>
</file>

<file path=xl/ctrlProps/ctrlProp861.xml><?xml version="1.0" encoding="utf-8"?>
<formControlPr xmlns="http://schemas.microsoft.com/office/spreadsheetml/2009/9/main" objectType="CheckBox" fmlaLink="NeoBerLab!C13" lockText="1"/>
</file>

<file path=xl/ctrlProps/ctrlProp862.xml><?xml version="1.0" encoding="utf-8"?>
<formControlPr xmlns="http://schemas.microsoft.com/office/spreadsheetml/2009/9/main" objectType="CheckBox" fmlaLink="NeoBerLab!C30" lockText="1"/>
</file>

<file path=xl/ctrlProps/ctrlProp863.xml><?xml version="1.0" encoding="utf-8"?>
<formControlPr xmlns="http://schemas.microsoft.com/office/spreadsheetml/2009/9/main" objectType="CheckBox" fmlaLink="NeoBerLab!C16" lockText="1"/>
</file>

<file path=xl/ctrlProps/ctrlProp864.xml><?xml version="1.0" encoding="utf-8"?>
<formControlPr xmlns="http://schemas.microsoft.com/office/spreadsheetml/2009/9/main" objectType="CheckBox" fmlaLink="NeoBerLab!C19" lockText="1"/>
</file>

<file path=xl/ctrlProps/ctrlProp865.xml><?xml version="1.0" encoding="utf-8"?>
<formControlPr xmlns="http://schemas.microsoft.com/office/spreadsheetml/2009/9/main" objectType="CheckBox" fmlaLink="NeoBerLab!C20" lockText="1"/>
</file>

<file path=xl/ctrlProps/ctrlProp866.xml><?xml version="1.0" encoding="utf-8"?>
<formControlPr xmlns="http://schemas.microsoft.com/office/spreadsheetml/2009/9/main" objectType="CheckBox" fmlaLink="NeoBerLab!C21" lockText="1"/>
</file>

<file path=xl/ctrlProps/ctrlProp867.xml><?xml version="1.0" encoding="utf-8"?>
<formControlPr xmlns="http://schemas.microsoft.com/office/spreadsheetml/2009/9/main" objectType="CheckBox" fmlaLink="NeoBerLab!C12" lockText="1"/>
</file>

<file path=xl/ctrlProps/ctrlProp868.xml><?xml version="1.0" encoding="utf-8"?>
<formControlPr xmlns="http://schemas.microsoft.com/office/spreadsheetml/2009/9/main" objectType="CheckBox" fmlaLink="NeoBerLab!C28" lockText="1"/>
</file>

<file path=xl/ctrlProps/ctrlProp869.xml><?xml version="1.0" encoding="utf-8"?>
<formControlPr xmlns="http://schemas.microsoft.com/office/spreadsheetml/2009/9/main" objectType="CheckBox" fmlaLink="NeoBerLab!$G$4" lockText="1"/>
</file>

<file path=xl/ctrlProps/ctrlProp870.xml><?xml version="1.0" encoding="utf-8"?>
<formControlPr xmlns="http://schemas.microsoft.com/office/spreadsheetml/2009/9/main" objectType="CheckBox" fmlaLink="NeoBerLab!G5" lockText="1"/>
</file>

<file path=xl/ctrlProps/ctrlProp871.xml><?xml version="1.0" encoding="utf-8"?>
<formControlPr xmlns="http://schemas.microsoft.com/office/spreadsheetml/2009/9/main" objectType="CheckBox" fmlaLink="NeoBerLab!G7" lockText="1"/>
</file>

<file path=xl/ctrlProps/ctrlProp872.xml><?xml version="1.0" encoding="utf-8"?>
<formControlPr xmlns="http://schemas.microsoft.com/office/spreadsheetml/2009/9/main" objectType="CheckBox" fmlaLink="NeoBerLab!G8" lockText="1"/>
</file>

<file path=xl/ctrlProps/ctrlProp873.xml><?xml version="1.0" encoding="utf-8"?>
<formControlPr xmlns="http://schemas.microsoft.com/office/spreadsheetml/2009/9/main" objectType="CheckBox" fmlaLink="NeoBerLab!G14" lockText="1"/>
</file>

<file path=xl/ctrlProps/ctrlProp874.xml><?xml version="1.0" encoding="utf-8"?>
<formControlPr xmlns="http://schemas.microsoft.com/office/spreadsheetml/2009/9/main" objectType="CheckBox" fmlaLink="NeoBerLab!G13" lockText="1"/>
</file>

<file path=xl/ctrlProps/ctrlProp875.xml><?xml version="1.0" encoding="utf-8"?>
<formControlPr xmlns="http://schemas.microsoft.com/office/spreadsheetml/2009/9/main" objectType="CheckBox" fmlaLink="NeoBerLab!G30" lockText="1"/>
</file>

<file path=xl/ctrlProps/ctrlProp876.xml><?xml version="1.0" encoding="utf-8"?>
<formControlPr xmlns="http://schemas.microsoft.com/office/spreadsheetml/2009/9/main" objectType="CheckBox" fmlaLink="NeoBerLab!G16" lockText="1"/>
</file>

<file path=xl/ctrlProps/ctrlProp877.xml><?xml version="1.0" encoding="utf-8"?>
<formControlPr xmlns="http://schemas.microsoft.com/office/spreadsheetml/2009/9/main" objectType="CheckBox" fmlaLink="NeoBerLab!G19" lockText="1"/>
</file>

<file path=xl/ctrlProps/ctrlProp878.xml><?xml version="1.0" encoding="utf-8"?>
<formControlPr xmlns="http://schemas.microsoft.com/office/spreadsheetml/2009/9/main" objectType="CheckBox" fmlaLink="NeoBerLab!G20" lockText="1"/>
</file>

<file path=xl/ctrlProps/ctrlProp879.xml><?xml version="1.0" encoding="utf-8"?>
<formControlPr xmlns="http://schemas.microsoft.com/office/spreadsheetml/2009/9/main" objectType="CheckBox" fmlaLink="NeoBerLab!G21" lockText="1"/>
</file>

<file path=xl/ctrlProps/ctrlProp880.xml><?xml version="1.0" encoding="utf-8"?>
<formControlPr xmlns="http://schemas.microsoft.com/office/spreadsheetml/2009/9/main" objectType="CheckBox" fmlaLink="NeoBerLab!G12" lockText="1"/>
</file>

<file path=xl/ctrlProps/ctrlProp881.xml><?xml version="1.0" encoding="utf-8"?>
<formControlPr xmlns="http://schemas.microsoft.com/office/spreadsheetml/2009/9/main" objectType="CheckBox" fmlaLink="NeoBerLab!G28" lockText="1"/>
</file>

<file path=xl/ctrlProps/ctrlProp882.xml><?xml version="1.0" encoding="utf-8"?>
<formControlPr xmlns="http://schemas.microsoft.com/office/spreadsheetml/2009/9/main" objectType="CheckBox" fmlaLink="NeoBerLab!$I$4" lockText="1"/>
</file>

<file path=xl/ctrlProps/ctrlProp883.xml><?xml version="1.0" encoding="utf-8"?>
<formControlPr xmlns="http://schemas.microsoft.com/office/spreadsheetml/2009/9/main" objectType="CheckBox" fmlaLink="NeoBerLab!I5" lockText="1"/>
</file>

<file path=xl/ctrlProps/ctrlProp884.xml><?xml version="1.0" encoding="utf-8"?>
<formControlPr xmlns="http://schemas.microsoft.com/office/spreadsheetml/2009/9/main" objectType="CheckBox" fmlaLink="NeoBerLab!I7" lockText="1"/>
</file>

<file path=xl/ctrlProps/ctrlProp885.xml><?xml version="1.0" encoding="utf-8"?>
<formControlPr xmlns="http://schemas.microsoft.com/office/spreadsheetml/2009/9/main" objectType="CheckBox" fmlaLink="NeoBerLab!I8" lockText="1"/>
</file>

<file path=xl/ctrlProps/ctrlProp886.xml><?xml version="1.0" encoding="utf-8"?>
<formControlPr xmlns="http://schemas.microsoft.com/office/spreadsheetml/2009/9/main" objectType="CheckBox" fmlaLink="NeoBerLab!I14" lockText="1"/>
</file>

<file path=xl/ctrlProps/ctrlProp887.xml><?xml version="1.0" encoding="utf-8"?>
<formControlPr xmlns="http://schemas.microsoft.com/office/spreadsheetml/2009/9/main" objectType="CheckBox" fmlaLink="NeoBerLab!I13" lockText="1"/>
</file>

<file path=xl/ctrlProps/ctrlProp888.xml><?xml version="1.0" encoding="utf-8"?>
<formControlPr xmlns="http://schemas.microsoft.com/office/spreadsheetml/2009/9/main" objectType="CheckBox" fmlaLink="NeoBerLab!I30" lockText="1"/>
</file>

<file path=xl/ctrlProps/ctrlProp889.xml><?xml version="1.0" encoding="utf-8"?>
<formControlPr xmlns="http://schemas.microsoft.com/office/spreadsheetml/2009/9/main" objectType="CheckBox" fmlaLink="NeoBerLab!I16" lockText="1"/>
</file>

<file path=xl/ctrlProps/ctrlProp890.xml><?xml version="1.0" encoding="utf-8"?>
<formControlPr xmlns="http://schemas.microsoft.com/office/spreadsheetml/2009/9/main" objectType="CheckBox" fmlaLink="NeoBerLab!I19" lockText="1"/>
</file>

<file path=xl/ctrlProps/ctrlProp891.xml><?xml version="1.0" encoding="utf-8"?>
<formControlPr xmlns="http://schemas.microsoft.com/office/spreadsheetml/2009/9/main" objectType="CheckBox" fmlaLink="NeoBerLab!I20" lockText="1"/>
</file>

<file path=xl/ctrlProps/ctrlProp892.xml><?xml version="1.0" encoding="utf-8"?>
<formControlPr xmlns="http://schemas.microsoft.com/office/spreadsheetml/2009/9/main" objectType="CheckBox" fmlaLink="NeoBerLab!I21" lockText="1"/>
</file>

<file path=xl/ctrlProps/ctrlProp893.xml><?xml version="1.0" encoding="utf-8"?>
<formControlPr xmlns="http://schemas.microsoft.com/office/spreadsheetml/2009/9/main" objectType="CheckBox" fmlaLink="NeoBerLab!I12" lockText="1"/>
</file>

<file path=xl/ctrlProps/ctrlProp894.xml><?xml version="1.0" encoding="utf-8"?>
<formControlPr xmlns="http://schemas.microsoft.com/office/spreadsheetml/2009/9/main" objectType="CheckBox" fmlaLink="NeoBerLab!I28" lockText="1"/>
</file>

<file path=xl/ctrlProps/ctrlProp895.xml><?xml version="1.0" encoding="utf-8"?>
<formControlPr xmlns="http://schemas.microsoft.com/office/spreadsheetml/2009/9/main" objectType="CheckBox" fmlaLink="NeoBerLab!$O$4" lockText="1"/>
</file>

<file path=xl/ctrlProps/ctrlProp896.xml><?xml version="1.0" encoding="utf-8"?>
<formControlPr xmlns="http://schemas.microsoft.com/office/spreadsheetml/2009/9/main" objectType="CheckBox" fmlaLink="NeoBerLab!O5" lockText="1"/>
</file>

<file path=xl/ctrlProps/ctrlProp897.xml><?xml version="1.0" encoding="utf-8"?>
<formControlPr xmlns="http://schemas.microsoft.com/office/spreadsheetml/2009/9/main" objectType="CheckBox" fmlaLink="NeoBerLab!O7" lockText="1"/>
</file>

<file path=xl/ctrlProps/ctrlProp898.xml><?xml version="1.0" encoding="utf-8"?>
<formControlPr xmlns="http://schemas.microsoft.com/office/spreadsheetml/2009/9/main" objectType="CheckBox" fmlaLink="NeoBerLab!O8" lockText="1"/>
</file>

<file path=xl/ctrlProps/ctrlProp899.xml><?xml version="1.0" encoding="utf-8"?>
<formControlPr xmlns="http://schemas.microsoft.com/office/spreadsheetml/2009/9/main" objectType="CheckBox" fmlaLink="NeoBerLab!O14" lockText="1"/>
</file>

<file path=xl/ctrlProps/ctrlProp900.xml><?xml version="1.0" encoding="utf-8"?>
<formControlPr xmlns="http://schemas.microsoft.com/office/spreadsheetml/2009/9/main" objectType="CheckBox" fmlaLink="NeoBerLab!O13" lockText="1"/>
</file>

<file path=xl/ctrlProps/ctrlProp901.xml><?xml version="1.0" encoding="utf-8"?>
<formControlPr xmlns="http://schemas.microsoft.com/office/spreadsheetml/2009/9/main" objectType="CheckBox" fmlaLink="NeoBerLab!O30" lockText="1"/>
</file>

<file path=xl/ctrlProps/ctrlProp902.xml><?xml version="1.0" encoding="utf-8"?>
<formControlPr xmlns="http://schemas.microsoft.com/office/spreadsheetml/2009/9/main" objectType="CheckBox" fmlaLink="NeoBerLab!O16" lockText="1"/>
</file>

<file path=xl/ctrlProps/ctrlProp903.xml><?xml version="1.0" encoding="utf-8"?>
<formControlPr xmlns="http://schemas.microsoft.com/office/spreadsheetml/2009/9/main" objectType="CheckBox" fmlaLink="NeoBerLab!O19" lockText="1"/>
</file>

<file path=xl/ctrlProps/ctrlProp904.xml><?xml version="1.0" encoding="utf-8"?>
<formControlPr xmlns="http://schemas.microsoft.com/office/spreadsheetml/2009/9/main" objectType="CheckBox" fmlaLink="NeoBerLab!O20" lockText="1"/>
</file>

<file path=xl/ctrlProps/ctrlProp905.xml><?xml version="1.0" encoding="utf-8"?>
<formControlPr xmlns="http://schemas.microsoft.com/office/spreadsheetml/2009/9/main" objectType="CheckBox" fmlaLink="NeoBerLab!O21" lockText="1"/>
</file>

<file path=xl/ctrlProps/ctrlProp906.xml><?xml version="1.0" encoding="utf-8"?>
<formControlPr xmlns="http://schemas.microsoft.com/office/spreadsheetml/2009/9/main" objectType="CheckBox" fmlaLink="NeoBerLab!O12" lockText="1"/>
</file>

<file path=xl/ctrlProps/ctrlProp907.xml><?xml version="1.0" encoding="utf-8"?>
<formControlPr xmlns="http://schemas.microsoft.com/office/spreadsheetml/2009/9/main" objectType="CheckBox" fmlaLink="NeoBerLab!O28" lockText="1"/>
</file>

<file path=xl/ctrlProps/ctrlProp908.xml><?xml version="1.0" encoding="utf-8"?>
<formControlPr xmlns="http://schemas.microsoft.com/office/spreadsheetml/2009/9/main" objectType="CheckBox" fmlaLink="NeoBerLab!C32" lockText="1"/>
</file>

<file path=xl/ctrlProps/ctrlProp909.xml><?xml version="1.0" encoding="utf-8"?>
<formControlPr xmlns="http://schemas.microsoft.com/office/spreadsheetml/2009/9/main" objectType="CheckBox" fmlaLink="NeoBerLab!G32" lockText="1"/>
</file>

<file path=xl/ctrlProps/ctrlProp910.xml><?xml version="1.0" encoding="utf-8"?>
<formControlPr xmlns="http://schemas.microsoft.com/office/spreadsheetml/2009/9/main" objectType="CheckBox" fmlaLink="NeoBerLab!I32" lockText="1"/>
</file>

<file path=xl/ctrlProps/ctrlProp911.xml><?xml version="1.0" encoding="utf-8"?>
<formControlPr xmlns="http://schemas.microsoft.com/office/spreadsheetml/2009/9/main" objectType="CheckBox" fmlaLink="NeoBerLab!O32" lockText="1"/>
</file>

<file path=xl/ctrlProps/ctrlProp912.xml><?xml version="1.0" encoding="utf-8"?>
<formControlPr xmlns="http://schemas.microsoft.com/office/spreadsheetml/2009/9/main" objectType="CheckBox" fmlaLink="NeoBerLab!C6" lockText="1"/>
</file>

<file path=xl/ctrlProps/ctrlProp913.xml><?xml version="1.0" encoding="utf-8"?>
<formControlPr xmlns="http://schemas.microsoft.com/office/spreadsheetml/2009/9/main" objectType="CheckBox" fmlaLink="NeoBerLab!G6" lockText="1"/>
</file>

<file path=xl/ctrlProps/ctrlProp914.xml><?xml version="1.0" encoding="utf-8"?>
<formControlPr xmlns="http://schemas.microsoft.com/office/spreadsheetml/2009/9/main" objectType="CheckBox" fmlaLink="NeoBerLab!I6" lockText="1"/>
</file>

<file path=xl/ctrlProps/ctrlProp915.xml><?xml version="1.0" encoding="utf-8"?>
<formControlPr xmlns="http://schemas.microsoft.com/office/spreadsheetml/2009/9/main" objectType="CheckBox" fmlaLink="NeoBerLab!O6" lockText="1"/>
</file>

<file path=xl/ctrlProps/ctrlProp916.xml><?xml version="1.0" encoding="utf-8"?>
<formControlPr xmlns="http://schemas.microsoft.com/office/spreadsheetml/2009/9/main" objectType="CheckBox" fmlaLink="NeoBerLab!C17" lockText="1"/>
</file>

<file path=xl/ctrlProps/ctrlProp917.xml><?xml version="1.0" encoding="utf-8"?>
<formControlPr xmlns="http://schemas.microsoft.com/office/spreadsheetml/2009/9/main" objectType="CheckBox" fmlaLink="NeoBerLab!G17" lockText="1"/>
</file>

<file path=xl/ctrlProps/ctrlProp918.xml><?xml version="1.0" encoding="utf-8"?>
<formControlPr xmlns="http://schemas.microsoft.com/office/spreadsheetml/2009/9/main" objectType="CheckBox" fmlaLink="NeoBerLab!I17" lockText="1"/>
</file>

<file path=xl/ctrlProps/ctrlProp919.xml><?xml version="1.0" encoding="utf-8"?>
<formControlPr xmlns="http://schemas.microsoft.com/office/spreadsheetml/2009/9/main" objectType="CheckBox" fmlaLink="NeoBerLab!O17" lockText="1"/>
</file>

<file path=xl/ctrlProps/ctrlProp920.xml><?xml version="1.0" encoding="utf-8"?>
<formControlPr xmlns="http://schemas.microsoft.com/office/spreadsheetml/2009/9/main" objectType="CheckBox" fmlaLink="NeoBerLab!$E$4" lockText="1"/>
</file>

<file path=xl/ctrlProps/ctrlProp921.xml><?xml version="1.0" encoding="utf-8"?>
<formControlPr xmlns="http://schemas.microsoft.com/office/spreadsheetml/2009/9/main" objectType="CheckBox" fmlaLink="NeoBerLab!E5" lockText="1"/>
</file>

<file path=xl/ctrlProps/ctrlProp922.xml><?xml version="1.0" encoding="utf-8"?>
<formControlPr xmlns="http://schemas.microsoft.com/office/spreadsheetml/2009/9/main" objectType="CheckBox" fmlaLink="NeoBerLab!E7" lockText="1"/>
</file>

<file path=xl/ctrlProps/ctrlProp923.xml><?xml version="1.0" encoding="utf-8"?>
<formControlPr xmlns="http://schemas.microsoft.com/office/spreadsheetml/2009/9/main" objectType="CheckBox" fmlaLink="NeoBerLab!E8" lockText="1"/>
</file>

<file path=xl/ctrlProps/ctrlProp924.xml><?xml version="1.0" encoding="utf-8"?>
<formControlPr xmlns="http://schemas.microsoft.com/office/spreadsheetml/2009/9/main" objectType="CheckBox" fmlaLink="NeoBerLab!E14" lockText="1"/>
</file>

<file path=xl/ctrlProps/ctrlProp925.xml><?xml version="1.0" encoding="utf-8"?>
<formControlPr xmlns="http://schemas.microsoft.com/office/spreadsheetml/2009/9/main" objectType="CheckBox" fmlaLink="NeoBerLab!E13" lockText="1"/>
</file>

<file path=xl/ctrlProps/ctrlProp926.xml><?xml version="1.0" encoding="utf-8"?>
<formControlPr xmlns="http://schemas.microsoft.com/office/spreadsheetml/2009/9/main" objectType="CheckBox" fmlaLink="NeoBerLab!E30" lockText="1"/>
</file>

<file path=xl/ctrlProps/ctrlProp927.xml><?xml version="1.0" encoding="utf-8"?>
<formControlPr xmlns="http://schemas.microsoft.com/office/spreadsheetml/2009/9/main" objectType="CheckBox" fmlaLink="NeoBerLab!E16" lockText="1"/>
</file>

<file path=xl/ctrlProps/ctrlProp928.xml><?xml version="1.0" encoding="utf-8"?>
<formControlPr xmlns="http://schemas.microsoft.com/office/spreadsheetml/2009/9/main" objectType="CheckBox" fmlaLink="NeoBerLab!E19" lockText="1"/>
</file>

<file path=xl/ctrlProps/ctrlProp929.xml><?xml version="1.0" encoding="utf-8"?>
<formControlPr xmlns="http://schemas.microsoft.com/office/spreadsheetml/2009/9/main" objectType="CheckBox" fmlaLink="NeoBerLab!E20" lockText="1"/>
</file>

<file path=xl/ctrlProps/ctrlProp930.xml><?xml version="1.0" encoding="utf-8"?>
<formControlPr xmlns="http://schemas.microsoft.com/office/spreadsheetml/2009/9/main" objectType="CheckBox" fmlaLink="NeoBerLab!E21" lockText="1"/>
</file>

<file path=xl/ctrlProps/ctrlProp931.xml><?xml version="1.0" encoding="utf-8"?>
<formControlPr xmlns="http://schemas.microsoft.com/office/spreadsheetml/2009/9/main" objectType="CheckBox" fmlaLink="NeoBerLab!E12" lockText="1"/>
</file>

<file path=xl/ctrlProps/ctrlProp932.xml><?xml version="1.0" encoding="utf-8"?>
<formControlPr xmlns="http://schemas.microsoft.com/office/spreadsheetml/2009/9/main" objectType="CheckBox" fmlaLink="NeoBerLab!E28" lockText="1"/>
</file>

<file path=xl/ctrlProps/ctrlProp933.xml><?xml version="1.0" encoding="utf-8"?>
<formControlPr xmlns="http://schemas.microsoft.com/office/spreadsheetml/2009/9/main" objectType="CheckBox" fmlaLink="NeoBerLab!E32" lockText="1"/>
</file>

<file path=xl/ctrlProps/ctrlProp934.xml><?xml version="1.0" encoding="utf-8"?>
<formControlPr xmlns="http://schemas.microsoft.com/office/spreadsheetml/2009/9/main" objectType="CheckBox" fmlaLink="NeoBerLab!E6" lockText="1"/>
</file>

<file path=xl/ctrlProps/ctrlProp935.xml><?xml version="1.0" encoding="utf-8"?>
<formControlPr xmlns="http://schemas.microsoft.com/office/spreadsheetml/2009/9/main" objectType="CheckBox" fmlaLink="NeoBerLab!E17" lockText="1"/>
</file>

<file path=xl/ctrlProps/ctrlProp936.xml><?xml version="1.0" encoding="utf-8"?>
<formControlPr xmlns="http://schemas.microsoft.com/office/spreadsheetml/2009/9/main" objectType="CheckBox" fmlaLink="NeoBerLab!C33" lockText="1"/>
</file>

<file path=xl/ctrlProps/ctrlProp937.xml><?xml version="1.0" encoding="utf-8"?>
<formControlPr xmlns="http://schemas.microsoft.com/office/spreadsheetml/2009/9/main" objectType="CheckBox" fmlaLink="NeoBerLab!G33" lockText="1"/>
</file>

<file path=xl/ctrlProps/ctrlProp938.xml><?xml version="1.0" encoding="utf-8"?>
<formControlPr xmlns="http://schemas.microsoft.com/office/spreadsheetml/2009/9/main" objectType="CheckBox" fmlaLink="NeoBerLab!I33" lockText="1"/>
</file>

<file path=xl/ctrlProps/ctrlProp939.xml><?xml version="1.0" encoding="utf-8"?>
<formControlPr xmlns="http://schemas.microsoft.com/office/spreadsheetml/2009/9/main" objectType="CheckBox" fmlaLink="NeoBerLab!O33" lockText="1"/>
</file>

<file path=xl/ctrlProps/ctrlProp940.xml><?xml version="1.0" encoding="utf-8"?>
<formControlPr xmlns="http://schemas.microsoft.com/office/spreadsheetml/2009/9/main" objectType="CheckBox" fmlaLink="NeoBerLab!E33" lockText="1"/>
</file>

<file path=xl/ctrlProps/ctrlProp941.xml><?xml version="1.0" encoding="utf-8"?>
<formControlPr xmlns="http://schemas.microsoft.com/office/spreadsheetml/2009/9/main" objectType="CheckBox" fmlaLink="NeoBerLab!C34" lockText="1"/>
</file>

<file path=xl/ctrlProps/ctrlProp942.xml><?xml version="1.0" encoding="utf-8"?>
<formControlPr xmlns="http://schemas.microsoft.com/office/spreadsheetml/2009/9/main" objectType="CheckBox" fmlaLink="NeoBerLab!G34" lockText="1"/>
</file>

<file path=xl/ctrlProps/ctrlProp943.xml><?xml version="1.0" encoding="utf-8"?>
<formControlPr xmlns="http://schemas.microsoft.com/office/spreadsheetml/2009/9/main" objectType="CheckBox" fmlaLink="NeoBerLab!I34" lockText="1"/>
</file>

<file path=xl/ctrlProps/ctrlProp944.xml><?xml version="1.0" encoding="utf-8"?>
<formControlPr xmlns="http://schemas.microsoft.com/office/spreadsheetml/2009/9/main" objectType="CheckBox" fmlaLink="NeoBerLab!O34" lockText="1"/>
</file>

<file path=xl/ctrlProps/ctrlProp945.xml><?xml version="1.0" encoding="utf-8"?>
<formControlPr xmlns="http://schemas.microsoft.com/office/spreadsheetml/2009/9/main" objectType="CheckBox" fmlaLink="NeoBerLab!E34" lockText="1"/>
</file>

<file path=xl/ctrlProps/ctrlProp946.xml><?xml version="1.0" encoding="utf-8"?>
<formControlPr xmlns="http://schemas.microsoft.com/office/spreadsheetml/2009/9/main" objectType="CheckBox" fmlaLink="NeoBerLab!C9" lockText="1"/>
</file>

<file path=xl/ctrlProps/ctrlProp947.xml><?xml version="1.0" encoding="utf-8"?>
<formControlPr xmlns="http://schemas.microsoft.com/office/spreadsheetml/2009/9/main" objectType="CheckBox" fmlaLink="NeoBerLab!G9" lockText="1"/>
</file>

<file path=xl/ctrlProps/ctrlProp948.xml><?xml version="1.0" encoding="utf-8"?>
<formControlPr xmlns="http://schemas.microsoft.com/office/spreadsheetml/2009/9/main" objectType="CheckBox" fmlaLink="NeoBerLab!I9" lockText="1"/>
</file>

<file path=xl/ctrlProps/ctrlProp949.xml><?xml version="1.0" encoding="utf-8"?>
<formControlPr xmlns="http://schemas.microsoft.com/office/spreadsheetml/2009/9/main" objectType="CheckBox" fmlaLink="NeoBerLab!O9" lockText="1"/>
</file>

<file path=xl/ctrlProps/ctrlProp950.xml><?xml version="1.0" encoding="utf-8"?>
<formControlPr xmlns="http://schemas.microsoft.com/office/spreadsheetml/2009/9/main" objectType="CheckBox" fmlaLink="NeoBerLab!E9" lockText="1"/>
</file>

<file path=xl/ctrlProps/ctrlProp951.xml><?xml version="1.0" encoding="utf-8"?>
<formControlPr xmlns="http://schemas.microsoft.com/office/spreadsheetml/2009/9/main" objectType="CheckBox" fmlaLink="NeoBerLab!C11" lockText="1"/>
</file>

<file path=xl/ctrlProps/ctrlProp952.xml><?xml version="1.0" encoding="utf-8"?>
<formControlPr xmlns="http://schemas.microsoft.com/office/spreadsheetml/2009/9/main" objectType="CheckBox" fmlaLink="NeoBerLab!G11" lockText="1"/>
</file>

<file path=xl/ctrlProps/ctrlProp953.xml><?xml version="1.0" encoding="utf-8"?>
<formControlPr xmlns="http://schemas.microsoft.com/office/spreadsheetml/2009/9/main" objectType="CheckBox" fmlaLink="NeoBerLab!I11" lockText="1"/>
</file>

<file path=xl/ctrlProps/ctrlProp954.xml><?xml version="1.0" encoding="utf-8"?>
<formControlPr xmlns="http://schemas.microsoft.com/office/spreadsheetml/2009/9/main" objectType="CheckBox" fmlaLink="NeoBerLab!O11" lockText="1"/>
</file>

<file path=xl/ctrlProps/ctrlProp955.xml><?xml version="1.0" encoding="utf-8"?>
<formControlPr xmlns="http://schemas.microsoft.com/office/spreadsheetml/2009/9/main" objectType="CheckBox" fmlaLink="NeoBerLab!E11" lockText="1"/>
</file>

<file path=xl/ctrlProps/ctrlProp956.xml><?xml version="1.0" encoding="utf-8"?>
<formControlPr xmlns="http://schemas.microsoft.com/office/spreadsheetml/2009/9/main" objectType="CheckBox" fmlaLink="NeoBerLab!C15" lockText="1"/>
</file>

<file path=xl/ctrlProps/ctrlProp957.xml><?xml version="1.0" encoding="utf-8"?>
<formControlPr xmlns="http://schemas.microsoft.com/office/spreadsheetml/2009/9/main" objectType="CheckBox" fmlaLink="NeoBerLab!G15" lockText="1"/>
</file>

<file path=xl/ctrlProps/ctrlProp958.xml><?xml version="1.0" encoding="utf-8"?>
<formControlPr xmlns="http://schemas.microsoft.com/office/spreadsheetml/2009/9/main" objectType="CheckBox" fmlaLink="NeoBerLab!I15" lockText="1"/>
</file>

<file path=xl/ctrlProps/ctrlProp959.xml><?xml version="1.0" encoding="utf-8"?>
<formControlPr xmlns="http://schemas.microsoft.com/office/spreadsheetml/2009/9/main" objectType="CheckBox" fmlaLink="NeoBerLab!O15" lockText="1"/>
</file>

<file path=xl/ctrlProps/ctrlProp960.xml><?xml version="1.0" encoding="utf-8"?>
<formControlPr xmlns="http://schemas.microsoft.com/office/spreadsheetml/2009/9/main" objectType="CheckBox" fmlaLink="NeoBerLab!E15" lockText="1"/>
</file>

<file path=xl/ctrlProps/ctrlProp961.xml><?xml version="1.0" encoding="utf-8"?>
<formControlPr xmlns="http://schemas.microsoft.com/office/spreadsheetml/2009/9/main" objectType="CheckBox" fmlaLink="NeoBerLab!C22" lockText="1"/>
</file>

<file path=xl/ctrlProps/ctrlProp962.xml><?xml version="1.0" encoding="utf-8"?>
<formControlPr xmlns="http://schemas.microsoft.com/office/spreadsheetml/2009/9/main" objectType="CheckBox" fmlaLink="NeoBerLab!G22" lockText="1"/>
</file>

<file path=xl/ctrlProps/ctrlProp963.xml><?xml version="1.0" encoding="utf-8"?>
<formControlPr xmlns="http://schemas.microsoft.com/office/spreadsheetml/2009/9/main" objectType="CheckBox" fmlaLink="NeoBerLab!I22" lockText="1"/>
</file>

<file path=xl/ctrlProps/ctrlProp964.xml><?xml version="1.0" encoding="utf-8"?>
<formControlPr xmlns="http://schemas.microsoft.com/office/spreadsheetml/2009/9/main" objectType="CheckBox" fmlaLink="NeoBerLab!O22" lockText="1"/>
</file>

<file path=xl/ctrlProps/ctrlProp965.xml><?xml version="1.0" encoding="utf-8"?>
<formControlPr xmlns="http://schemas.microsoft.com/office/spreadsheetml/2009/9/main" objectType="CheckBox" fmlaLink="NeoBerLab!E22" lockText="1"/>
</file>

<file path=xl/ctrlProps/ctrlProp966.xml><?xml version="1.0" encoding="utf-8"?>
<formControlPr xmlns="http://schemas.microsoft.com/office/spreadsheetml/2009/9/main" objectType="CheckBox" fmlaLink="NeoBerLab!C23" lockText="1"/>
</file>

<file path=xl/ctrlProps/ctrlProp967.xml><?xml version="1.0" encoding="utf-8"?>
<formControlPr xmlns="http://schemas.microsoft.com/office/spreadsheetml/2009/9/main" objectType="CheckBox" fmlaLink="NeoBerLab!G23" lockText="1"/>
</file>

<file path=xl/ctrlProps/ctrlProp968.xml><?xml version="1.0" encoding="utf-8"?>
<formControlPr xmlns="http://schemas.microsoft.com/office/spreadsheetml/2009/9/main" objectType="CheckBox" fmlaLink="NeoBerLab!I23" lockText="1"/>
</file>

<file path=xl/ctrlProps/ctrlProp969.xml><?xml version="1.0" encoding="utf-8"?>
<formControlPr xmlns="http://schemas.microsoft.com/office/spreadsheetml/2009/9/main" objectType="CheckBox" fmlaLink="NeoBerLab!O23" lockText="1"/>
</file>

<file path=xl/ctrlProps/ctrlProp970.xml><?xml version="1.0" encoding="utf-8"?>
<formControlPr xmlns="http://schemas.microsoft.com/office/spreadsheetml/2009/9/main" objectType="CheckBox" fmlaLink="NeoBerLab!E23" lockText="1"/>
</file>

<file path=xl/ctrlProps/ctrlProp971.xml><?xml version="1.0" encoding="utf-8"?>
<formControlPr xmlns="http://schemas.microsoft.com/office/spreadsheetml/2009/9/main" objectType="CheckBox" fmlaLink="NeoBerLab!C24" lockText="1"/>
</file>

<file path=xl/ctrlProps/ctrlProp972.xml><?xml version="1.0" encoding="utf-8"?>
<formControlPr xmlns="http://schemas.microsoft.com/office/spreadsheetml/2009/9/main" objectType="CheckBox" fmlaLink="NeoBerLab!G24" lockText="1"/>
</file>

<file path=xl/ctrlProps/ctrlProp973.xml><?xml version="1.0" encoding="utf-8"?>
<formControlPr xmlns="http://schemas.microsoft.com/office/spreadsheetml/2009/9/main" objectType="CheckBox" fmlaLink="NeoBerLab!I24" lockText="1"/>
</file>

<file path=xl/ctrlProps/ctrlProp974.xml><?xml version="1.0" encoding="utf-8"?>
<formControlPr xmlns="http://schemas.microsoft.com/office/spreadsheetml/2009/9/main" objectType="CheckBox" fmlaLink="NeoBerLab!O24" lockText="1"/>
</file>

<file path=xl/ctrlProps/ctrlProp975.xml><?xml version="1.0" encoding="utf-8"?>
<formControlPr xmlns="http://schemas.microsoft.com/office/spreadsheetml/2009/9/main" objectType="CheckBox" fmlaLink="NeoBerLab!E24" lockText="1"/>
</file>

<file path=xl/ctrlProps/ctrlProp976.xml><?xml version="1.0" encoding="utf-8"?>
<formControlPr xmlns="http://schemas.microsoft.com/office/spreadsheetml/2009/9/main" objectType="CheckBox" fmlaLink="NeoBerLab!C25" lockText="1"/>
</file>

<file path=xl/ctrlProps/ctrlProp977.xml><?xml version="1.0" encoding="utf-8"?>
<formControlPr xmlns="http://schemas.microsoft.com/office/spreadsheetml/2009/9/main" objectType="CheckBox" fmlaLink="NeoBerLab!G25" lockText="1"/>
</file>

<file path=xl/ctrlProps/ctrlProp978.xml><?xml version="1.0" encoding="utf-8"?>
<formControlPr xmlns="http://schemas.microsoft.com/office/spreadsheetml/2009/9/main" objectType="CheckBox" fmlaLink="NeoBerLab!I25" lockText="1"/>
</file>

<file path=xl/ctrlProps/ctrlProp979.xml><?xml version="1.0" encoding="utf-8"?>
<formControlPr xmlns="http://schemas.microsoft.com/office/spreadsheetml/2009/9/main" objectType="CheckBox" fmlaLink="NeoBerLab!O25" lockText="1"/>
</file>

<file path=xl/ctrlProps/ctrlProp980.xml><?xml version="1.0" encoding="utf-8"?>
<formControlPr xmlns="http://schemas.microsoft.com/office/spreadsheetml/2009/9/main" objectType="CheckBox" fmlaLink="NeoBerLab!E25" lockText="1"/>
</file>

<file path=xl/ctrlProps/ctrlProp981.xml><?xml version="1.0" encoding="utf-8"?>
<formControlPr xmlns="http://schemas.microsoft.com/office/spreadsheetml/2009/9/main" objectType="CheckBox" fmlaLink="NeoBerLab!C26" lockText="1"/>
</file>

<file path=xl/ctrlProps/ctrlProp982.xml><?xml version="1.0" encoding="utf-8"?>
<formControlPr xmlns="http://schemas.microsoft.com/office/spreadsheetml/2009/9/main" objectType="CheckBox" fmlaLink="NeoBerLab!G26" lockText="1"/>
</file>

<file path=xl/ctrlProps/ctrlProp983.xml><?xml version="1.0" encoding="utf-8"?>
<formControlPr xmlns="http://schemas.microsoft.com/office/spreadsheetml/2009/9/main" objectType="CheckBox" fmlaLink="NeoBerLab!I26" lockText="1"/>
</file>

<file path=xl/ctrlProps/ctrlProp984.xml><?xml version="1.0" encoding="utf-8"?>
<formControlPr xmlns="http://schemas.microsoft.com/office/spreadsheetml/2009/9/main" objectType="CheckBox" fmlaLink="NeoBerLab!O26" lockText="1"/>
</file>

<file path=xl/ctrlProps/ctrlProp985.xml><?xml version="1.0" encoding="utf-8"?>
<formControlPr xmlns="http://schemas.microsoft.com/office/spreadsheetml/2009/9/main" objectType="CheckBox" fmlaLink="NeoBerLab!E26" lockText="1"/>
</file>

<file path=xl/ctrlProps/ctrlProp986.xml><?xml version="1.0" encoding="utf-8"?>
<formControlPr xmlns="http://schemas.microsoft.com/office/spreadsheetml/2009/9/main" objectType="CheckBox" fmlaLink="NeoBerLab!C29" lockText="1"/>
</file>

<file path=xl/ctrlProps/ctrlProp987.xml><?xml version="1.0" encoding="utf-8"?>
<formControlPr xmlns="http://schemas.microsoft.com/office/spreadsheetml/2009/9/main" objectType="CheckBox" fmlaLink="NeoBerLab!G29" lockText="1"/>
</file>

<file path=xl/ctrlProps/ctrlProp988.xml><?xml version="1.0" encoding="utf-8"?>
<formControlPr xmlns="http://schemas.microsoft.com/office/spreadsheetml/2009/9/main" objectType="CheckBox" fmlaLink="NeoBerLab!I29" lockText="1"/>
</file>

<file path=xl/ctrlProps/ctrlProp989.xml><?xml version="1.0" encoding="utf-8"?>
<formControlPr xmlns="http://schemas.microsoft.com/office/spreadsheetml/2009/9/main" objectType="CheckBox" fmlaLink="NeoBerLab!O29" lockText="1"/>
</file>

<file path=xl/ctrlProps/ctrlProp990.xml><?xml version="1.0" encoding="utf-8"?>
<formControlPr xmlns="http://schemas.microsoft.com/office/spreadsheetml/2009/9/main" objectType="CheckBox" fmlaLink="NeoBerLab!E29" lockText="1"/>
</file>

<file path=xl/ctrlProps/ctrlProp991.xml><?xml version="1.0" encoding="utf-8"?>
<formControlPr xmlns="http://schemas.microsoft.com/office/spreadsheetml/2009/9/main" objectType="CheckBox" fmlaLink="NeoBerLab!C18" lockText="1"/>
</file>

<file path=xl/ctrlProps/ctrlProp992.xml><?xml version="1.0" encoding="utf-8"?>
<formControlPr xmlns="http://schemas.microsoft.com/office/spreadsheetml/2009/9/main" objectType="CheckBox" fmlaLink="NeoBerLab!G18" lockText="1"/>
</file>

<file path=xl/ctrlProps/ctrlProp993.xml><?xml version="1.0" encoding="utf-8"?>
<formControlPr xmlns="http://schemas.microsoft.com/office/spreadsheetml/2009/9/main" objectType="CheckBox" fmlaLink="NeoBerLab!I18" lockText="1"/>
</file>

<file path=xl/ctrlProps/ctrlProp994.xml><?xml version="1.0" encoding="utf-8"?>
<formControlPr xmlns="http://schemas.microsoft.com/office/spreadsheetml/2009/9/main" objectType="CheckBox" fmlaLink="NeoBerLab!O18" lockText="1"/>
</file>

<file path=xl/ctrlProps/ctrlProp995.xml><?xml version="1.0" encoding="utf-8"?>
<formControlPr xmlns="http://schemas.microsoft.com/office/spreadsheetml/2009/9/main" objectType="CheckBox" fmlaLink="NeoBerLab!E18" lockText="1"/>
</file>

<file path=xl/ctrlProps/ctrlProp996.xml><?xml version="1.0" encoding="utf-8"?>
<formControlPr xmlns="http://schemas.microsoft.com/office/spreadsheetml/2009/9/main" objectType="CheckBox" fmlaLink="NeoBerLab!$K$4" lockText="1"/>
</file>

<file path=xl/ctrlProps/ctrlProp997.xml><?xml version="1.0" encoding="utf-8"?>
<formControlPr xmlns="http://schemas.microsoft.com/office/spreadsheetml/2009/9/main" objectType="CheckBox" fmlaLink="NeoBerLab!K5" lockText="1"/>
</file>

<file path=xl/ctrlProps/ctrlProp998.xml><?xml version="1.0" encoding="utf-8"?>
<formControlPr xmlns="http://schemas.microsoft.com/office/spreadsheetml/2009/9/main" objectType="CheckBox" fmlaLink="NeoBerLab!K7" lockText="1"/>
</file>

<file path=xl/ctrlProps/ctrlProp999.xml><?xml version="1.0" encoding="utf-8"?>
<formControlPr xmlns="http://schemas.microsoft.com/office/spreadsheetml/2009/9/main" objectType="CheckBox" fmlaLink="NeoBerLab!K8" lockText="1"/>
</file>

<file path=xl/ctrlProps/ctrlProp1000.xml><?xml version="1.0" encoding="utf-8"?>
<formControlPr xmlns="http://schemas.microsoft.com/office/spreadsheetml/2009/9/main" objectType="CheckBox" fmlaLink="NeoBerLab!K14" lockText="1"/>
</file>

<file path=xl/ctrlProps/ctrlProp1001.xml><?xml version="1.0" encoding="utf-8"?>
<formControlPr xmlns="http://schemas.microsoft.com/office/spreadsheetml/2009/9/main" objectType="CheckBox" fmlaLink="NeoBerLab!K13" lockText="1"/>
</file>

<file path=xl/ctrlProps/ctrlProp1002.xml><?xml version="1.0" encoding="utf-8"?>
<formControlPr xmlns="http://schemas.microsoft.com/office/spreadsheetml/2009/9/main" objectType="CheckBox" fmlaLink="NeoBerLab!K30" lockText="1"/>
</file>

<file path=xl/ctrlProps/ctrlProp1003.xml><?xml version="1.0" encoding="utf-8"?>
<formControlPr xmlns="http://schemas.microsoft.com/office/spreadsheetml/2009/9/main" objectType="CheckBox" fmlaLink="NeoBerLab!K16" lockText="1"/>
</file>

<file path=xl/ctrlProps/ctrlProp1004.xml><?xml version="1.0" encoding="utf-8"?>
<formControlPr xmlns="http://schemas.microsoft.com/office/spreadsheetml/2009/9/main" objectType="CheckBox" fmlaLink="NeoBerLab!K19" lockText="1"/>
</file>

<file path=xl/ctrlProps/ctrlProp1005.xml><?xml version="1.0" encoding="utf-8"?>
<formControlPr xmlns="http://schemas.microsoft.com/office/spreadsheetml/2009/9/main" objectType="CheckBox" fmlaLink="NeoBerLab!K20" lockText="1"/>
</file>

<file path=xl/ctrlProps/ctrlProp1006.xml><?xml version="1.0" encoding="utf-8"?>
<formControlPr xmlns="http://schemas.microsoft.com/office/spreadsheetml/2009/9/main" objectType="CheckBox" fmlaLink="NeoBerLab!K21" lockText="1"/>
</file>

<file path=xl/ctrlProps/ctrlProp1007.xml><?xml version="1.0" encoding="utf-8"?>
<formControlPr xmlns="http://schemas.microsoft.com/office/spreadsheetml/2009/9/main" objectType="CheckBox" fmlaLink="NeoBerLab!K12" lockText="1"/>
</file>

<file path=xl/ctrlProps/ctrlProp1008.xml><?xml version="1.0" encoding="utf-8"?>
<formControlPr xmlns="http://schemas.microsoft.com/office/spreadsheetml/2009/9/main" objectType="CheckBox" fmlaLink="NeoBerLab!K28" lockText="1"/>
</file>

<file path=xl/ctrlProps/ctrlProp1009.xml><?xml version="1.0" encoding="utf-8"?>
<formControlPr xmlns="http://schemas.microsoft.com/office/spreadsheetml/2009/9/main" objectType="CheckBox" fmlaLink="NeoBerLab!$M$4" lockText="1"/>
</file>

<file path=xl/ctrlProps/ctrlProp1010.xml><?xml version="1.0" encoding="utf-8"?>
<formControlPr xmlns="http://schemas.microsoft.com/office/spreadsheetml/2009/9/main" objectType="CheckBox" fmlaLink="NeoBerLab!M5" lockText="1"/>
</file>

<file path=xl/ctrlProps/ctrlProp1011.xml><?xml version="1.0" encoding="utf-8"?>
<formControlPr xmlns="http://schemas.microsoft.com/office/spreadsheetml/2009/9/main" objectType="CheckBox" fmlaLink="NeoBerLab!M7" lockText="1"/>
</file>

<file path=xl/ctrlProps/ctrlProp1012.xml><?xml version="1.0" encoding="utf-8"?>
<formControlPr xmlns="http://schemas.microsoft.com/office/spreadsheetml/2009/9/main" objectType="CheckBox" fmlaLink="NeoBerLab!M8" lockText="1"/>
</file>

<file path=xl/ctrlProps/ctrlProp1013.xml><?xml version="1.0" encoding="utf-8"?>
<formControlPr xmlns="http://schemas.microsoft.com/office/spreadsheetml/2009/9/main" objectType="CheckBox" fmlaLink="NeoBerLab!M14" lockText="1"/>
</file>

<file path=xl/ctrlProps/ctrlProp1014.xml><?xml version="1.0" encoding="utf-8"?>
<formControlPr xmlns="http://schemas.microsoft.com/office/spreadsheetml/2009/9/main" objectType="CheckBox" fmlaLink="NeoBerLab!M13" lockText="1"/>
</file>

<file path=xl/ctrlProps/ctrlProp1015.xml><?xml version="1.0" encoding="utf-8"?>
<formControlPr xmlns="http://schemas.microsoft.com/office/spreadsheetml/2009/9/main" objectType="CheckBox" fmlaLink="NeoBerLab!M30" lockText="1"/>
</file>

<file path=xl/ctrlProps/ctrlProp1016.xml><?xml version="1.0" encoding="utf-8"?>
<formControlPr xmlns="http://schemas.microsoft.com/office/spreadsheetml/2009/9/main" objectType="CheckBox" fmlaLink="NeoBerLab!M16" lockText="1"/>
</file>

<file path=xl/ctrlProps/ctrlProp1017.xml><?xml version="1.0" encoding="utf-8"?>
<formControlPr xmlns="http://schemas.microsoft.com/office/spreadsheetml/2009/9/main" objectType="CheckBox" fmlaLink="NeoBerLab!M19" lockText="1"/>
</file>

<file path=xl/ctrlProps/ctrlProp1018.xml><?xml version="1.0" encoding="utf-8"?>
<formControlPr xmlns="http://schemas.microsoft.com/office/spreadsheetml/2009/9/main" objectType="CheckBox" fmlaLink="NeoBerLab!M20" lockText="1"/>
</file>

<file path=xl/ctrlProps/ctrlProp1019.xml><?xml version="1.0" encoding="utf-8"?>
<formControlPr xmlns="http://schemas.microsoft.com/office/spreadsheetml/2009/9/main" objectType="CheckBox" fmlaLink="NeoBerLab!M21" lockText="1"/>
</file>

<file path=xl/ctrlProps/ctrlProp1020.xml><?xml version="1.0" encoding="utf-8"?>
<formControlPr xmlns="http://schemas.microsoft.com/office/spreadsheetml/2009/9/main" objectType="CheckBox" fmlaLink="NeoBerLab!M12" lockText="1"/>
</file>

<file path=xl/ctrlProps/ctrlProp1021.xml><?xml version="1.0" encoding="utf-8"?>
<formControlPr xmlns="http://schemas.microsoft.com/office/spreadsheetml/2009/9/main" objectType="CheckBox" fmlaLink="NeoBerLab!M28" lockText="1"/>
</file>

<file path=xl/ctrlProps/ctrlProp1022.xml><?xml version="1.0" encoding="utf-8"?>
<formControlPr xmlns="http://schemas.microsoft.com/office/spreadsheetml/2009/9/main" objectType="CheckBox" fmlaLink="NeoBerLab!K32" lockText="1"/>
</file>

<file path=xl/ctrlProps/ctrlProp1023.xml><?xml version="1.0" encoding="utf-8"?>
<formControlPr xmlns="http://schemas.microsoft.com/office/spreadsheetml/2009/9/main" objectType="CheckBox" fmlaLink="NeoBerLab!M32" lockText="1"/>
</file>

<file path=xl/ctrlProps/ctrlProp1024.xml><?xml version="1.0" encoding="utf-8"?>
<formControlPr xmlns="http://schemas.microsoft.com/office/spreadsheetml/2009/9/main" objectType="CheckBox" fmlaLink="NeoBerLab!K6" lockText="1"/>
</file>

<file path=xl/ctrlProps/ctrlProp1025.xml><?xml version="1.0" encoding="utf-8"?>
<formControlPr xmlns="http://schemas.microsoft.com/office/spreadsheetml/2009/9/main" objectType="CheckBox" fmlaLink="NeoBerLab!M6" lockText="1"/>
</file>

<file path=xl/ctrlProps/ctrlProp1026.xml><?xml version="1.0" encoding="utf-8"?>
<formControlPr xmlns="http://schemas.microsoft.com/office/spreadsheetml/2009/9/main" objectType="CheckBox" fmlaLink="NeoBerLab!K17" lockText="1"/>
</file>

<file path=xl/ctrlProps/ctrlProp1027.xml><?xml version="1.0" encoding="utf-8"?>
<formControlPr xmlns="http://schemas.microsoft.com/office/spreadsheetml/2009/9/main" objectType="CheckBox" fmlaLink="NeoBerLab!M17" lockText="1"/>
</file>

<file path=xl/ctrlProps/ctrlProp1028.xml><?xml version="1.0" encoding="utf-8"?>
<formControlPr xmlns="http://schemas.microsoft.com/office/spreadsheetml/2009/9/main" objectType="CheckBox" fmlaLink="NeoBerLab!K33" lockText="1"/>
</file>

<file path=xl/ctrlProps/ctrlProp1029.xml><?xml version="1.0" encoding="utf-8"?>
<formControlPr xmlns="http://schemas.microsoft.com/office/spreadsheetml/2009/9/main" objectType="CheckBox" fmlaLink="NeoBerLab!M33" lockText="1"/>
</file>

<file path=xl/ctrlProps/ctrlProp1030.xml><?xml version="1.0" encoding="utf-8"?>
<formControlPr xmlns="http://schemas.microsoft.com/office/spreadsheetml/2009/9/main" objectType="CheckBox" fmlaLink="NeoBerLab!K34" lockText="1"/>
</file>

<file path=xl/ctrlProps/ctrlProp1031.xml><?xml version="1.0" encoding="utf-8"?>
<formControlPr xmlns="http://schemas.microsoft.com/office/spreadsheetml/2009/9/main" objectType="CheckBox" fmlaLink="NeoBerLab!M34" lockText="1"/>
</file>

<file path=xl/ctrlProps/ctrlProp1032.xml><?xml version="1.0" encoding="utf-8"?>
<formControlPr xmlns="http://schemas.microsoft.com/office/spreadsheetml/2009/9/main" objectType="CheckBox" fmlaLink="NeoBerLab!K9" lockText="1"/>
</file>

<file path=xl/ctrlProps/ctrlProp1033.xml><?xml version="1.0" encoding="utf-8"?>
<formControlPr xmlns="http://schemas.microsoft.com/office/spreadsheetml/2009/9/main" objectType="CheckBox" fmlaLink="NeoBerLab!M9" lockText="1"/>
</file>

<file path=xl/ctrlProps/ctrlProp1034.xml><?xml version="1.0" encoding="utf-8"?>
<formControlPr xmlns="http://schemas.microsoft.com/office/spreadsheetml/2009/9/main" objectType="CheckBox" fmlaLink="NeoBerLab!K11" lockText="1"/>
</file>

<file path=xl/ctrlProps/ctrlProp1035.xml><?xml version="1.0" encoding="utf-8"?>
<formControlPr xmlns="http://schemas.microsoft.com/office/spreadsheetml/2009/9/main" objectType="CheckBox" fmlaLink="NeoBerLab!M11" lockText="1"/>
</file>

<file path=xl/ctrlProps/ctrlProp1036.xml><?xml version="1.0" encoding="utf-8"?>
<formControlPr xmlns="http://schemas.microsoft.com/office/spreadsheetml/2009/9/main" objectType="CheckBox" fmlaLink="NeoBerLab!K15" lockText="1"/>
</file>

<file path=xl/ctrlProps/ctrlProp1037.xml><?xml version="1.0" encoding="utf-8"?>
<formControlPr xmlns="http://schemas.microsoft.com/office/spreadsheetml/2009/9/main" objectType="CheckBox" fmlaLink="NeoBerLab!M15" lockText="1"/>
</file>

<file path=xl/ctrlProps/ctrlProp1038.xml><?xml version="1.0" encoding="utf-8"?>
<formControlPr xmlns="http://schemas.microsoft.com/office/spreadsheetml/2009/9/main" objectType="CheckBox" fmlaLink="NeoBerLab!K22" lockText="1"/>
</file>

<file path=xl/ctrlProps/ctrlProp1039.xml><?xml version="1.0" encoding="utf-8"?>
<formControlPr xmlns="http://schemas.microsoft.com/office/spreadsheetml/2009/9/main" objectType="CheckBox" fmlaLink="NeoBerLab!M22" lockText="1"/>
</file>

<file path=xl/ctrlProps/ctrlProp1040.xml><?xml version="1.0" encoding="utf-8"?>
<formControlPr xmlns="http://schemas.microsoft.com/office/spreadsheetml/2009/9/main" objectType="CheckBox" fmlaLink="NeoBerLab!K23" lockText="1"/>
</file>

<file path=xl/ctrlProps/ctrlProp1041.xml><?xml version="1.0" encoding="utf-8"?>
<formControlPr xmlns="http://schemas.microsoft.com/office/spreadsheetml/2009/9/main" objectType="CheckBox" fmlaLink="NeoBerLab!M23" lockText="1"/>
</file>

<file path=xl/ctrlProps/ctrlProp1042.xml><?xml version="1.0" encoding="utf-8"?>
<formControlPr xmlns="http://schemas.microsoft.com/office/spreadsheetml/2009/9/main" objectType="CheckBox" fmlaLink="NeoBerLab!K24" lockText="1"/>
</file>

<file path=xl/ctrlProps/ctrlProp1043.xml><?xml version="1.0" encoding="utf-8"?>
<formControlPr xmlns="http://schemas.microsoft.com/office/spreadsheetml/2009/9/main" objectType="CheckBox" fmlaLink="NeoBerLab!M24" lockText="1"/>
</file>

<file path=xl/ctrlProps/ctrlProp1044.xml><?xml version="1.0" encoding="utf-8"?>
<formControlPr xmlns="http://schemas.microsoft.com/office/spreadsheetml/2009/9/main" objectType="CheckBox" fmlaLink="NeoBerLab!K25" lockText="1"/>
</file>

<file path=xl/ctrlProps/ctrlProp1045.xml><?xml version="1.0" encoding="utf-8"?>
<formControlPr xmlns="http://schemas.microsoft.com/office/spreadsheetml/2009/9/main" objectType="CheckBox" fmlaLink="NeoBerLab!M25" lockText="1"/>
</file>

<file path=xl/ctrlProps/ctrlProp1046.xml><?xml version="1.0" encoding="utf-8"?>
<formControlPr xmlns="http://schemas.microsoft.com/office/spreadsheetml/2009/9/main" objectType="CheckBox" fmlaLink="NeoBerLab!K26" lockText="1"/>
</file>

<file path=xl/ctrlProps/ctrlProp1047.xml><?xml version="1.0" encoding="utf-8"?>
<formControlPr xmlns="http://schemas.microsoft.com/office/spreadsheetml/2009/9/main" objectType="CheckBox" fmlaLink="NeoBerLab!M26" lockText="1"/>
</file>

<file path=xl/ctrlProps/ctrlProp1048.xml><?xml version="1.0" encoding="utf-8"?>
<formControlPr xmlns="http://schemas.microsoft.com/office/spreadsheetml/2009/9/main" objectType="CheckBox" fmlaLink="NeoBerLab!K29" lockText="1"/>
</file>

<file path=xl/ctrlProps/ctrlProp1049.xml><?xml version="1.0" encoding="utf-8"?>
<formControlPr xmlns="http://schemas.microsoft.com/office/spreadsheetml/2009/9/main" objectType="CheckBox" fmlaLink="NeoBerLab!M29" lockText="1"/>
</file>

<file path=xl/ctrlProps/ctrlProp1050.xml><?xml version="1.0" encoding="utf-8"?>
<formControlPr xmlns="http://schemas.microsoft.com/office/spreadsheetml/2009/9/main" objectType="CheckBox" fmlaLink="NeoBerLab!K18" lockText="1"/>
</file>

<file path=xl/ctrlProps/ctrlProp1051.xml><?xml version="1.0" encoding="utf-8"?>
<formControlPr xmlns="http://schemas.microsoft.com/office/spreadsheetml/2009/9/main" objectType="CheckBox" fmlaLink="NeoBerLab!M18" lockText="1"/>
</file>

<file path=xl/ctrlProps/ctrlProp1052.xml><?xml version="1.0" encoding="utf-8"?>
<formControlPr xmlns="http://schemas.microsoft.com/office/spreadsheetml/2009/9/main" objectType="CheckBox" fmlaLink="NeoBerLab!C10" lockText="1"/>
</file>

<file path=xl/ctrlProps/ctrlProp1053.xml><?xml version="1.0" encoding="utf-8"?>
<formControlPr xmlns="http://schemas.microsoft.com/office/spreadsheetml/2009/9/main" objectType="CheckBox" fmlaLink="NeoBerLab!G10" lockText="1"/>
</file>

<file path=xl/ctrlProps/ctrlProp1054.xml><?xml version="1.0" encoding="utf-8"?>
<formControlPr xmlns="http://schemas.microsoft.com/office/spreadsheetml/2009/9/main" objectType="CheckBox" fmlaLink="NeoBerLab!I10" lockText="1"/>
</file>

<file path=xl/ctrlProps/ctrlProp1055.xml><?xml version="1.0" encoding="utf-8"?>
<formControlPr xmlns="http://schemas.microsoft.com/office/spreadsheetml/2009/9/main" objectType="CheckBox" fmlaLink="NeoBerLab!O10" lockText="1"/>
</file>

<file path=xl/ctrlProps/ctrlProp1056.xml><?xml version="1.0" encoding="utf-8"?>
<formControlPr xmlns="http://schemas.microsoft.com/office/spreadsheetml/2009/9/main" objectType="CheckBox" fmlaLink="NeoBerLab!E10" lockText="1"/>
</file>

<file path=xl/ctrlProps/ctrlProp1057.xml><?xml version="1.0" encoding="utf-8"?>
<formControlPr xmlns="http://schemas.microsoft.com/office/spreadsheetml/2009/9/main" objectType="CheckBox" fmlaLink="NeoBerLab!K10" lockText="1"/>
</file>

<file path=xl/ctrlProps/ctrlProp1058.xml><?xml version="1.0" encoding="utf-8"?>
<formControlPr xmlns="http://schemas.microsoft.com/office/spreadsheetml/2009/9/main" objectType="CheckBox" fmlaLink="NeoBerLab!M10" lockText="1"/>
</file>

<file path=xl/ctrlProps/ctrlProp1059.xml><?xml version="1.0" encoding="utf-8"?>
<formControlPr xmlns="http://schemas.microsoft.com/office/spreadsheetml/2009/9/main" objectType="CheckBox" fmlaLink="NeoBerLab!C31" lockText="1"/>
</file>

<file path=xl/ctrlProps/ctrlProp1060.xml><?xml version="1.0" encoding="utf-8"?>
<formControlPr xmlns="http://schemas.microsoft.com/office/spreadsheetml/2009/9/main" objectType="CheckBox" fmlaLink="NeoBerLab!G31" lockText="1"/>
</file>

<file path=xl/ctrlProps/ctrlProp1061.xml><?xml version="1.0" encoding="utf-8"?>
<formControlPr xmlns="http://schemas.microsoft.com/office/spreadsheetml/2009/9/main" objectType="CheckBox" fmlaLink="NeoBerLab!I31" lockText="1"/>
</file>

<file path=xl/ctrlProps/ctrlProp1062.xml><?xml version="1.0" encoding="utf-8"?>
<formControlPr xmlns="http://schemas.microsoft.com/office/spreadsheetml/2009/9/main" objectType="CheckBox" fmlaLink="NeoBerLab!O31" lockText="1"/>
</file>

<file path=xl/ctrlProps/ctrlProp1063.xml><?xml version="1.0" encoding="utf-8"?>
<formControlPr xmlns="http://schemas.microsoft.com/office/spreadsheetml/2009/9/main" objectType="CheckBox" fmlaLink="NeoBerLab!E31" lockText="1"/>
</file>

<file path=xl/ctrlProps/ctrlProp1064.xml><?xml version="1.0" encoding="utf-8"?>
<formControlPr xmlns="http://schemas.microsoft.com/office/spreadsheetml/2009/9/main" objectType="CheckBox" fmlaLink="NeoBerLab!K31" lockText="1"/>
</file>

<file path=xl/ctrlProps/ctrlProp1065.xml><?xml version="1.0" encoding="utf-8"?>
<formControlPr xmlns="http://schemas.microsoft.com/office/spreadsheetml/2009/9/main" objectType="CheckBox" fmlaLink="NeoBerLab!M31" lockText="1"/>
</file>

<file path=xl/ctrlProps/ctrlProp1066.xml><?xml version="1.0" encoding="utf-8"?>
<formControlPr xmlns="http://schemas.microsoft.com/office/spreadsheetml/2009/9/main" objectType="CheckBox" fmlaLink="NeoBerLab!C27" lockText="1"/>
</file>

<file path=xl/ctrlProps/ctrlProp1067.xml><?xml version="1.0" encoding="utf-8"?>
<formControlPr xmlns="http://schemas.microsoft.com/office/spreadsheetml/2009/9/main" objectType="CheckBox" fmlaLink="NeoBerLab!G27" lockText="1"/>
</file>

<file path=xl/ctrlProps/ctrlProp1068.xml><?xml version="1.0" encoding="utf-8"?>
<formControlPr xmlns="http://schemas.microsoft.com/office/spreadsheetml/2009/9/main" objectType="CheckBox" fmlaLink="NeoBerLab!I27" lockText="1"/>
</file>

<file path=xl/ctrlProps/ctrlProp1069.xml><?xml version="1.0" encoding="utf-8"?>
<formControlPr xmlns="http://schemas.microsoft.com/office/spreadsheetml/2009/9/main" objectType="CheckBox" fmlaLink="NeoBerLab!O27" lockText="1"/>
</file>

<file path=xl/ctrlProps/ctrlProp1070.xml><?xml version="1.0" encoding="utf-8"?>
<formControlPr xmlns="http://schemas.microsoft.com/office/spreadsheetml/2009/9/main" objectType="CheckBox" fmlaLink="NeoBerLab!E27" lockText="1"/>
</file>

<file path=xl/ctrlProps/ctrlProp1071.xml><?xml version="1.0" encoding="utf-8"?>
<formControlPr xmlns="http://schemas.microsoft.com/office/spreadsheetml/2009/9/main" objectType="CheckBox" fmlaLink="NeoBerLab!K27" lockText="1"/>
</file>

<file path=xl/ctrlProps/ctrlProp1072.xml><?xml version="1.0" encoding="utf-8"?>
<formControlPr xmlns="http://schemas.microsoft.com/office/spreadsheetml/2009/9/main" objectType="CheckBox" fmlaLink="NeoBerLab!M27" lockText="1"/>
</file>

<file path=xl/ctrlProps/ctrlProp1073.xml><?xml version="1.0" encoding="utf-8"?>
<formControlPr xmlns="http://schemas.microsoft.com/office/spreadsheetml/2009/9/main" objectType="CheckBox" fmlaLink="NeoBerLab!C35" lockText="1"/>
</file>

<file path=xl/ctrlProps/ctrlProp1074.xml><?xml version="1.0" encoding="utf-8"?>
<formControlPr xmlns="http://schemas.microsoft.com/office/spreadsheetml/2009/9/main" objectType="CheckBox" fmlaLink="NeoBerLab!$Q$4" lockText="1"/>
</file>

<file path=xl/ctrlProps/ctrlProp1075.xml><?xml version="1.0" encoding="utf-8"?>
<formControlPr xmlns="http://schemas.microsoft.com/office/spreadsheetml/2009/9/main" objectType="CheckBox" fmlaLink="NeoBerLab!Q5" lockText="1"/>
</file>

<file path=xl/ctrlProps/ctrlProp1076.xml><?xml version="1.0" encoding="utf-8"?>
<formControlPr xmlns="http://schemas.microsoft.com/office/spreadsheetml/2009/9/main" objectType="CheckBox" fmlaLink="NeoBerLab!Q7" lockText="1"/>
</file>

<file path=xl/ctrlProps/ctrlProp1077.xml><?xml version="1.0" encoding="utf-8"?>
<formControlPr xmlns="http://schemas.microsoft.com/office/spreadsheetml/2009/9/main" objectType="CheckBox" fmlaLink="NeoBerLab!Q8" lockText="1"/>
</file>

<file path=xl/ctrlProps/ctrlProp1078.xml><?xml version="1.0" encoding="utf-8"?>
<formControlPr xmlns="http://schemas.microsoft.com/office/spreadsheetml/2009/9/main" objectType="CheckBox" fmlaLink="NeoBerLab!Q14" lockText="1"/>
</file>

<file path=xl/ctrlProps/ctrlProp1079.xml><?xml version="1.0" encoding="utf-8"?>
<formControlPr xmlns="http://schemas.microsoft.com/office/spreadsheetml/2009/9/main" objectType="CheckBox" fmlaLink="NeoBerLab!Q13" lockText="1"/>
</file>

<file path=xl/ctrlProps/ctrlProp1080.xml><?xml version="1.0" encoding="utf-8"?>
<formControlPr xmlns="http://schemas.microsoft.com/office/spreadsheetml/2009/9/main" objectType="CheckBox" fmlaLink="NeoBerLab!Q30" lockText="1"/>
</file>

<file path=xl/ctrlProps/ctrlProp1081.xml><?xml version="1.0" encoding="utf-8"?>
<formControlPr xmlns="http://schemas.microsoft.com/office/spreadsheetml/2009/9/main" objectType="CheckBox" fmlaLink="NeoBerLab!Q16" lockText="1"/>
</file>

<file path=xl/ctrlProps/ctrlProp1082.xml><?xml version="1.0" encoding="utf-8"?>
<formControlPr xmlns="http://schemas.microsoft.com/office/spreadsheetml/2009/9/main" objectType="CheckBox" fmlaLink="NeoBerLab!Q19" lockText="1"/>
</file>

<file path=xl/ctrlProps/ctrlProp1083.xml><?xml version="1.0" encoding="utf-8"?>
<formControlPr xmlns="http://schemas.microsoft.com/office/spreadsheetml/2009/9/main" objectType="CheckBox" fmlaLink="NeoBerLab!Q20" lockText="1"/>
</file>

<file path=xl/ctrlProps/ctrlProp1084.xml><?xml version="1.0" encoding="utf-8"?>
<formControlPr xmlns="http://schemas.microsoft.com/office/spreadsheetml/2009/9/main" objectType="CheckBox" fmlaLink="NeoBerLab!Q21" lockText="1"/>
</file>

<file path=xl/ctrlProps/ctrlProp1085.xml><?xml version="1.0" encoding="utf-8"?>
<formControlPr xmlns="http://schemas.microsoft.com/office/spreadsheetml/2009/9/main" objectType="CheckBox" fmlaLink="NeoBerLab!Q12" lockText="1"/>
</file>

<file path=xl/ctrlProps/ctrlProp1086.xml><?xml version="1.0" encoding="utf-8"?>
<formControlPr xmlns="http://schemas.microsoft.com/office/spreadsheetml/2009/9/main" objectType="CheckBox" fmlaLink="NeoBerLab!Q28" lockText="1"/>
</file>

<file path=xl/ctrlProps/ctrlProp1087.xml><?xml version="1.0" encoding="utf-8"?>
<formControlPr xmlns="http://schemas.microsoft.com/office/spreadsheetml/2009/9/main" objectType="CheckBox" fmlaLink="NeoBerLab!Q32" lockText="1"/>
</file>

<file path=xl/ctrlProps/ctrlProp1088.xml><?xml version="1.0" encoding="utf-8"?>
<formControlPr xmlns="http://schemas.microsoft.com/office/spreadsheetml/2009/9/main" objectType="CheckBox" fmlaLink="NeoBerLab!Q6" lockText="1"/>
</file>

<file path=xl/ctrlProps/ctrlProp1089.xml><?xml version="1.0" encoding="utf-8"?>
<formControlPr xmlns="http://schemas.microsoft.com/office/spreadsheetml/2009/9/main" objectType="CheckBox" fmlaLink="NeoBerLab!Q17" lockText="1"/>
</file>

<file path=xl/ctrlProps/ctrlProp1090.xml><?xml version="1.0" encoding="utf-8"?>
<formControlPr xmlns="http://schemas.microsoft.com/office/spreadsheetml/2009/9/main" objectType="CheckBox" fmlaLink="NeoBerLab!Q33" lockText="1"/>
</file>

<file path=xl/ctrlProps/ctrlProp1091.xml><?xml version="1.0" encoding="utf-8"?>
<formControlPr xmlns="http://schemas.microsoft.com/office/spreadsheetml/2009/9/main" objectType="CheckBox" fmlaLink="NeoBerLab!Q34" lockText="1"/>
</file>

<file path=xl/ctrlProps/ctrlProp1092.xml><?xml version="1.0" encoding="utf-8"?>
<formControlPr xmlns="http://schemas.microsoft.com/office/spreadsheetml/2009/9/main" objectType="CheckBox" fmlaLink="NeoBerLab!Q9" lockText="1"/>
</file>

<file path=xl/ctrlProps/ctrlProp1093.xml><?xml version="1.0" encoding="utf-8"?>
<formControlPr xmlns="http://schemas.microsoft.com/office/spreadsheetml/2009/9/main" objectType="CheckBox" fmlaLink="NeoBerLab!Q11" lockText="1"/>
</file>

<file path=xl/ctrlProps/ctrlProp1094.xml><?xml version="1.0" encoding="utf-8"?>
<formControlPr xmlns="http://schemas.microsoft.com/office/spreadsheetml/2009/9/main" objectType="CheckBox" fmlaLink="NeoBerLab!Q15" lockText="1"/>
</file>

<file path=xl/ctrlProps/ctrlProp1095.xml><?xml version="1.0" encoding="utf-8"?>
<formControlPr xmlns="http://schemas.microsoft.com/office/spreadsheetml/2009/9/main" objectType="CheckBox" fmlaLink="NeoBerLab!Q22" lockText="1"/>
</file>

<file path=xl/ctrlProps/ctrlProp1096.xml><?xml version="1.0" encoding="utf-8"?>
<formControlPr xmlns="http://schemas.microsoft.com/office/spreadsheetml/2009/9/main" objectType="CheckBox" fmlaLink="NeoBerLab!Q23" lockText="1"/>
</file>

<file path=xl/ctrlProps/ctrlProp1097.xml><?xml version="1.0" encoding="utf-8"?>
<formControlPr xmlns="http://schemas.microsoft.com/office/spreadsheetml/2009/9/main" objectType="CheckBox" fmlaLink="NeoBerLab!Q24" lockText="1"/>
</file>

<file path=xl/ctrlProps/ctrlProp1098.xml><?xml version="1.0" encoding="utf-8"?>
<formControlPr xmlns="http://schemas.microsoft.com/office/spreadsheetml/2009/9/main" objectType="CheckBox" fmlaLink="NeoBerLab!Q25" lockText="1"/>
</file>

<file path=xl/ctrlProps/ctrlProp1099.xml><?xml version="1.0" encoding="utf-8"?>
<formControlPr xmlns="http://schemas.microsoft.com/office/spreadsheetml/2009/9/main" objectType="CheckBox" fmlaLink="NeoBerLab!Q26" lockText="1"/>
</file>

<file path=xl/ctrlProps/ctrlProp1100.xml><?xml version="1.0" encoding="utf-8"?>
<formControlPr xmlns="http://schemas.microsoft.com/office/spreadsheetml/2009/9/main" objectType="CheckBox" fmlaLink="NeoBerLab!Q29" lockText="1"/>
</file>

<file path=xl/ctrlProps/ctrlProp1101.xml><?xml version="1.0" encoding="utf-8"?>
<formControlPr xmlns="http://schemas.microsoft.com/office/spreadsheetml/2009/9/main" objectType="CheckBox" fmlaLink="NeoBerLab!Q18" lockText="1"/>
</file>

<file path=xl/ctrlProps/ctrlProp1102.xml><?xml version="1.0" encoding="utf-8"?>
<formControlPr xmlns="http://schemas.microsoft.com/office/spreadsheetml/2009/9/main" objectType="CheckBox" fmlaLink="NeoBerLab!Q10" lockText="1"/>
</file>

<file path=xl/ctrlProps/ctrlProp1103.xml><?xml version="1.0" encoding="utf-8"?>
<formControlPr xmlns="http://schemas.microsoft.com/office/spreadsheetml/2009/9/main" objectType="CheckBox" fmlaLink="NeoBerLab!Q31" lockText="1"/>
</file>

<file path=xl/ctrlProps/ctrlProp1104.xml><?xml version="1.0" encoding="utf-8"?>
<formControlPr xmlns="http://schemas.microsoft.com/office/spreadsheetml/2009/9/main" objectType="CheckBox" fmlaLink="NeoBerLab!Q27" lockText="1"/>
</file>

<file path=xl/ctrlProps/ctrlProp1105.xml><?xml version="1.0" encoding="utf-8"?>
<formControlPr xmlns="http://schemas.microsoft.com/office/spreadsheetml/2009/9/main" objectType="CheckBox" fmlaLink="NeoBerLab!$S$4" lockText="1"/>
</file>

<file path=xl/ctrlProps/ctrlProp1106.xml><?xml version="1.0" encoding="utf-8"?>
<formControlPr xmlns="http://schemas.microsoft.com/office/spreadsheetml/2009/9/main" objectType="CheckBox" fmlaLink="NeoBerLab!S5" lockText="1"/>
</file>

<file path=xl/ctrlProps/ctrlProp1107.xml><?xml version="1.0" encoding="utf-8"?>
<formControlPr xmlns="http://schemas.microsoft.com/office/spreadsheetml/2009/9/main" objectType="CheckBox" fmlaLink="NeoBerLab!S7" lockText="1"/>
</file>

<file path=xl/ctrlProps/ctrlProp1108.xml><?xml version="1.0" encoding="utf-8"?>
<formControlPr xmlns="http://schemas.microsoft.com/office/spreadsheetml/2009/9/main" objectType="CheckBox" fmlaLink="NeoBerLab!S8" lockText="1"/>
</file>

<file path=xl/ctrlProps/ctrlProp1109.xml><?xml version="1.0" encoding="utf-8"?>
<formControlPr xmlns="http://schemas.microsoft.com/office/spreadsheetml/2009/9/main" objectType="CheckBox" fmlaLink="NeoBerLab!S14" lockText="1"/>
</file>

<file path=xl/ctrlProps/ctrlProp1110.xml><?xml version="1.0" encoding="utf-8"?>
<formControlPr xmlns="http://schemas.microsoft.com/office/spreadsheetml/2009/9/main" objectType="CheckBox" fmlaLink="NeoBerLab!S13" lockText="1"/>
</file>

<file path=xl/ctrlProps/ctrlProp1111.xml><?xml version="1.0" encoding="utf-8"?>
<formControlPr xmlns="http://schemas.microsoft.com/office/spreadsheetml/2009/9/main" objectType="CheckBox" fmlaLink="NeoBerLab!S30" lockText="1"/>
</file>

<file path=xl/ctrlProps/ctrlProp1112.xml><?xml version="1.0" encoding="utf-8"?>
<formControlPr xmlns="http://schemas.microsoft.com/office/spreadsheetml/2009/9/main" objectType="CheckBox" fmlaLink="NeoBerLab!S16" lockText="1"/>
</file>

<file path=xl/ctrlProps/ctrlProp1113.xml><?xml version="1.0" encoding="utf-8"?>
<formControlPr xmlns="http://schemas.microsoft.com/office/spreadsheetml/2009/9/main" objectType="CheckBox" fmlaLink="NeoBerLab!S19" lockText="1"/>
</file>

<file path=xl/ctrlProps/ctrlProp1114.xml><?xml version="1.0" encoding="utf-8"?>
<formControlPr xmlns="http://schemas.microsoft.com/office/spreadsheetml/2009/9/main" objectType="CheckBox" fmlaLink="NeoBerLab!S20" lockText="1"/>
</file>

<file path=xl/ctrlProps/ctrlProp1115.xml><?xml version="1.0" encoding="utf-8"?>
<formControlPr xmlns="http://schemas.microsoft.com/office/spreadsheetml/2009/9/main" objectType="CheckBox" fmlaLink="NeoBerLab!S21" lockText="1"/>
</file>

<file path=xl/ctrlProps/ctrlProp1116.xml><?xml version="1.0" encoding="utf-8"?>
<formControlPr xmlns="http://schemas.microsoft.com/office/spreadsheetml/2009/9/main" objectType="CheckBox" fmlaLink="NeoBerLab!S12" lockText="1"/>
</file>

<file path=xl/ctrlProps/ctrlProp1117.xml><?xml version="1.0" encoding="utf-8"?>
<formControlPr xmlns="http://schemas.microsoft.com/office/spreadsheetml/2009/9/main" objectType="CheckBox" fmlaLink="NeoBerLab!S28" lockText="1"/>
</file>

<file path=xl/ctrlProps/ctrlProp1118.xml><?xml version="1.0" encoding="utf-8"?>
<formControlPr xmlns="http://schemas.microsoft.com/office/spreadsheetml/2009/9/main" objectType="CheckBox" fmlaLink="NeoBerLab!S32" lockText="1"/>
</file>

<file path=xl/ctrlProps/ctrlProp1119.xml><?xml version="1.0" encoding="utf-8"?>
<formControlPr xmlns="http://schemas.microsoft.com/office/spreadsheetml/2009/9/main" objectType="CheckBox" fmlaLink="NeoBerLab!S6" lockText="1"/>
</file>

<file path=xl/ctrlProps/ctrlProp1120.xml><?xml version="1.0" encoding="utf-8"?>
<formControlPr xmlns="http://schemas.microsoft.com/office/spreadsheetml/2009/9/main" objectType="CheckBox" fmlaLink="NeoBerLab!S17" lockText="1"/>
</file>

<file path=xl/ctrlProps/ctrlProp1121.xml><?xml version="1.0" encoding="utf-8"?>
<formControlPr xmlns="http://schemas.microsoft.com/office/spreadsheetml/2009/9/main" objectType="CheckBox" fmlaLink="NeoBerLab!S33" lockText="1"/>
</file>

<file path=xl/ctrlProps/ctrlProp1122.xml><?xml version="1.0" encoding="utf-8"?>
<formControlPr xmlns="http://schemas.microsoft.com/office/spreadsheetml/2009/9/main" objectType="CheckBox" fmlaLink="NeoBerLab!S34" lockText="1"/>
</file>

<file path=xl/ctrlProps/ctrlProp1123.xml><?xml version="1.0" encoding="utf-8"?>
<formControlPr xmlns="http://schemas.microsoft.com/office/spreadsheetml/2009/9/main" objectType="CheckBox" fmlaLink="NeoBerLab!S9" lockText="1"/>
</file>

<file path=xl/ctrlProps/ctrlProp1124.xml><?xml version="1.0" encoding="utf-8"?>
<formControlPr xmlns="http://schemas.microsoft.com/office/spreadsheetml/2009/9/main" objectType="CheckBox" fmlaLink="NeoBerLab!S11" lockText="1"/>
</file>

<file path=xl/ctrlProps/ctrlProp1125.xml><?xml version="1.0" encoding="utf-8"?>
<formControlPr xmlns="http://schemas.microsoft.com/office/spreadsheetml/2009/9/main" objectType="CheckBox" fmlaLink="NeoBerLab!S15" lockText="1"/>
</file>

<file path=xl/ctrlProps/ctrlProp1126.xml><?xml version="1.0" encoding="utf-8"?>
<formControlPr xmlns="http://schemas.microsoft.com/office/spreadsheetml/2009/9/main" objectType="CheckBox" fmlaLink="NeoBerLab!S22" lockText="1"/>
</file>

<file path=xl/ctrlProps/ctrlProp1127.xml><?xml version="1.0" encoding="utf-8"?>
<formControlPr xmlns="http://schemas.microsoft.com/office/spreadsheetml/2009/9/main" objectType="CheckBox" fmlaLink="NeoBerLab!S23" lockText="1"/>
</file>

<file path=xl/ctrlProps/ctrlProp1128.xml><?xml version="1.0" encoding="utf-8"?>
<formControlPr xmlns="http://schemas.microsoft.com/office/spreadsheetml/2009/9/main" objectType="CheckBox" fmlaLink="NeoBerLab!S24" lockText="1"/>
</file>

<file path=xl/ctrlProps/ctrlProp1129.xml><?xml version="1.0" encoding="utf-8"?>
<formControlPr xmlns="http://schemas.microsoft.com/office/spreadsheetml/2009/9/main" objectType="CheckBox" fmlaLink="NeoBerLab!S25" lockText="1"/>
</file>

<file path=xl/ctrlProps/ctrlProp1130.xml><?xml version="1.0" encoding="utf-8"?>
<formControlPr xmlns="http://schemas.microsoft.com/office/spreadsheetml/2009/9/main" objectType="CheckBox" fmlaLink="NeoBerLab!S26" lockText="1"/>
</file>

<file path=xl/ctrlProps/ctrlProp1131.xml><?xml version="1.0" encoding="utf-8"?>
<formControlPr xmlns="http://schemas.microsoft.com/office/spreadsheetml/2009/9/main" objectType="CheckBox" fmlaLink="NeoBerLab!S29" lockText="1"/>
</file>

<file path=xl/ctrlProps/ctrlProp1132.xml><?xml version="1.0" encoding="utf-8"?>
<formControlPr xmlns="http://schemas.microsoft.com/office/spreadsheetml/2009/9/main" objectType="CheckBox" fmlaLink="NeoBerLab!S18" lockText="1"/>
</file>

<file path=xl/ctrlProps/ctrlProp1133.xml><?xml version="1.0" encoding="utf-8"?>
<formControlPr xmlns="http://schemas.microsoft.com/office/spreadsheetml/2009/9/main" objectType="CheckBox" fmlaLink="NeoBerLab!S10" lockText="1"/>
</file>

<file path=xl/ctrlProps/ctrlProp1134.xml><?xml version="1.0" encoding="utf-8"?>
<formControlPr xmlns="http://schemas.microsoft.com/office/spreadsheetml/2009/9/main" objectType="CheckBox" fmlaLink="NeoBerLab!S31" lockText="1"/>
</file>

<file path=xl/ctrlProps/ctrlProp1135.xml><?xml version="1.0" encoding="utf-8"?>
<formControlPr xmlns="http://schemas.microsoft.com/office/spreadsheetml/2009/9/main" objectType="CheckBox" fmlaLink="NeoBerLab!S27" lockText="1"/>
</file>

<file path=xl/ctrlProps/ctrlProp1136.xml><?xml version="1.0" encoding="utf-8"?>
<formControlPr xmlns="http://schemas.microsoft.com/office/spreadsheetml/2009/9/main" objectType="Spin" dx="15" fmlaLink="PatDetails!$B$7" max="200" min="25" page="10" val="25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10</xdr:row>
          <xdr:rowOff>28575</xdr:rowOff>
        </xdr:from>
        <xdr:to>
          <xdr:col>15</xdr:col>
          <xdr:colOff>723900</xdr:colOff>
          <xdr:row>10</xdr:row>
          <xdr:rowOff>228600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19050</xdr:colOff>
      <xdr:row>23</xdr:row>
      <xdr:rowOff>9525</xdr:rowOff>
    </xdr:from>
    <xdr:to>
      <xdr:col>8</xdr:col>
      <xdr:colOff>0</xdr:colOff>
      <xdr:row>23</xdr:row>
      <xdr:rowOff>247269</xdr:rowOff>
    </xdr:to>
    <xdr:sp macro="[0]!MedDisc_EnterMed_16" textlink="">
      <xdr:nvSpPr>
        <xdr:cNvPr id="18830" name="Rectangle 398"/>
        <xdr:cNvSpPr>
          <a:spLocks noChangeArrowheads="1"/>
        </xdr:cNvSpPr>
      </xdr:nvSpPr>
      <xdr:spPr bwMode="auto">
        <a:xfrm>
          <a:off x="636629" y="493579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24</xdr:row>
      <xdr:rowOff>9525</xdr:rowOff>
    </xdr:from>
    <xdr:to>
      <xdr:col>8</xdr:col>
      <xdr:colOff>0</xdr:colOff>
      <xdr:row>24</xdr:row>
      <xdr:rowOff>247269</xdr:rowOff>
    </xdr:to>
    <xdr:sp macro="[0]!MedDisc_EnterMed_17" textlink="">
      <xdr:nvSpPr>
        <xdr:cNvPr id="18831" name="Rectangle 399"/>
        <xdr:cNvSpPr>
          <a:spLocks noChangeArrowheads="1"/>
        </xdr:cNvSpPr>
      </xdr:nvSpPr>
      <xdr:spPr bwMode="auto">
        <a:xfrm>
          <a:off x="636629" y="518952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25</xdr:row>
      <xdr:rowOff>9525</xdr:rowOff>
    </xdr:from>
    <xdr:to>
      <xdr:col>8</xdr:col>
      <xdr:colOff>0</xdr:colOff>
      <xdr:row>25</xdr:row>
      <xdr:rowOff>247269</xdr:rowOff>
    </xdr:to>
    <xdr:sp macro="[0]!MedDisc_EnterMed_18" textlink="">
      <xdr:nvSpPr>
        <xdr:cNvPr id="18832" name="Rectangle 400"/>
        <xdr:cNvSpPr>
          <a:spLocks noChangeArrowheads="1"/>
        </xdr:cNvSpPr>
      </xdr:nvSpPr>
      <xdr:spPr bwMode="auto">
        <a:xfrm>
          <a:off x="636629" y="544326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26</xdr:row>
      <xdr:rowOff>9525</xdr:rowOff>
    </xdr:from>
    <xdr:to>
      <xdr:col>8</xdr:col>
      <xdr:colOff>0</xdr:colOff>
      <xdr:row>26</xdr:row>
      <xdr:rowOff>247269</xdr:rowOff>
    </xdr:to>
    <xdr:sp macro="[0]!MedDisc_EnterMed_19" textlink="">
      <xdr:nvSpPr>
        <xdr:cNvPr id="18833" name="Rectangle 401"/>
        <xdr:cNvSpPr>
          <a:spLocks noChangeArrowheads="1"/>
        </xdr:cNvSpPr>
      </xdr:nvSpPr>
      <xdr:spPr bwMode="auto">
        <a:xfrm>
          <a:off x="636629" y="569699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27</xdr:row>
      <xdr:rowOff>9525</xdr:rowOff>
    </xdr:from>
    <xdr:to>
      <xdr:col>8</xdr:col>
      <xdr:colOff>0</xdr:colOff>
      <xdr:row>27</xdr:row>
      <xdr:rowOff>247269</xdr:rowOff>
    </xdr:to>
    <xdr:sp macro="[0]!MedDisc_EnterMed_20" textlink="">
      <xdr:nvSpPr>
        <xdr:cNvPr id="18834" name="Rectangle 402"/>
        <xdr:cNvSpPr>
          <a:spLocks noChangeArrowheads="1"/>
        </xdr:cNvSpPr>
      </xdr:nvSpPr>
      <xdr:spPr bwMode="auto">
        <a:xfrm>
          <a:off x="636629" y="595073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0</xdr:colOff>
      <xdr:row>8</xdr:row>
      <xdr:rowOff>0</xdr:rowOff>
    </xdr:from>
    <xdr:to>
      <xdr:col>19</xdr:col>
      <xdr:colOff>0</xdr:colOff>
      <xdr:row>8</xdr:row>
      <xdr:rowOff>0</xdr:rowOff>
    </xdr:to>
    <xdr:sp macro="[0]!medDiscBijz" textlink="">
      <xdr:nvSpPr>
        <xdr:cNvPr id="18835" name="Rectangle 403"/>
        <xdr:cNvSpPr>
          <a:spLocks noChangeArrowheads="1"/>
        </xdr:cNvSpPr>
      </xdr:nvSpPr>
      <xdr:spPr bwMode="auto">
        <a:xfrm>
          <a:off x="1647825" y="904875"/>
          <a:ext cx="75628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590550</xdr:colOff>
      <xdr:row>8</xdr:row>
      <xdr:rowOff>0</xdr:rowOff>
    </xdr:from>
    <xdr:to>
      <xdr:col>19</xdr:col>
      <xdr:colOff>0</xdr:colOff>
      <xdr:row>8</xdr:row>
      <xdr:rowOff>0</xdr:rowOff>
    </xdr:to>
    <xdr:sp macro="[0]!medDiscDos" textlink="">
      <xdr:nvSpPr>
        <xdr:cNvPr id="18836" name="Rectangle 404"/>
        <xdr:cNvSpPr>
          <a:spLocks noChangeArrowheads="1"/>
        </xdr:cNvSpPr>
      </xdr:nvSpPr>
      <xdr:spPr bwMode="auto">
        <a:xfrm>
          <a:off x="1628775" y="904875"/>
          <a:ext cx="75819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552450</xdr:colOff>
      <xdr:row>8</xdr:row>
      <xdr:rowOff>0</xdr:rowOff>
    </xdr:from>
    <xdr:to>
      <xdr:col>7</xdr:col>
      <xdr:colOff>266700</xdr:colOff>
      <xdr:row>8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561975</xdr:colOff>
      <xdr:row>8</xdr:row>
      <xdr:rowOff>0</xdr:rowOff>
    </xdr:from>
    <xdr:to>
      <xdr:col>11</xdr:col>
      <xdr:colOff>533400</xdr:colOff>
      <xdr:row>8</xdr:row>
      <xdr:rowOff>0</xdr:rowOff>
    </xdr:to>
    <xdr:sp macro="[0]!medDiscStandDos" textlink="">
      <xdr:nvSpPr>
        <xdr:cNvPr id="18842" name="Rectangle 410"/>
        <xdr:cNvSpPr>
          <a:spLocks noChangeArrowheads="1"/>
        </xdr:cNvSpPr>
      </xdr:nvSpPr>
      <xdr:spPr bwMode="auto">
        <a:xfrm>
          <a:off x="4067175" y="904875"/>
          <a:ext cx="20097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22</xdr:row>
      <xdr:rowOff>9525</xdr:rowOff>
    </xdr:from>
    <xdr:to>
      <xdr:col>8</xdr:col>
      <xdr:colOff>0</xdr:colOff>
      <xdr:row>22</xdr:row>
      <xdr:rowOff>247269</xdr:rowOff>
    </xdr:to>
    <xdr:sp macro="[0]!MedDisc_EnterMed_15" textlink="">
      <xdr:nvSpPr>
        <xdr:cNvPr id="18867" name="Rectangle 435"/>
        <xdr:cNvSpPr>
          <a:spLocks noChangeArrowheads="1"/>
        </xdr:cNvSpPr>
      </xdr:nvSpPr>
      <xdr:spPr bwMode="auto">
        <a:xfrm>
          <a:off x="636629" y="468206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21</xdr:row>
      <xdr:rowOff>9525</xdr:rowOff>
    </xdr:from>
    <xdr:to>
      <xdr:col>8</xdr:col>
      <xdr:colOff>0</xdr:colOff>
      <xdr:row>21</xdr:row>
      <xdr:rowOff>247269</xdr:rowOff>
    </xdr:to>
    <xdr:sp macro="[0]!MedDisc_EnterMed_14" textlink="">
      <xdr:nvSpPr>
        <xdr:cNvPr id="18868" name="Rectangle 436"/>
        <xdr:cNvSpPr>
          <a:spLocks noChangeArrowheads="1"/>
        </xdr:cNvSpPr>
      </xdr:nvSpPr>
      <xdr:spPr bwMode="auto">
        <a:xfrm>
          <a:off x="636629" y="442832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20</xdr:row>
      <xdr:rowOff>9525</xdr:rowOff>
    </xdr:from>
    <xdr:to>
      <xdr:col>8</xdr:col>
      <xdr:colOff>0</xdr:colOff>
      <xdr:row>20</xdr:row>
      <xdr:rowOff>247269</xdr:rowOff>
    </xdr:to>
    <xdr:sp macro="[0]!MedDisc_EnterMed_13" textlink="">
      <xdr:nvSpPr>
        <xdr:cNvPr id="18869" name="Rectangle 437"/>
        <xdr:cNvSpPr>
          <a:spLocks noChangeArrowheads="1"/>
        </xdr:cNvSpPr>
      </xdr:nvSpPr>
      <xdr:spPr bwMode="auto">
        <a:xfrm>
          <a:off x="636629" y="417459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19</xdr:row>
      <xdr:rowOff>9525</xdr:rowOff>
    </xdr:from>
    <xdr:to>
      <xdr:col>8</xdr:col>
      <xdr:colOff>0</xdr:colOff>
      <xdr:row>19</xdr:row>
      <xdr:rowOff>247269</xdr:rowOff>
    </xdr:to>
    <xdr:sp macro="[0]!MedDisc_EnterMed_12" textlink="">
      <xdr:nvSpPr>
        <xdr:cNvPr id="18870" name="Rectangle 438"/>
        <xdr:cNvSpPr>
          <a:spLocks noChangeArrowheads="1"/>
        </xdr:cNvSpPr>
      </xdr:nvSpPr>
      <xdr:spPr bwMode="auto">
        <a:xfrm>
          <a:off x="636629" y="392085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18</xdr:row>
      <xdr:rowOff>9525</xdr:rowOff>
    </xdr:from>
    <xdr:to>
      <xdr:col>8</xdr:col>
      <xdr:colOff>0</xdr:colOff>
      <xdr:row>18</xdr:row>
      <xdr:rowOff>247269</xdr:rowOff>
    </xdr:to>
    <xdr:sp macro="[0]!MedDisc_EnterMed_11" textlink="">
      <xdr:nvSpPr>
        <xdr:cNvPr id="18871" name="Rectangle 439"/>
        <xdr:cNvSpPr>
          <a:spLocks noChangeArrowheads="1"/>
        </xdr:cNvSpPr>
      </xdr:nvSpPr>
      <xdr:spPr bwMode="auto">
        <a:xfrm>
          <a:off x="636629" y="366712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17</xdr:row>
      <xdr:rowOff>9525</xdr:rowOff>
    </xdr:from>
    <xdr:to>
      <xdr:col>8</xdr:col>
      <xdr:colOff>0</xdr:colOff>
      <xdr:row>17</xdr:row>
      <xdr:rowOff>247269</xdr:rowOff>
    </xdr:to>
    <xdr:sp macro="[0]!MedDisc_EnterMed_10" textlink="">
      <xdr:nvSpPr>
        <xdr:cNvPr id="18872" name="Rectangle 440"/>
        <xdr:cNvSpPr>
          <a:spLocks noChangeArrowheads="1"/>
        </xdr:cNvSpPr>
      </xdr:nvSpPr>
      <xdr:spPr bwMode="auto">
        <a:xfrm>
          <a:off x="636629" y="341339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16</xdr:row>
      <xdr:rowOff>9525</xdr:rowOff>
    </xdr:from>
    <xdr:to>
      <xdr:col>8</xdr:col>
      <xdr:colOff>0</xdr:colOff>
      <xdr:row>16</xdr:row>
      <xdr:rowOff>247269</xdr:rowOff>
    </xdr:to>
    <xdr:sp macro="[0]!MedDisc_EnterMed_09" textlink="">
      <xdr:nvSpPr>
        <xdr:cNvPr id="18873" name="Rectangle 441"/>
        <xdr:cNvSpPr>
          <a:spLocks noChangeArrowheads="1"/>
        </xdr:cNvSpPr>
      </xdr:nvSpPr>
      <xdr:spPr bwMode="auto">
        <a:xfrm>
          <a:off x="636629" y="315965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15</xdr:row>
      <xdr:rowOff>9525</xdr:rowOff>
    </xdr:from>
    <xdr:to>
      <xdr:col>8</xdr:col>
      <xdr:colOff>0</xdr:colOff>
      <xdr:row>15</xdr:row>
      <xdr:rowOff>247269</xdr:rowOff>
    </xdr:to>
    <xdr:sp macro="[0]!MedDisc_EnterMed_08" textlink="">
      <xdr:nvSpPr>
        <xdr:cNvPr id="18874" name="Rectangle 442"/>
        <xdr:cNvSpPr>
          <a:spLocks noChangeArrowheads="1"/>
        </xdr:cNvSpPr>
      </xdr:nvSpPr>
      <xdr:spPr bwMode="auto">
        <a:xfrm>
          <a:off x="636629" y="290592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14</xdr:row>
      <xdr:rowOff>9525</xdr:rowOff>
    </xdr:from>
    <xdr:to>
      <xdr:col>8</xdr:col>
      <xdr:colOff>0</xdr:colOff>
      <xdr:row>14</xdr:row>
      <xdr:rowOff>247269</xdr:rowOff>
    </xdr:to>
    <xdr:sp macro="[0]!MedDisc_EnterMed_07" textlink="">
      <xdr:nvSpPr>
        <xdr:cNvPr id="18875" name="Rectangle 443"/>
        <xdr:cNvSpPr>
          <a:spLocks noChangeArrowheads="1"/>
        </xdr:cNvSpPr>
      </xdr:nvSpPr>
      <xdr:spPr bwMode="auto">
        <a:xfrm>
          <a:off x="636629" y="265218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13</xdr:row>
      <xdr:rowOff>9525</xdr:rowOff>
    </xdr:from>
    <xdr:to>
      <xdr:col>8</xdr:col>
      <xdr:colOff>0</xdr:colOff>
      <xdr:row>13</xdr:row>
      <xdr:rowOff>247269</xdr:rowOff>
    </xdr:to>
    <xdr:sp macro="[0]!MedDisc_EnterMed_06" textlink="">
      <xdr:nvSpPr>
        <xdr:cNvPr id="18876" name="Rectangle 444"/>
        <xdr:cNvSpPr>
          <a:spLocks noChangeArrowheads="1"/>
        </xdr:cNvSpPr>
      </xdr:nvSpPr>
      <xdr:spPr bwMode="auto">
        <a:xfrm>
          <a:off x="636629" y="239845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12</xdr:row>
      <xdr:rowOff>9525</xdr:rowOff>
    </xdr:from>
    <xdr:to>
      <xdr:col>8</xdr:col>
      <xdr:colOff>0</xdr:colOff>
      <xdr:row>12</xdr:row>
      <xdr:rowOff>247269</xdr:rowOff>
    </xdr:to>
    <xdr:sp macro="[0]!MedDisc_EnterMed_05" textlink="">
      <xdr:nvSpPr>
        <xdr:cNvPr id="18877" name="Rectangle 445"/>
        <xdr:cNvSpPr>
          <a:spLocks noChangeArrowheads="1"/>
        </xdr:cNvSpPr>
      </xdr:nvSpPr>
      <xdr:spPr bwMode="auto">
        <a:xfrm>
          <a:off x="636629" y="214472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11</xdr:row>
      <xdr:rowOff>9525</xdr:rowOff>
    </xdr:from>
    <xdr:to>
      <xdr:col>8</xdr:col>
      <xdr:colOff>0</xdr:colOff>
      <xdr:row>11</xdr:row>
      <xdr:rowOff>247269</xdr:rowOff>
    </xdr:to>
    <xdr:sp macro="[0]!MedDisc_EnterMed_04" textlink="">
      <xdr:nvSpPr>
        <xdr:cNvPr id="18878" name="Rectangle 446"/>
        <xdr:cNvSpPr>
          <a:spLocks noChangeArrowheads="1"/>
        </xdr:cNvSpPr>
      </xdr:nvSpPr>
      <xdr:spPr bwMode="auto">
        <a:xfrm>
          <a:off x="636629" y="189098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10</xdr:row>
      <xdr:rowOff>9525</xdr:rowOff>
    </xdr:from>
    <xdr:to>
      <xdr:col>8</xdr:col>
      <xdr:colOff>0</xdr:colOff>
      <xdr:row>10</xdr:row>
      <xdr:rowOff>247269</xdr:rowOff>
    </xdr:to>
    <xdr:sp macro="[0]!MedDisc_EnterMed_03" textlink="">
      <xdr:nvSpPr>
        <xdr:cNvPr id="18879" name="Rectangle 447"/>
        <xdr:cNvSpPr>
          <a:spLocks noChangeArrowheads="1"/>
        </xdr:cNvSpPr>
      </xdr:nvSpPr>
      <xdr:spPr bwMode="auto">
        <a:xfrm>
          <a:off x="636629" y="163725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9</xdr:row>
      <xdr:rowOff>9525</xdr:rowOff>
    </xdr:from>
    <xdr:to>
      <xdr:col>8</xdr:col>
      <xdr:colOff>0</xdr:colOff>
      <xdr:row>9</xdr:row>
      <xdr:rowOff>247269</xdr:rowOff>
    </xdr:to>
    <xdr:sp macro="[0]!MedDisc_EnterMed_02" textlink="">
      <xdr:nvSpPr>
        <xdr:cNvPr id="18880" name="Rectangle 448"/>
        <xdr:cNvSpPr>
          <a:spLocks noChangeArrowheads="1"/>
        </xdr:cNvSpPr>
      </xdr:nvSpPr>
      <xdr:spPr bwMode="auto">
        <a:xfrm>
          <a:off x="636629" y="138351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8</xdr:row>
      <xdr:rowOff>9525</xdr:rowOff>
    </xdr:from>
    <xdr:to>
      <xdr:col>8</xdr:col>
      <xdr:colOff>0</xdr:colOff>
      <xdr:row>8</xdr:row>
      <xdr:rowOff>247269</xdr:rowOff>
    </xdr:to>
    <xdr:sp macro="[0]!MedDisc_EnterMed_01" textlink="">
      <xdr:nvSpPr>
        <xdr:cNvPr id="18881" name="Rectangle 449"/>
        <xdr:cNvSpPr>
          <a:spLocks noChangeArrowheads="1"/>
        </xdr:cNvSpPr>
      </xdr:nvSpPr>
      <xdr:spPr bwMode="auto">
        <a:xfrm>
          <a:off x="636629" y="112978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19150</xdr:colOff>
      <xdr:row>1</xdr:row>
      <xdr:rowOff>62234</xdr:rowOff>
    </xdr:from>
    <xdr:to>
      <xdr:col>10</xdr:col>
      <xdr:colOff>523875</xdr:colOff>
      <xdr:row>3</xdr:row>
      <xdr:rowOff>196284</xdr:rowOff>
    </xdr:to>
    <xdr:sp macro="[0]!EnterPatientDetails" textlink="">
      <xdr:nvSpPr>
        <xdr:cNvPr id="18887" name="Rectangle 455"/>
        <xdr:cNvSpPr>
          <a:spLocks noChangeArrowheads="1"/>
        </xdr:cNvSpPr>
      </xdr:nvSpPr>
      <xdr:spPr bwMode="auto">
        <a:xfrm flipV="1">
          <a:off x="952600" y="157484"/>
          <a:ext cx="4343300" cy="572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2" name="Drop Down 455" hidden="1">
              <a:extLst>
                <a:ext uri="{63B3BB69-23CF-44E3-9099-C40C66FF867C}">
                  <a14:compatExt spid="_x0000_s18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892" name="Drop Down 460" hidden="1">
              <a:extLst>
                <a:ext uri="{63B3BB69-23CF-44E3-9099-C40C66FF867C}">
                  <a14:compatExt spid="_x0000_s18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897" name="Drop Down 465" hidden="1">
              <a:extLst>
                <a:ext uri="{63B3BB69-23CF-44E3-9099-C40C66FF867C}">
                  <a14:compatExt spid="_x0000_s18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02" name="Drop Down 470" hidden="1">
              <a:extLst>
                <a:ext uri="{63B3BB69-23CF-44E3-9099-C40C66FF867C}">
                  <a14:compatExt spid="_x0000_s18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07" name="Drop Down 475" hidden="1">
              <a:extLst>
                <a:ext uri="{63B3BB69-23CF-44E3-9099-C40C66FF867C}">
                  <a14:compatExt spid="_x0000_s18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12" name="Drop Down 480" hidden="1">
              <a:extLst>
                <a:ext uri="{63B3BB69-23CF-44E3-9099-C40C66FF867C}">
                  <a14:compatExt spid="_x0000_s18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17" name="Drop Down 485" hidden="1">
              <a:extLst>
                <a:ext uri="{63B3BB69-23CF-44E3-9099-C40C66FF867C}">
                  <a14:compatExt spid="_x0000_s18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22" name="Drop Down 490" hidden="1">
              <a:extLst>
                <a:ext uri="{63B3BB69-23CF-44E3-9099-C40C66FF867C}">
                  <a14:compatExt spid="_x0000_s18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27" name="Drop Down 495" hidden="1">
              <a:extLst>
                <a:ext uri="{63B3BB69-23CF-44E3-9099-C40C66FF867C}">
                  <a14:compatExt spid="_x0000_s18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19050</xdr:colOff>
      <xdr:row>28</xdr:row>
      <xdr:rowOff>9525</xdr:rowOff>
    </xdr:from>
    <xdr:to>
      <xdr:col>8</xdr:col>
      <xdr:colOff>0</xdr:colOff>
      <xdr:row>28</xdr:row>
      <xdr:rowOff>247269</xdr:rowOff>
    </xdr:to>
    <xdr:sp macro="[0]!MedDisc_EnterMed_21" textlink="">
      <xdr:nvSpPr>
        <xdr:cNvPr id="226" name="Rectangle 402"/>
        <xdr:cNvSpPr>
          <a:spLocks noChangeArrowheads="1"/>
        </xdr:cNvSpPr>
      </xdr:nvSpPr>
      <xdr:spPr bwMode="auto">
        <a:xfrm>
          <a:off x="636629" y="620446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0" name="Drop Down 508" hidden="1">
              <a:extLst>
                <a:ext uri="{63B3BB69-23CF-44E3-9099-C40C66FF867C}">
                  <a14:compatExt spid="_x0000_s18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1" name="Drop Down 509" hidden="1">
              <a:extLst>
                <a:ext uri="{63B3BB69-23CF-44E3-9099-C40C66FF867C}">
                  <a14:compatExt spid="_x0000_s18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2" name="Drop Down 510" hidden="1">
              <a:extLst>
                <a:ext uri="{63B3BB69-23CF-44E3-9099-C40C66FF867C}">
                  <a14:compatExt spid="_x0000_s18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3" name="Drop Down 511" hidden="1">
              <a:extLst>
                <a:ext uri="{63B3BB69-23CF-44E3-9099-C40C66FF867C}">
                  <a14:compatExt spid="_x0000_s18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4" name="Drop Down 512" hidden="1">
              <a:extLst>
                <a:ext uri="{63B3BB69-23CF-44E3-9099-C40C66FF867C}">
                  <a14:compatExt spid="_x0000_s18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5" name="Drop Down 513" hidden="1">
              <a:extLst>
                <a:ext uri="{63B3BB69-23CF-44E3-9099-C40C66FF867C}">
                  <a14:compatExt spid="_x0000_s18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6" name="Drop Down 514" hidden="1">
              <a:extLst>
                <a:ext uri="{63B3BB69-23CF-44E3-9099-C40C66FF867C}">
                  <a14:compatExt spid="_x0000_s18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7" name="Drop Down 515" hidden="1">
              <a:extLst>
                <a:ext uri="{63B3BB69-23CF-44E3-9099-C40C66FF867C}">
                  <a14:compatExt spid="_x0000_s189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8" name="Drop Down 516" hidden="1">
              <a:extLst>
                <a:ext uri="{63B3BB69-23CF-44E3-9099-C40C66FF867C}">
                  <a14:compatExt spid="_x0000_s189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19050</xdr:colOff>
      <xdr:row>29</xdr:row>
      <xdr:rowOff>9525</xdr:rowOff>
    </xdr:from>
    <xdr:to>
      <xdr:col>8</xdr:col>
      <xdr:colOff>0</xdr:colOff>
      <xdr:row>29</xdr:row>
      <xdr:rowOff>247269</xdr:rowOff>
    </xdr:to>
    <xdr:sp macro="[0]!MedDisc_EnterMed_22" textlink="">
      <xdr:nvSpPr>
        <xdr:cNvPr id="243" name="Rectangle 402"/>
        <xdr:cNvSpPr>
          <a:spLocks noChangeArrowheads="1"/>
        </xdr:cNvSpPr>
      </xdr:nvSpPr>
      <xdr:spPr bwMode="auto">
        <a:xfrm>
          <a:off x="636629" y="645819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5" name="Drop Down 523" hidden="1">
              <a:extLst>
                <a:ext uri="{63B3BB69-23CF-44E3-9099-C40C66FF867C}">
                  <a14:compatExt spid="_x0000_s189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6" name="Drop Down 524" hidden="1">
              <a:extLst>
                <a:ext uri="{63B3BB69-23CF-44E3-9099-C40C66FF867C}">
                  <a14:compatExt spid="_x0000_s189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7" name="Drop Down 525" hidden="1">
              <a:extLst>
                <a:ext uri="{63B3BB69-23CF-44E3-9099-C40C66FF867C}">
                  <a14:compatExt spid="_x0000_s189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8" name="Drop Down 526" hidden="1">
              <a:extLst>
                <a:ext uri="{63B3BB69-23CF-44E3-9099-C40C66FF867C}">
                  <a14:compatExt spid="_x0000_s189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9" name="Drop Down 527" hidden="1">
              <a:extLst>
                <a:ext uri="{63B3BB69-23CF-44E3-9099-C40C66FF867C}">
                  <a14:compatExt spid="_x0000_s189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60" name="Drop Down 528" hidden="1">
              <a:extLst>
                <a:ext uri="{63B3BB69-23CF-44E3-9099-C40C66FF867C}">
                  <a14:compatExt spid="_x0000_s189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61" name="Drop Down 529" hidden="1">
              <a:extLst>
                <a:ext uri="{63B3BB69-23CF-44E3-9099-C40C66FF867C}">
                  <a14:compatExt spid="_x0000_s18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62" name="Drop Down 530" hidden="1">
              <a:extLst>
                <a:ext uri="{63B3BB69-23CF-44E3-9099-C40C66FF867C}">
                  <a14:compatExt spid="_x0000_s18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63" name="Drop Down 531" hidden="1">
              <a:extLst>
                <a:ext uri="{63B3BB69-23CF-44E3-9099-C40C66FF867C}">
                  <a14:compatExt spid="_x0000_s18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19050</xdr:colOff>
      <xdr:row>30</xdr:row>
      <xdr:rowOff>9525</xdr:rowOff>
    </xdr:from>
    <xdr:to>
      <xdr:col>8</xdr:col>
      <xdr:colOff>0</xdr:colOff>
      <xdr:row>30</xdr:row>
      <xdr:rowOff>247269</xdr:rowOff>
    </xdr:to>
    <xdr:sp macro="[0]!MedDisc_EnterMed_23" textlink="">
      <xdr:nvSpPr>
        <xdr:cNvPr id="197" name="Rectangle 402"/>
        <xdr:cNvSpPr>
          <a:spLocks noChangeArrowheads="1"/>
        </xdr:cNvSpPr>
      </xdr:nvSpPr>
      <xdr:spPr bwMode="auto">
        <a:xfrm>
          <a:off x="636629" y="671193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69" name="Drop Down 537" hidden="1">
              <a:extLst>
                <a:ext uri="{63B3BB69-23CF-44E3-9099-C40C66FF867C}">
                  <a14:compatExt spid="_x0000_s18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0" name="Drop Down 538" hidden="1">
              <a:extLst>
                <a:ext uri="{63B3BB69-23CF-44E3-9099-C40C66FF867C}">
                  <a14:compatExt spid="_x0000_s18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1" name="Drop Down 539" hidden="1">
              <a:extLst>
                <a:ext uri="{63B3BB69-23CF-44E3-9099-C40C66FF867C}">
                  <a14:compatExt spid="_x0000_s18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2" name="Drop Down 540" hidden="1">
              <a:extLst>
                <a:ext uri="{63B3BB69-23CF-44E3-9099-C40C66FF867C}">
                  <a14:compatExt spid="_x0000_s18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3" name="Drop Down 541" hidden="1">
              <a:extLst>
                <a:ext uri="{63B3BB69-23CF-44E3-9099-C40C66FF867C}">
                  <a14:compatExt spid="_x0000_s18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4" name="Drop Down 542" hidden="1">
              <a:extLst>
                <a:ext uri="{63B3BB69-23CF-44E3-9099-C40C66FF867C}">
                  <a14:compatExt spid="_x0000_s189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5" name="Drop Down 543" hidden="1">
              <a:extLst>
                <a:ext uri="{63B3BB69-23CF-44E3-9099-C40C66FF867C}">
                  <a14:compatExt spid="_x0000_s189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6" name="Drop Down 544" hidden="1">
              <a:extLst>
                <a:ext uri="{63B3BB69-23CF-44E3-9099-C40C66FF867C}">
                  <a14:compatExt spid="_x0000_s189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7" name="Drop Down 545" hidden="1">
              <a:extLst>
                <a:ext uri="{63B3BB69-23CF-44E3-9099-C40C66FF867C}">
                  <a14:compatExt spid="_x0000_s189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19050</xdr:colOff>
      <xdr:row>31</xdr:row>
      <xdr:rowOff>9525</xdr:rowOff>
    </xdr:from>
    <xdr:to>
      <xdr:col>8</xdr:col>
      <xdr:colOff>0</xdr:colOff>
      <xdr:row>31</xdr:row>
      <xdr:rowOff>247269</xdr:rowOff>
    </xdr:to>
    <xdr:sp macro="[0]!MedDisc_EnterMed_24" textlink="">
      <xdr:nvSpPr>
        <xdr:cNvPr id="213" name="Rectangle 402"/>
        <xdr:cNvSpPr>
          <a:spLocks noChangeArrowheads="1"/>
        </xdr:cNvSpPr>
      </xdr:nvSpPr>
      <xdr:spPr bwMode="auto">
        <a:xfrm>
          <a:off x="636629" y="696566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3" name="Drop Down 551" hidden="1">
              <a:extLst>
                <a:ext uri="{63B3BB69-23CF-44E3-9099-C40C66FF867C}">
                  <a14:compatExt spid="_x0000_s189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4" name="Drop Down 552" hidden="1">
              <a:extLst>
                <a:ext uri="{63B3BB69-23CF-44E3-9099-C40C66FF867C}">
                  <a14:compatExt spid="_x0000_s189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5" name="Drop Down 553" hidden="1">
              <a:extLst>
                <a:ext uri="{63B3BB69-23CF-44E3-9099-C40C66FF867C}">
                  <a14:compatExt spid="_x0000_s18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6" name="Drop Down 554" hidden="1">
              <a:extLst>
                <a:ext uri="{63B3BB69-23CF-44E3-9099-C40C66FF867C}">
                  <a14:compatExt spid="_x0000_s18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7" name="Drop Down 555" hidden="1">
              <a:extLst>
                <a:ext uri="{63B3BB69-23CF-44E3-9099-C40C66FF867C}">
                  <a14:compatExt spid="_x0000_s18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8" name="Drop Down 556" hidden="1">
              <a:extLst>
                <a:ext uri="{63B3BB69-23CF-44E3-9099-C40C66FF867C}">
                  <a14:compatExt spid="_x0000_s18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9" name="Drop Down 557" hidden="1">
              <a:extLst>
                <a:ext uri="{63B3BB69-23CF-44E3-9099-C40C66FF867C}">
                  <a14:compatExt spid="_x0000_s189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90" name="Drop Down 558" hidden="1">
              <a:extLst>
                <a:ext uri="{63B3BB69-23CF-44E3-9099-C40C66FF867C}">
                  <a14:compatExt spid="_x0000_s189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91" name="Drop Down 559" hidden="1">
              <a:extLst>
                <a:ext uri="{63B3BB69-23CF-44E3-9099-C40C66FF867C}">
                  <a14:compatExt spid="_x0000_s189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19050</xdr:colOff>
      <xdr:row>32</xdr:row>
      <xdr:rowOff>9525</xdr:rowOff>
    </xdr:from>
    <xdr:to>
      <xdr:col>8</xdr:col>
      <xdr:colOff>0</xdr:colOff>
      <xdr:row>32</xdr:row>
      <xdr:rowOff>247269</xdr:rowOff>
    </xdr:to>
    <xdr:sp macro="[0]!MedDisc_EnterMed_25" textlink="">
      <xdr:nvSpPr>
        <xdr:cNvPr id="229" name="Rectangle 402"/>
        <xdr:cNvSpPr>
          <a:spLocks noChangeArrowheads="1"/>
        </xdr:cNvSpPr>
      </xdr:nvSpPr>
      <xdr:spPr bwMode="auto">
        <a:xfrm>
          <a:off x="636629" y="721940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8997" name="Drop Down 565" hidden="1">
              <a:extLst>
                <a:ext uri="{63B3BB69-23CF-44E3-9099-C40C66FF867C}">
                  <a14:compatExt spid="_x0000_s189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8998" name="Drop Down 566" hidden="1">
              <a:extLst>
                <a:ext uri="{63B3BB69-23CF-44E3-9099-C40C66FF867C}">
                  <a14:compatExt spid="_x0000_s189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8999" name="Drop Down 567" hidden="1">
              <a:extLst>
                <a:ext uri="{63B3BB69-23CF-44E3-9099-C40C66FF867C}">
                  <a14:compatExt spid="_x0000_s189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0" name="Drop Down 568" hidden="1">
              <a:extLst>
                <a:ext uri="{63B3BB69-23CF-44E3-9099-C40C66FF867C}">
                  <a14:compatExt spid="_x0000_s190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1" name="Drop Down 569" hidden="1">
              <a:extLst>
                <a:ext uri="{63B3BB69-23CF-44E3-9099-C40C66FF867C}">
                  <a14:compatExt spid="_x0000_s190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2" name="Drop Down 570" hidden="1">
              <a:extLst>
                <a:ext uri="{63B3BB69-23CF-44E3-9099-C40C66FF867C}">
                  <a14:compatExt spid="_x0000_s190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3" name="Drop Down 571" hidden="1">
              <a:extLst>
                <a:ext uri="{63B3BB69-23CF-44E3-9099-C40C66FF867C}">
                  <a14:compatExt spid="_x0000_s190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4" name="Drop Down 572" hidden="1">
              <a:extLst>
                <a:ext uri="{63B3BB69-23CF-44E3-9099-C40C66FF867C}">
                  <a14:compatExt spid="_x0000_s190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5" name="Drop Down 573" hidden="1">
              <a:extLst>
                <a:ext uri="{63B3BB69-23CF-44E3-9099-C40C66FF867C}">
                  <a14:compatExt spid="_x0000_s190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19050</xdr:colOff>
      <xdr:row>33</xdr:row>
      <xdr:rowOff>9525</xdr:rowOff>
    </xdr:from>
    <xdr:to>
      <xdr:col>8</xdr:col>
      <xdr:colOff>0</xdr:colOff>
      <xdr:row>33</xdr:row>
      <xdr:rowOff>247269</xdr:rowOff>
    </xdr:to>
    <xdr:sp macro="[0]!MedDisc_EnterMed_26" textlink="">
      <xdr:nvSpPr>
        <xdr:cNvPr id="245" name="Rectangle 402"/>
        <xdr:cNvSpPr>
          <a:spLocks noChangeArrowheads="1"/>
        </xdr:cNvSpPr>
      </xdr:nvSpPr>
      <xdr:spPr bwMode="auto">
        <a:xfrm>
          <a:off x="636629" y="747313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1" name="Drop Down 579" hidden="1">
              <a:extLst>
                <a:ext uri="{63B3BB69-23CF-44E3-9099-C40C66FF867C}">
                  <a14:compatExt spid="_x0000_s190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2" name="Drop Down 580" hidden="1">
              <a:extLst>
                <a:ext uri="{63B3BB69-23CF-44E3-9099-C40C66FF867C}">
                  <a14:compatExt spid="_x0000_s190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3" name="Drop Down 581" hidden="1">
              <a:extLst>
                <a:ext uri="{63B3BB69-23CF-44E3-9099-C40C66FF867C}">
                  <a14:compatExt spid="_x0000_s190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4" name="Drop Down 582" hidden="1">
              <a:extLst>
                <a:ext uri="{63B3BB69-23CF-44E3-9099-C40C66FF867C}">
                  <a14:compatExt spid="_x0000_s190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5" name="Drop Down 583" hidden="1">
              <a:extLst>
                <a:ext uri="{63B3BB69-23CF-44E3-9099-C40C66FF867C}">
                  <a14:compatExt spid="_x0000_s190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6" name="Drop Down 584" hidden="1">
              <a:extLst>
                <a:ext uri="{63B3BB69-23CF-44E3-9099-C40C66FF867C}">
                  <a14:compatExt spid="_x0000_s190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7" name="Drop Down 585" hidden="1">
              <a:extLst>
                <a:ext uri="{63B3BB69-23CF-44E3-9099-C40C66FF867C}">
                  <a14:compatExt spid="_x0000_s190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8" name="Drop Down 586" hidden="1">
              <a:extLst>
                <a:ext uri="{63B3BB69-23CF-44E3-9099-C40C66FF867C}">
                  <a14:compatExt spid="_x0000_s190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9" name="Drop Down 587" hidden="1">
              <a:extLst>
                <a:ext uri="{63B3BB69-23CF-44E3-9099-C40C66FF867C}">
                  <a14:compatExt spid="_x0000_s190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19050</xdr:colOff>
      <xdr:row>34</xdr:row>
      <xdr:rowOff>9524</xdr:rowOff>
    </xdr:from>
    <xdr:to>
      <xdr:col>8</xdr:col>
      <xdr:colOff>0</xdr:colOff>
      <xdr:row>34</xdr:row>
      <xdr:rowOff>247268</xdr:rowOff>
    </xdr:to>
    <xdr:sp macro="[0]!MedDisc_EnterMed_27" textlink="">
      <xdr:nvSpPr>
        <xdr:cNvPr id="261" name="Rectangle 402"/>
        <xdr:cNvSpPr>
          <a:spLocks noChangeArrowheads="1"/>
        </xdr:cNvSpPr>
      </xdr:nvSpPr>
      <xdr:spPr bwMode="auto">
        <a:xfrm>
          <a:off x="636629" y="772686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5" name="Drop Down 593" hidden="1">
              <a:extLst>
                <a:ext uri="{63B3BB69-23CF-44E3-9099-C40C66FF867C}">
                  <a14:compatExt spid="_x0000_s19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6" name="Drop Down 594" hidden="1">
              <a:extLst>
                <a:ext uri="{63B3BB69-23CF-44E3-9099-C40C66FF867C}">
                  <a14:compatExt spid="_x0000_s19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7" name="Drop Down 595" hidden="1">
              <a:extLst>
                <a:ext uri="{63B3BB69-23CF-44E3-9099-C40C66FF867C}">
                  <a14:compatExt spid="_x0000_s19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8" name="Drop Down 596" hidden="1">
              <a:extLst>
                <a:ext uri="{63B3BB69-23CF-44E3-9099-C40C66FF867C}">
                  <a14:compatExt spid="_x0000_s19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9" name="Drop Down 597" hidden="1">
              <a:extLst>
                <a:ext uri="{63B3BB69-23CF-44E3-9099-C40C66FF867C}">
                  <a14:compatExt spid="_x0000_s19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30" name="Drop Down 598" hidden="1">
              <a:extLst>
                <a:ext uri="{63B3BB69-23CF-44E3-9099-C40C66FF867C}">
                  <a14:compatExt spid="_x0000_s19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31" name="Drop Down 599" hidden="1">
              <a:extLst>
                <a:ext uri="{63B3BB69-23CF-44E3-9099-C40C66FF867C}">
                  <a14:compatExt spid="_x0000_s19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32" name="Drop Down 600" hidden="1">
              <a:extLst>
                <a:ext uri="{63B3BB69-23CF-44E3-9099-C40C66FF867C}">
                  <a14:compatExt spid="_x0000_s19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33" name="Drop Down 601" hidden="1">
              <a:extLst>
                <a:ext uri="{63B3BB69-23CF-44E3-9099-C40C66FF867C}">
                  <a14:compatExt spid="_x0000_s19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19050</xdr:colOff>
      <xdr:row>35</xdr:row>
      <xdr:rowOff>9524</xdr:rowOff>
    </xdr:from>
    <xdr:to>
      <xdr:col>8</xdr:col>
      <xdr:colOff>0</xdr:colOff>
      <xdr:row>35</xdr:row>
      <xdr:rowOff>247268</xdr:rowOff>
    </xdr:to>
    <xdr:sp macro="[0]!MedDisc_EnterMed_28" textlink="">
      <xdr:nvSpPr>
        <xdr:cNvPr id="277" name="Rectangle 402"/>
        <xdr:cNvSpPr>
          <a:spLocks noChangeArrowheads="1"/>
        </xdr:cNvSpPr>
      </xdr:nvSpPr>
      <xdr:spPr bwMode="auto">
        <a:xfrm>
          <a:off x="636629" y="798060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39" name="Drop Down 607" hidden="1">
              <a:extLst>
                <a:ext uri="{63B3BB69-23CF-44E3-9099-C40C66FF867C}">
                  <a14:compatExt spid="_x0000_s19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0" name="Drop Down 608" hidden="1">
              <a:extLst>
                <a:ext uri="{63B3BB69-23CF-44E3-9099-C40C66FF867C}">
                  <a14:compatExt spid="_x0000_s19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1" name="Drop Down 609" hidden="1">
              <a:extLst>
                <a:ext uri="{63B3BB69-23CF-44E3-9099-C40C66FF867C}">
                  <a14:compatExt spid="_x0000_s19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2" name="Drop Down 610" hidden="1">
              <a:extLst>
                <a:ext uri="{63B3BB69-23CF-44E3-9099-C40C66FF867C}">
                  <a14:compatExt spid="_x0000_s19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3" name="Drop Down 611" hidden="1">
              <a:extLst>
                <a:ext uri="{63B3BB69-23CF-44E3-9099-C40C66FF867C}">
                  <a14:compatExt spid="_x0000_s19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4" name="Drop Down 612" hidden="1">
              <a:extLst>
                <a:ext uri="{63B3BB69-23CF-44E3-9099-C40C66FF867C}">
                  <a14:compatExt spid="_x0000_s19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5" name="Drop Down 613" hidden="1">
              <a:extLst>
                <a:ext uri="{63B3BB69-23CF-44E3-9099-C40C66FF867C}">
                  <a14:compatExt spid="_x0000_s19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6" name="Drop Down 614" hidden="1">
              <a:extLst>
                <a:ext uri="{63B3BB69-23CF-44E3-9099-C40C66FF867C}">
                  <a14:compatExt spid="_x0000_s19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7" name="Drop Down 615" hidden="1">
              <a:extLst>
                <a:ext uri="{63B3BB69-23CF-44E3-9099-C40C66FF867C}">
                  <a14:compatExt spid="_x0000_s19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19050</xdr:colOff>
      <xdr:row>36</xdr:row>
      <xdr:rowOff>9524</xdr:rowOff>
    </xdr:from>
    <xdr:to>
      <xdr:col>8</xdr:col>
      <xdr:colOff>0</xdr:colOff>
      <xdr:row>36</xdr:row>
      <xdr:rowOff>247268</xdr:rowOff>
    </xdr:to>
    <xdr:sp macro="[0]!MedDisc_EnterMed_29" textlink="">
      <xdr:nvSpPr>
        <xdr:cNvPr id="293" name="Rectangle 402"/>
        <xdr:cNvSpPr>
          <a:spLocks noChangeArrowheads="1"/>
        </xdr:cNvSpPr>
      </xdr:nvSpPr>
      <xdr:spPr bwMode="auto">
        <a:xfrm>
          <a:off x="636629" y="823433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3" name="Drop Down 621" hidden="1">
              <a:extLst>
                <a:ext uri="{63B3BB69-23CF-44E3-9099-C40C66FF867C}">
                  <a14:compatExt spid="_x0000_s19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4" name="Drop Down 622" hidden="1">
              <a:extLst>
                <a:ext uri="{63B3BB69-23CF-44E3-9099-C40C66FF867C}">
                  <a14:compatExt spid="_x0000_s19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5" name="Drop Down 623" hidden="1">
              <a:extLst>
                <a:ext uri="{63B3BB69-23CF-44E3-9099-C40C66FF867C}">
                  <a14:compatExt spid="_x0000_s19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6" name="Drop Down 624" hidden="1">
              <a:extLst>
                <a:ext uri="{63B3BB69-23CF-44E3-9099-C40C66FF867C}">
                  <a14:compatExt spid="_x0000_s19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7" name="Drop Down 625" hidden="1">
              <a:extLst>
                <a:ext uri="{63B3BB69-23CF-44E3-9099-C40C66FF867C}">
                  <a14:compatExt spid="_x0000_s19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8" name="Drop Down 626" hidden="1">
              <a:extLst>
                <a:ext uri="{63B3BB69-23CF-44E3-9099-C40C66FF867C}">
                  <a14:compatExt spid="_x0000_s19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9" name="Drop Down 627" hidden="1">
              <a:extLst>
                <a:ext uri="{63B3BB69-23CF-44E3-9099-C40C66FF867C}">
                  <a14:compatExt spid="_x0000_s19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60" name="Drop Down 628" hidden="1">
              <a:extLst>
                <a:ext uri="{63B3BB69-23CF-44E3-9099-C40C66FF867C}">
                  <a14:compatExt spid="_x0000_s19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61" name="Drop Down 629" hidden="1">
              <a:extLst>
                <a:ext uri="{63B3BB69-23CF-44E3-9099-C40C66FF867C}">
                  <a14:compatExt spid="_x0000_s19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497892</xdr:colOff>
          <xdr:row>8</xdr:row>
          <xdr:rowOff>3</xdr:rowOff>
        </xdr:from>
        <xdr:to>
          <xdr:col>15</xdr:col>
          <xdr:colOff>777239</xdr:colOff>
          <xdr:row>37</xdr:row>
          <xdr:rowOff>199878</xdr:rowOff>
        </xdr:to>
        <xdr:grpSp>
          <xdr:nvGrpSpPr>
            <xdr:cNvPr id="7" name="Group 6"/>
            <xdr:cNvGrpSpPr/>
          </xdr:nvGrpSpPr>
          <xdr:grpSpPr>
            <a:xfrm>
              <a:off x="8098842" y="1409703"/>
              <a:ext cx="727022" cy="7381725"/>
              <a:chOff x="8272686" y="1148985"/>
              <a:chExt cx="777240" cy="7558156"/>
            </a:xfrm>
          </xdr:grpSpPr>
          <xdr:sp macro="" textlink="">
            <xdr:nvSpPr>
              <xdr:cNvPr id="18510" name="Drop Down 78" hidden="1">
                <a:extLst>
                  <a:ext uri="{63B3BB69-23CF-44E3-9099-C40C66FF867C}">
                    <a14:compatExt spid="_x0000_s18510"/>
                  </a:ext>
                </a:extLst>
              </xdr:cNvPr>
              <xdr:cNvSpPr/>
            </xdr:nvSpPr>
            <xdr:spPr bwMode="auto">
              <a:xfrm>
                <a:off x="8272686" y="1148985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559" name="Drop Down 127" hidden="1">
                <a:extLst>
                  <a:ext uri="{63B3BB69-23CF-44E3-9099-C40C66FF867C}">
                    <a14:compatExt spid="_x0000_s18559"/>
                  </a:ext>
                </a:extLst>
              </xdr:cNvPr>
              <xdr:cNvSpPr/>
            </xdr:nvSpPr>
            <xdr:spPr bwMode="auto">
              <a:xfrm>
                <a:off x="8272686" y="1401729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573" name="Drop Down 141" hidden="1">
                <a:extLst>
                  <a:ext uri="{63B3BB69-23CF-44E3-9099-C40C66FF867C}">
                    <a14:compatExt spid="_x0000_s18573"/>
                  </a:ext>
                </a:extLst>
              </xdr:cNvPr>
              <xdr:cNvSpPr/>
            </xdr:nvSpPr>
            <xdr:spPr bwMode="auto">
              <a:xfrm>
                <a:off x="8272686" y="1907216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580" name="Drop Down 148" hidden="1">
                <a:extLst>
                  <a:ext uri="{63B3BB69-23CF-44E3-9099-C40C66FF867C}">
                    <a14:compatExt spid="_x0000_s18580"/>
                  </a:ext>
                </a:extLst>
              </xdr:cNvPr>
              <xdr:cNvSpPr/>
            </xdr:nvSpPr>
            <xdr:spPr bwMode="auto">
              <a:xfrm>
                <a:off x="8272686" y="2159961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587" name="Drop Down 155" hidden="1">
                <a:extLst>
                  <a:ext uri="{63B3BB69-23CF-44E3-9099-C40C66FF867C}">
                    <a14:compatExt spid="_x0000_s18587"/>
                  </a:ext>
                </a:extLst>
              </xdr:cNvPr>
              <xdr:cNvSpPr/>
            </xdr:nvSpPr>
            <xdr:spPr bwMode="auto">
              <a:xfrm>
                <a:off x="8272686" y="2412705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594" name="Drop Down 162" hidden="1">
                <a:extLst>
                  <a:ext uri="{63B3BB69-23CF-44E3-9099-C40C66FF867C}">
                    <a14:compatExt spid="_x0000_s18594"/>
                  </a:ext>
                </a:extLst>
              </xdr:cNvPr>
              <xdr:cNvSpPr/>
            </xdr:nvSpPr>
            <xdr:spPr bwMode="auto">
              <a:xfrm>
                <a:off x="8272686" y="2665449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601" name="Drop Down 169" hidden="1">
                <a:extLst>
                  <a:ext uri="{63B3BB69-23CF-44E3-9099-C40C66FF867C}">
                    <a14:compatExt spid="_x0000_s18601"/>
                  </a:ext>
                </a:extLst>
              </xdr:cNvPr>
              <xdr:cNvSpPr/>
            </xdr:nvSpPr>
            <xdr:spPr bwMode="auto">
              <a:xfrm>
                <a:off x="8272686" y="2918193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608" name="Drop Down 176" hidden="1">
                <a:extLst>
                  <a:ext uri="{63B3BB69-23CF-44E3-9099-C40C66FF867C}">
                    <a14:compatExt spid="_x0000_s18608"/>
                  </a:ext>
                </a:extLst>
              </xdr:cNvPr>
              <xdr:cNvSpPr/>
            </xdr:nvSpPr>
            <xdr:spPr bwMode="auto">
              <a:xfrm>
                <a:off x="8272686" y="3170937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615" name="Drop Down 183" hidden="1">
                <a:extLst>
                  <a:ext uri="{63B3BB69-23CF-44E3-9099-C40C66FF867C}">
                    <a14:compatExt spid="_x0000_s18615"/>
                  </a:ext>
                </a:extLst>
              </xdr:cNvPr>
              <xdr:cNvSpPr/>
            </xdr:nvSpPr>
            <xdr:spPr bwMode="auto">
              <a:xfrm>
                <a:off x="8272686" y="3423681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699" name="Drop Down 267" hidden="1">
                <a:extLst>
                  <a:ext uri="{63B3BB69-23CF-44E3-9099-C40C66FF867C}">
                    <a14:compatExt spid="_x0000_s18699"/>
                  </a:ext>
                </a:extLst>
              </xdr:cNvPr>
              <xdr:cNvSpPr/>
            </xdr:nvSpPr>
            <xdr:spPr bwMode="auto">
              <a:xfrm>
                <a:off x="8272686" y="3676425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706" name="Drop Down 274" hidden="1">
                <a:extLst>
                  <a:ext uri="{63B3BB69-23CF-44E3-9099-C40C66FF867C}">
                    <a14:compatExt spid="_x0000_s18706"/>
                  </a:ext>
                </a:extLst>
              </xdr:cNvPr>
              <xdr:cNvSpPr/>
            </xdr:nvSpPr>
            <xdr:spPr bwMode="auto">
              <a:xfrm>
                <a:off x="8272686" y="3929169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713" name="Drop Down 281" hidden="1">
                <a:extLst>
                  <a:ext uri="{63B3BB69-23CF-44E3-9099-C40C66FF867C}">
                    <a14:compatExt spid="_x0000_s18713"/>
                  </a:ext>
                </a:extLst>
              </xdr:cNvPr>
              <xdr:cNvSpPr/>
            </xdr:nvSpPr>
            <xdr:spPr bwMode="auto">
              <a:xfrm>
                <a:off x="8272686" y="4181913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720" name="Drop Down 288" hidden="1">
                <a:extLst>
                  <a:ext uri="{63B3BB69-23CF-44E3-9099-C40C66FF867C}">
                    <a14:compatExt spid="_x0000_s18720"/>
                  </a:ext>
                </a:extLst>
              </xdr:cNvPr>
              <xdr:cNvSpPr/>
            </xdr:nvSpPr>
            <xdr:spPr bwMode="auto">
              <a:xfrm>
                <a:off x="8272686" y="4434657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727" name="Drop Down 295" hidden="1">
                <a:extLst>
                  <a:ext uri="{63B3BB69-23CF-44E3-9099-C40C66FF867C}">
                    <a14:compatExt spid="_x0000_s18727"/>
                  </a:ext>
                </a:extLst>
              </xdr:cNvPr>
              <xdr:cNvSpPr/>
            </xdr:nvSpPr>
            <xdr:spPr bwMode="auto">
              <a:xfrm>
                <a:off x="8272686" y="4687401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734" name="Drop Down 302" hidden="1">
                <a:extLst>
                  <a:ext uri="{63B3BB69-23CF-44E3-9099-C40C66FF867C}">
                    <a14:compatExt spid="_x0000_s18734"/>
                  </a:ext>
                </a:extLst>
              </xdr:cNvPr>
              <xdr:cNvSpPr/>
            </xdr:nvSpPr>
            <xdr:spPr bwMode="auto">
              <a:xfrm>
                <a:off x="8272686" y="4940146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741" name="Drop Down 309" hidden="1">
                <a:extLst>
                  <a:ext uri="{63B3BB69-23CF-44E3-9099-C40C66FF867C}">
                    <a14:compatExt spid="_x0000_s18741"/>
                  </a:ext>
                </a:extLst>
              </xdr:cNvPr>
              <xdr:cNvSpPr/>
            </xdr:nvSpPr>
            <xdr:spPr bwMode="auto">
              <a:xfrm>
                <a:off x="8272686" y="5192888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748" name="Drop Down 316" hidden="1">
                <a:extLst>
                  <a:ext uri="{63B3BB69-23CF-44E3-9099-C40C66FF867C}">
                    <a14:compatExt spid="_x0000_s18748"/>
                  </a:ext>
                </a:extLst>
              </xdr:cNvPr>
              <xdr:cNvSpPr/>
            </xdr:nvSpPr>
            <xdr:spPr bwMode="auto">
              <a:xfrm>
                <a:off x="8272686" y="5445633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755" name="Drop Down 323" hidden="1">
                <a:extLst>
                  <a:ext uri="{63B3BB69-23CF-44E3-9099-C40C66FF867C}">
                    <a14:compatExt spid="_x0000_s18755"/>
                  </a:ext>
                </a:extLst>
              </xdr:cNvPr>
              <xdr:cNvSpPr/>
            </xdr:nvSpPr>
            <xdr:spPr bwMode="auto">
              <a:xfrm>
                <a:off x="8272686" y="5698377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762" name="Drop Down 330" hidden="1">
                <a:extLst>
                  <a:ext uri="{63B3BB69-23CF-44E3-9099-C40C66FF867C}">
                    <a14:compatExt spid="_x0000_s18762"/>
                  </a:ext>
                </a:extLst>
              </xdr:cNvPr>
              <xdr:cNvSpPr/>
            </xdr:nvSpPr>
            <xdr:spPr bwMode="auto">
              <a:xfrm>
                <a:off x="8272686" y="5951121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863" name="Drop Down 431" hidden="1">
                <a:extLst>
                  <a:ext uri="{63B3BB69-23CF-44E3-9099-C40C66FF867C}">
                    <a14:compatExt spid="_x0000_s18863"/>
                  </a:ext>
                </a:extLst>
              </xdr:cNvPr>
              <xdr:cNvSpPr/>
            </xdr:nvSpPr>
            <xdr:spPr bwMode="auto">
              <a:xfrm>
                <a:off x="8272686" y="1654473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932" name="Drop Down 500" hidden="1">
                <a:extLst>
                  <a:ext uri="{63B3BB69-23CF-44E3-9099-C40C66FF867C}">
                    <a14:compatExt spid="_x0000_s18932"/>
                  </a:ext>
                </a:extLst>
              </xdr:cNvPr>
              <xdr:cNvSpPr/>
            </xdr:nvSpPr>
            <xdr:spPr bwMode="auto">
              <a:xfrm>
                <a:off x="8272686" y="6203865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949" name="Drop Down 517" hidden="1">
                <a:extLst>
                  <a:ext uri="{63B3BB69-23CF-44E3-9099-C40C66FF867C}">
                    <a14:compatExt spid="_x0000_s18949"/>
                  </a:ext>
                </a:extLst>
              </xdr:cNvPr>
              <xdr:cNvSpPr/>
            </xdr:nvSpPr>
            <xdr:spPr bwMode="auto">
              <a:xfrm>
                <a:off x="8272686" y="6456609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964" name="Drop Down 532" hidden="1">
                <a:extLst>
                  <a:ext uri="{63B3BB69-23CF-44E3-9099-C40C66FF867C}">
                    <a14:compatExt spid="_x0000_s18964"/>
                  </a:ext>
                </a:extLst>
              </xdr:cNvPr>
              <xdr:cNvSpPr/>
            </xdr:nvSpPr>
            <xdr:spPr bwMode="auto">
              <a:xfrm>
                <a:off x="8272686" y="6709353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978" name="Drop Down 546" hidden="1">
                <a:extLst>
                  <a:ext uri="{63B3BB69-23CF-44E3-9099-C40C66FF867C}">
                    <a14:compatExt spid="_x0000_s18978"/>
                  </a:ext>
                </a:extLst>
              </xdr:cNvPr>
              <xdr:cNvSpPr/>
            </xdr:nvSpPr>
            <xdr:spPr bwMode="auto">
              <a:xfrm>
                <a:off x="8272686" y="6962097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992" name="Drop Down 560" hidden="1">
                <a:extLst>
                  <a:ext uri="{63B3BB69-23CF-44E3-9099-C40C66FF867C}">
                    <a14:compatExt spid="_x0000_s18992"/>
                  </a:ext>
                </a:extLst>
              </xdr:cNvPr>
              <xdr:cNvSpPr/>
            </xdr:nvSpPr>
            <xdr:spPr bwMode="auto">
              <a:xfrm>
                <a:off x="8272686" y="7214841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9006" name="Drop Down 574" hidden="1">
                <a:extLst>
                  <a:ext uri="{63B3BB69-23CF-44E3-9099-C40C66FF867C}">
                    <a14:compatExt spid="_x0000_s19006"/>
                  </a:ext>
                </a:extLst>
              </xdr:cNvPr>
              <xdr:cNvSpPr/>
            </xdr:nvSpPr>
            <xdr:spPr bwMode="auto">
              <a:xfrm>
                <a:off x="8272686" y="7467585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9020" name="Drop Down 588" hidden="1">
                <a:extLst>
                  <a:ext uri="{63B3BB69-23CF-44E3-9099-C40C66FF867C}">
                    <a14:compatExt spid="_x0000_s19020"/>
                  </a:ext>
                </a:extLst>
              </xdr:cNvPr>
              <xdr:cNvSpPr/>
            </xdr:nvSpPr>
            <xdr:spPr bwMode="auto">
              <a:xfrm>
                <a:off x="8272686" y="7720329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9034" name="Drop Down 602" hidden="1">
                <a:extLst>
                  <a:ext uri="{63B3BB69-23CF-44E3-9099-C40C66FF867C}">
                    <a14:compatExt spid="_x0000_s19034"/>
                  </a:ext>
                </a:extLst>
              </xdr:cNvPr>
              <xdr:cNvSpPr/>
            </xdr:nvSpPr>
            <xdr:spPr bwMode="auto">
              <a:xfrm>
                <a:off x="8272686" y="7973073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9048" name="Drop Down 616" hidden="1">
                <a:extLst>
                  <a:ext uri="{63B3BB69-23CF-44E3-9099-C40C66FF867C}">
                    <a14:compatExt spid="_x0000_s19048"/>
                  </a:ext>
                </a:extLst>
              </xdr:cNvPr>
              <xdr:cNvSpPr/>
            </xdr:nvSpPr>
            <xdr:spPr bwMode="auto">
              <a:xfrm>
                <a:off x="8272686" y="8225818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9062" name="Drop Down 630" hidden="1">
                <a:extLst>
                  <a:ext uri="{63B3BB69-23CF-44E3-9099-C40C66FF867C}">
                    <a14:compatExt spid="_x0000_s19062"/>
                  </a:ext>
                </a:extLst>
              </xdr:cNvPr>
              <xdr:cNvSpPr/>
            </xdr:nvSpPr>
            <xdr:spPr bwMode="auto">
              <a:xfrm>
                <a:off x="8272686" y="8478541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493394</xdr:colOff>
          <xdr:row>8</xdr:row>
          <xdr:rowOff>9575</xdr:rowOff>
        </xdr:from>
        <xdr:to>
          <xdr:col>8</xdr:col>
          <xdr:colOff>630554</xdr:colOff>
          <xdr:row>37</xdr:row>
          <xdr:rowOff>238175</xdr:rowOff>
        </xdr:to>
        <xdr:grpSp>
          <xdr:nvGrpSpPr>
            <xdr:cNvPr id="3" name="Group 2"/>
            <xdr:cNvGrpSpPr/>
          </xdr:nvGrpSpPr>
          <xdr:grpSpPr>
            <a:xfrm>
              <a:off x="4227194" y="1419275"/>
              <a:ext cx="137160" cy="7410450"/>
              <a:chOff x="3844300" y="1134621"/>
              <a:chExt cx="137160" cy="7586883"/>
            </a:xfrm>
          </xdr:grpSpPr>
          <xdr:sp macro="" textlink="">
            <xdr:nvSpPr>
              <xdr:cNvPr id="18502" name="Spinner 70" hidden="1">
                <a:extLst>
                  <a:ext uri="{63B3BB69-23CF-44E3-9099-C40C66FF867C}">
                    <a14:compatExt spid="_x0000_s18502"/>
                  </a:ext>
                </a:extLst>
              </xdr:cNvPr>
              <xdr:cNvSpPr/>
            </xdr:nvSpPr>
            <xdr:spPr bwMode="auto">
              <a:xfrm>
                <a:off x="3844300" y="1134621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62" name="Spinner 130" hidden="1">
                <a:extLst>
                  <a:ext uri="{63B3BB69-23CF-44E3-9099-C40C66FF867C}">
                    <a14:compatExt spid="_x0000_s18562"/>
                  </a:ext>
                </a:extLst>
              </xdr:cNvPr>
              <xdr:cNvSpPr/>
            </xdr:nvSpPr>
            <xdr:spPr bwMode="auto">
              <a:xfrm>
                <a:off x="3844300" y="1642091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69" name="Spinner 137" hidden="1">
                <a:extLst>
                  <a:ext uri="{63B3BB69-23CF-44E3-9099-C40C66FF867C}">
                    <a14:compatExt spid="_x0000_s18569"/>
                  </a:ext>
                </a:extLst>
              </xdr:cNvPr>
              <xdr:cNvSpPr/>
            </xdr:nvSpPr>
            <xdr:spPr bwMode="auto">
              <a:xfrm>
                <a:off x="3844300" y="1895825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76" name="Spinner 144" hidden="1">
                <a:extLst>
                  <a:ext uri="{63B3BB69-23CF-44E3-9099-C40C66FF867C}">
                    <a14:compatExt spid="_x0000_s18576"/>
                  </a:ext>
                </a:extLst>
              </xdr:cNvPr>
              <xdr:cNvSpPr/>
            </xdr:nvSpPr>
            <xdr:spPr bwMode="auto">
              <a:xfrm>
                <a:off x="3844300" y="2149559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83" name="Spinner 151" hidden="1">
                <a:extLst>
                  <a:ext uri="{63B3BB69-23CF-44E3-9099-C40C66FF867C}">
                    <a14:compatExt spid="_x0000_s18583"/>
                  </a:ext>
                </a:extLst>
              </xdr:cNvPr>
              <xdr:cNvSpPr/>
            </xdr:nvSpPr>
            <xdr:spPr bwMode="auto">
              <a:xfrm>
                <a:off x="3844300" y="2403293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90" name="Spinner 158" hidden="1">
                <a:extLst>
                  <a:ext uri="{63B3BB69-23CF-44E3-9099-C40C66FF867C}">
                    <a14:compatExt spid="_x0000_s18590"/>
                  </a:ext>
                </a:extLst>
              </xdr:cNvPr>
              <xdr:cNvSpPr/>
            </xdr:nvSpPr>
            <xdr:spPr bwMode="auto">
              <a:xfrm>
                <a:off x="3844300" y="2657027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97" name="Spinner 165" hidden="1">
                <a:extLst>
                  <a:ext uri="{63B3BB69-23CF-44E3-9099-C40C66FF867C}">
                    <a14:compatExt spid="_x0000_s18597"/>
                  </a:ext>
                </a:extLst>
              </xdr:cNvPr>
              <xdr:cNvSpPr/>
            </xdr:nvSpPr>
            <xdr:spPr bwMode="auto">
              <a:xfrm>
                <a:off x="3844300" y="2910761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604" name="Spinner 172" hidden="1">
                <a:extLst>
                  <a:ext uri="{63B3BB69-23CF-44E3-9099-C40C66FF867C}">
                    <a14:compatExt spid="_x0000_s18604"/>
                  </a:ext>
                </a:extLst>
              </xdr:cNvPr>
              <xdr:cNvSpPr/>
            </xdr:nvSpPr>
            <xdr:spPr bwMode="auto">
              <a:xfrm>
                <a:off x="3844300" y="3164496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611" name="Spinner 179" hidden="1">
                <a:extLst>
                  <a:ext uri="{63B3BB69-23CF-44E3-9099-C40C66FF867C}">
                    <a14:compatExt spid="_x0000_s18611"/>
                  </a:ext>
                </a:extLst>
              </xdr:cNvPr>
              <xdr:cNvSpPr/>
            </xdr:nvSpPr>
            <xdr:spPr bwMode="auto">
              <a:xfrm>
                <a:off x="3844300" y="3418229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695" name="Spinner 263" hidden="1">
                <a:extLst>
                  <a:ext uri="{63B3BB69-23CF-44E3-9099-C40C66FF867C}">
                    <a14:compatExt spid="_x0000_s18695"/>
                  </a:ext>
                </a:extLst>
              </xdr:cNvPr>
              <xdr:cNvSpPr/>
            </xdr:nvSpPr>
            <xdr:spPr bwMode="auto">
              <a:xfrm>
                <a:off x="3844300" y="3671963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02" name="Spinner 270" hidden="1">
                <a:extLst>
                  <a:ext uri="{63B3BB69-23CF-44E3-9099-C40C66FF867C}">
                    <a14:compatExt spid="_x0000_s18702"/>
                  </a:ext>
                </a:extLst>
              </xdr:cNvPr>
              <xdr:cNvSpPr/>
            </xdr:nvSpPr>
            <xdr:spPr bwMode="auto">
              <a:xfrm>
                <a:off x="3844300" y="3925697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09" name="Spinner 277" hidden="1">
                <a:extLst>
                  <a:ext uri="{63B3BB69-23CF-44E3-9099-C40C66FF867C}">
                    <a14:compatExt spid="_x0000_s18709"/>
                  </a:ext>
                </a:extLst>
              </xdr:cNvPr>
              <xdr:cNvSpPr/>
            </xdr:nvSpPr>
            <xdr:spPr bwMode="auto">
              <a:xfrm>
                <a:off x="3844300" y="4179431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16" name="Spinner 284" hidden="1">
                <a:extLst>
                  <a:ext uri="{63B3BB69-23CF-44E3-9099-C40C66FF867C}">
                    <a14:compatExt spid="_x0000_s18716"/>
                  </a:ext>
                </a:extLst>
              </xdr:cNvPr>
              <xdr:cNvSpPr/>
            </xdr:nvSpPr>
            <xdr:spPr bwMode="auto">
              <a:xfrm>
                <a:off x="3844300" y="4433166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23" name="Spinner 291" hidden="1">
                <a:extLst>
                  <a:ext uri="{63B3BB69-23CF-44E3-9099-C40C66FF867C}">
                    <a14:compatExt spid="_x0000_s18723"/>
                  </a:ext>
                </a:extLst>
              </xdr:cNvPr>
              <xdr:cNvSpPr/>
            </xdr:nvSpPr>
            <xdr:spPr bwMode="auto">
              <a:xfrm>
                <a:off x="3844300" y="4686899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30" name="Spinner 298" hidden="1">
                <a:extLst>
                  <a:ext uri="{63B3BB69-23CF-44E3-9099-C40C66FF867C}">
                    <a14:compatExt spid="_x0000_s18730"/>
                  </a:ext>
                </a:extLst>
              </xdr:cNvPr>
              <xdr:cNvSpPr/>
            </xdr:nvSpPr>
            <xdr:spPr bwMode="auto">
              <a:xfrm>
                <a:off x="3844300" y="4940633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37" name="Spinner 305" hidden="1">
                <a:extLst>
                  <a:ext uri="{63B3BB69-23CF-44E3-9099-C40C66FF867C}">
                    <a14:compatExt spid="_x0000_s18737"/>
                  </a:ext>
                </a:extLst>
              </xdr:cNvPr>
              <xdr:cNvSpPr/>
            </xdr:nvSpPr>
            <xdr:spPr bwMode="auto">
              <a:xfrm>
                <a:off x="3844300" y="5194367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44" name="Spinner 312" hidden="1">
                <a:extLst>
                  <a:ext uri="{63B3BB69-23CF-44E3-9099-C40C66FF867C}">
                    <a14:compatExt spid="_x0000_s18744"/>
                  </a:ext>
                </a:extLst>
              </xdr:cNvPr>
              <xdr:cNvSpPr/>
            </xdr:nvSpPr>
            <xdr:spPr bwMode="auto">
              <a:xfrm>
                <a:off x="3844300" y="5448101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51" name="Spinner 319" hidden="1">
                <a:extLst>
                  <a:ext uri="{63B3BB69-23CF-44E3-9099-C40C66FF867C}">
                    <a14:compatExt spid="_x0000_s18751"/>
                  </a:ext>
                </a:extLst>
              </xdr:cNvPr>
              <xdr:cNvSpPr/>
            </xdr:nvSpPr>
            <xdr:spPr bwMode="auto">
              <a:xfrm>
                <a:off x="3844300" y="5701835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58" name="Spinner 326" hidden="1">
                <a:extLst>
                  <a:ext uri="{63B3BB69-23CF-44E3-9099-C40C66FF867C}">
                    <a14:compatExt spid="_x0000_s18758"/>
                  </a:ext>
                </a:extLst>
              </xdr:cNvPr>
              <xdr:cNvSpPr/>
            </xdr:nvSpPr>
            <xdr:spPr bwMode="auto">
              <a:xfrm>
                <a:off x="3844300" y="5955569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96" name="Spinner 364" hidden="1">
                <a:extLst>
                  <a:ext uri="{63B3BB69-23CF-44E3-9099-C40C66FF867C}">
                    <a14:compatExt spid="_x0000_s18796"/>
                  </a:ext>
                </a:extLst>
              </xdr:cNvPr>
              <xdr:cNvSpPr/>
            </xdr:nvSpPr>
            <xdr:spPr bwMode="auto">
              <a:xfrm>
                <a:off x="3844300" y="1388357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35" name="Spinner 503" hidden="1">
                <a:extLst>
                  <a:ext uri="{63B3BB69-23CF-44E3-9099-C40C66FF867C}">
                    <a14:compatExt spid="_x0000_s18935"/>
                  </a:ext>
                </a:extLst>
              </xdr:cNvPr>
              <xdr:cNvSpPr/>
            </xdr:nvSpPr>
            <xdr:spPr bwMode="auto">
              <a:xfrm>
                <a:off x="3844300" y="6209303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50" name="Spinner 518" hidden="1">
                <a:extLst>
                  <a:ext uri="{63B3BB69-23CF-44E3-9099-C40C66FF867C}">
                    <a14:compatExt spid="_x0000_s18950"/>
                  </a:ext>
                </a:extLst>
              </xdr:cNvPr>
              <xdr:cNvSpPr/>
            </xdr:nvSpPr>
            <xdr:spPr bwMode="auto">
              <a:xfrm>
                <a:off x="3844300" y="6463037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65" name="Spinner 533" hidden="1">
                <a:extLst>
                  <a:ext uri="{63B3BB69-23CF-44E3-9099-C40C66FF867C}">
                    <a14:compatExt spid="_x0000_s18965"/>
                  </a:ext>
                </a:extLst>
              </xdr:cNvPr>
              <xdr:cNvSpPr/>
            </xdr:nvSpPr>
            <xdr:spPr bwMode="auto">
              <a:xfrm>
                <a:off x="3844300" y="6716771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79" name="Spinner 547" hidden="1">
                <a:extLst>
                  <a:ext uri="{63B3BB69-23CF-44E3-9099-C40C66FF867C}">
                    <a14:compatExt spid="_x0000_s18979"/>
                  </a:ext>
                </a:extLst>
              </xdr:cNvPr>
              <xdr:cNvSpPr/>
            </xdr:nvSpPr>
            <xdr:spPr bwMode="auto">
              <a:xfrm>
                <a:off x="3844300" y="6970504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93" name="Spinner 561" hidden="1">
                <a:extLst>
                  <a:ext uri="{63B3BB69-23CF-44E3-9099-C40C66FF867C}">
                    <a14:compatExt spid="_x0000_s18993"/>
                  </a:ext>
                </a:extLst>
              </xdr:cNvPr>
              <xdr:cNvSpPr/>
            </xdr:nvSpPr>
            <xdr:spPr bwMode="auto">
              <a:xfrm>
                <a:off x="3844300" y="7224239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07" name="Spinner 575" hidden="1">
                <a:extLst>
                  <a:ext uri="{63B3BB69-23CF-44E3-9099-C40C66FF867C}">
                    <a14:compatExt spid="_x0000_s19007"/>
                  </a:ext>
                </a:extLst>
              </xdr:cNvPr>
              <xdr:cNvSpPr/>
            </xdr:nvSpPr>
            <xdr:spPr bwMode="auto">
              <a:xfrm>
                <a:off x="3844300" y="7477973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21" name="Spinner 589" hidden="1">
                <a:extLst>
                  <a:ext uri="{63B3BB69-23CF-44E3-9099-C40C66FF867C}">
                    <a14:compatExt spid="_x0000_s19021"/>
                  </a:ext>
                </a:extLst>
              </xdr:cNvPr>
              <xdr:cNvSpPr/>
            </xdr:nvSpPr>
            <xdr:spPr bwMode="auto">
              <a:xfrm>
                <a:off x="3844300" y="7731708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35" name="Spinner 603" hidden="1">
                <a:extLst>
                  <a:ext uri="{63B3BB69-23CF-44E3-9099-C40C66FF867C}">
                    <a14:compatExt spid="_x0000_s19035"/>
                  </a:ext>
                </a:extLst>
              </xdr:cNvPr>
              <xdr:cNvSpPr/>
            </xdr:nvSpPr>
            <xdr:spPr bwMode="auto">
              <a:xfrm>
                <a:off x="3844300" y="7985442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49" name="Spinner 617" hidden="1">
                <a:extLst>
                  <a:ext uri="{63B3BB69-23CF-44E3-9099-C40C66FF867C}">
                    <a14:compatExt spid="_x0000_s19049"/>
                  </a:ext>
                </a:extLst>
              </xdr:cNvPr>
              <xdr:cNvSpPr/>
            </xdr:nvSpPr>
            <xdr:spPr bwMode="auto">
              <a:xfrm>
                <a:off x="3844300" y="8239176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63" name="Spinner 631" hidden="1">
                <a:extLst>
                  <a:ext uri="{63B3BB69-23CF-44E3-9099-C40C66FF867C}">
                    <a14:compatExt spid="_x0000_s19063"/>
                  </a:ext>
                </a:extLst>
              </xdr:cNvPr>
              <xdr:cNvSpPr/>
            </xdr:nvSpPr>
            <xdr:spPr bwMode="auto">
              <a:xfrm>
                <a:off x="3844300" y="8492904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8</xdr:row>
          <xdr:rowOff>9575</xdr:rowOff>
        </xdr:from>
        <xdr:to>
          <xdr:col>10</xdr:col>
          <xdr:colOff>134048</xdr:colOff>
          <xdr:row>37</xdr:row>
          <xdr:rowOff>239372</xdr:rowOff>
        </xdr:to>
        <xdr:grpSp>
          <xdr:nvGrpSpPr>
            <xdr:cNvPr id="4" name="Group 3"/>
            <xdr:cNvGrpSpPr/>
          </xdr:nvGrpSpPr>
          <xdr:grpSpPr>
            <a:xfrm>
              <a:off x="5086350" y="1419275"/>
              <a:ext cx="134048" cy="7411647"/>
              <a:chOff x="4753923" y="1129835"/>
              <a:chExt cx="134048" cy="7588084"/>
            </a:xfrm>
          </xdr:grpSpPr>
          <xdr:sp macro="" textlink="">
            <xdr:nvSpPr>
              <xdr:cNvPr id="18506" name="Spinner 74" hidden="1">
                <a:extLst>
                  <a:ext uri="{63B3BB69-23CF-44E3-9099-C40C66FF867C}">
                    <a14:compatExt spid="_x0000_s18506"/>
                  </a:ext>
                </a:extLst>
              </xdr:cNvPr>
              <xdr:cNvSpPr/>
            </xdr:nvSpPr>
            <xdr:spPr bwMode="auto">
              <a:xfrm>
                <a:off x="4753923" y="1129835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57" name="Spinner 125" hidden="1">
                <a:extLst>
                  <a:ext uri="{63B3BB69-23CF-44E3-9099-C40C66FF867C}">
                    <a14:compatExt spid="_x0000_s18557"/>
                  </a:ext>
                </a:extLst>
              </xdr:cNvPr>
              <xdr:cNvSpPr/>
            </xdr:nvSpPr>
            <xdr:spPr bwMode="auto">
              <a:xfrm>
                <a:off x="4753923" y="1383569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64" name="Spinner 132" hidden="1">
                <a:extLst>
                  <a:ext uri="{63B3BB69-23CF-44E3-9099-C40C66FF867C}">
                    <a14:compatExt spid="_x0000_s18564"/>
                  </a:ext>
                </a:extLst>
              </xdr:cNvPr>
              <xdr:cNvSpPr/>
            </xdr:nvSpPr>
            <xdr:spPr bwMode="auto">
              <a:xfrm>
                <a:off x="4753923" y="1637303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71" name="Spinner 139" hidden="1">
                <a:extLst>
                  <a:ext uri="{63B3BB69-23CF-44E3-9099-C40C66FF867C}">
                    <a14:compatExt spid="_x0000_s18571"/>
                  </a:ext>
                </a:extLst>
              </xdr:cNvPr>
              <xdr:cNvSpPr/>
            </xdr:nvSpPr>
            <xdr:spPr bwMode="auto">
              <a:xfrm>
                <a:off x="4753923" y="1891037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78" name="Spinner 146" hidden="1">
                <a:extLst>
                  <a:ext uri="{63B3BB69-23CF-44E3-9099-C40C66FF867C}">
                    <a14:compatExt spid="_x0000_s18578"/>
                  </a:ext>
                </a:extLst>
              </xdr:cNvPr>
              <xdr:cNvSpPr/>
            </xdr:nvSpPr>
            <xdr:spPr bwMode="auto">
              <a:xfrm>
                <a:off x="4753923" y="2144771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85" name="Spinner 153" hidden="1">
                <a:extLst>
                  <a:ext uri="{63B3BB69-23CF-44E3-9099-C40C66FF867C}">
                    <a14:compatExt spid="_x0000_s18585"/>
                  </a:ext>
                </a:extLst>
              </xdr:cNvPr>
              <xdr:cNvSpPr/>
            </xdr:nvSpPr>
            <xdr:spPr bwMode="auto">
              <a:xfrm>
                <a:off x="4753923" y="2398505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92" name="Spinner 160" hidden="1">
                <a:extLst>
                  <a:ext uri="{63B3BB69-23CF-44E3-9099-C40C66FF867C}">
                    <a14:compatExt spid="_x0000_s18592"/>
                  </a:ext>
                </a:extLst>
              </xdr:cNvPr>
              <xdr:cNvSpPr/>
            </xdr:nvSpPr>
            <xdr:spPr bwMode="auto">
              <a:xfrm>
                <a:off x="4753923" y="2652239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99" name="Spinner 167" hidden="1">
                <a:extLst>
                  <a:ext uri="{63B3BB69-23CF-44E3-9099-C40C66FF867C}">
                    <a14:compatExt spid="_x0000_s18599"/>
                  </a:ext>
                </a:extLst>
              </xdr:cNvPr>
              <xdr:cNvSpPr/>
            </xdr:nvSpPr>
            <xdr:spPr bwMode="auto">
              <a:xfrm>
                <a:off x="4753923" y="2905974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606" name="Spinner 174" hidden="1">
                <a:extLst>
                  <a:ext uri="{63B3BB69-23CF-44E3-9099-C40C66FF867C}">
                    <a14:compatExt spid="_x0000_s18606"/>
                  </a:ext>
                </a:extLst>
              </xdr:cNvPr>
              <xdr:cNvSpPr/>
            </xdr:nvSpPr>
            <xdr:spPr bwMode="auto">
              <a:xfrm>
                <a:off x="4753923" y="3159707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613" name="Spinner 181" hidden="1">
                <a:extLst>
                  <a:ext uri="{63B3BB69-23CF-44E3-9099-C40C66FF867C}">
                    <a14:compatExt spid="_x0000_s18613"/>
                  </a:ext>
                </a:extLst>
              </xdr:cNvPr>
              <xdr:cNvSpPr/>
            </xdr:nvSpPr>
            <xdr:spPr bwMode="auto">
              <a:xfrm>
                <a:off x="4753923" y="3413441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697" name="Spinner 265" hidden="1">
                <a:extLst>
                  <a:ext uri="{63B3BB69-23CF-44E3-9099-C40C66FF867C}">
                    <a14:compatExt spid="_x0000_s18697"/>
                  </a:ext>
                </a:extLst>
              </xdr:cNvPr>
              <xdr:cNvSpPr/>
            </xdr:nvSpPr>
            <xdr:spPr bwMode="auto">
              <a:xfrm>
                <a:off x="4753923" y="3667175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04" name="Spinner 272" hidden="1">
                <a:extLst>
                  <a:ext uri="{63B3BB69-23CF-44E3-9099-C40C66FF867C}">
                    <a14:compatExt spid="_x0000_s18704"/>
                  </a:ext>
                </a:extLst>
              </xdr:cNvPr>
              <xdr:cNvSpPr/>
            </xdr:nvSpPr>
            <xdr:spPr bwMode="auto">
              <a:xfrm>
                <a:off x="4753923" y="3920909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11" name="Spinner 279" hidden="1">
                <a:extLst>
                  <a:ext uri="{63B3BB69-23CF-44E3-9099-C40C66FF867C}">
                    <a14:compatExt spid="_x0000_s18711"/>
                  </a:ext>
                </a:extLst>
              </xdr:cNvPr>
              <xdr:cNvSpPr/>
            </xdr:nvSpPr>
            <xdr:spPr bwMode="auto">
              <a:xfrm>
                <a:off x="4753923" y="4174643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18" name="Spinner 286" hidden="1">
                <a:extLst>
                  <a:ext uri="{63B3BB69-23CF-44E3-9099-C40C66FF867C}">
                    <a14:compatExt spid="_x0000_s18718"/>
                  </a:ext>
                </a:extLst>
              </xdr:cNvPr>
              <xdr:cNvSpPr/>
            </xdr:nvSpPr>
            <xdr:spPr bwMode="auto">
              <a:xfrm>
                <a:off x="4753923" y="4428377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25" name="Spinner 293" hidden="1">
                <a:extLst>
                  <a:ext uri="{63B3BB69-23CF-44E3-9099-C40C66FF867C}">
                    <a14:compatExt spid="_x0000_s18725"/>
                  </a:ext>
                </a:extLst>
              </xdr:cNvPr>
              <xdr:cNvSpPr/>
            </xdr:nvSpPr>
            <xdr:spPr bwMode="auto">
              <a:xfrm>
                <a:off x="4753923" y="4682111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32" name="Spinner 300" hidden="1">
                <a:extLst>
                  <a:ext uri="{63B3BB69-23CF-44E3-9099-C40C66FF867C}">
                    <a14:compatExt spid="_x0000_s18732"/>
                  </a:ext>
                </a:extLst>
              </xdr:cNvPr>
              <xdr:cNvSpPr/>
            </xdr:nvSpPr>
            <xdr:spPr bwMode="auto">
              <a:xfrm>
                <a:off x="4753923" y="4935845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39" name="Spinner 307" hidden="1">
                <a:extLst>
                  <a:ext uri="{63B3BB69-23CF-44E3-9099-C40C66FF867C}">
                    <a14:compatExt spid="_x0000_s18739"/>
                  </a:ext>
                </a:extLst>
              </xdr:cNvPr>
              <xdr:cNvSpPr/>
            </xdr:nvSpPr>
            <xdr:spPr bwMode="auto">
              <a:xfrm>
                <a:off x="4753923" y="5189579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46" name="Spinner 314" hidden="1">
                <a:extLst>
                  <a:ext uri="{63B3BB69-23CF-44E3-9099-C40C66FF867C}">
                    <a14:compatExt spid="_x0000_s18746"/>
                  </a:ext>
                </a:extLst>
              </xdr:cNvPr>
              <xdr:cNvSpPr/>
            </xdr:nvSpPr>
            <xdr:spPr bwMode="auto">
              <a:xfrm>
                <a:off x="4753923" y="5443313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53" name="Spinner 321" hidden="1">
                <a:extLst>
                  <a:ext uri="{63B3BB69-23CF-44E3-9099-C40C66FF867C}">
                    <a14:compatExt spid="_x0000_s18753"/>
                  </a:ext>
                </a:extLst>
              </xdr:cNvPr>
              <xdr:cNvSpPr/>
            </xdr:nvSpPr>
            <xdr:spPr bwMode="auto">
              <a:xfrm>
                <a:off x="4753923" y="5697047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60" name="Spinner 328" hidden="1">
                <a:extLst>
                  <a:ext uri="{63B3BB69-23CF-44E3-9099-C40C66FF867C}">
                    <a14:compatExt spid="_x0000_s18760"/>
                  </a:ext>
                </a:extLst>
              </xdr:cNvPr>
              <xdr:cNvSpPr/>
            </xdr:nvSpPr>
            <xdr:spPr bwMode="auto">
              <a:xfrm>
                <a:off x="4753923" y="5950781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36" name="Spinner 504" hidden="1">
                <a:extLst>
                  <a:ext uri="{63B3BB69-23CF-44E3-9099-C40C66FF867C}">
                    <a14:compatExt spid="_x0000_s18936"/>
                  </a:ext>
                </a:extLst>
              </xdr:cNvPr>
              <xdr:cNvSpPr/>
            </xdr:nvSpPr>
            <xdr:spPr bwMode="auto">
              <a:xfrm>
                <a:off x="4753923" y="6204515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51" name="Spinner 519" hidden="1">
                <a:extLst>
                  <a:ext uri="{63B3BB69-23CF-44E3-9099-C40C66FF867C}">
                    <a14:compatExt spid="_x0000_s18951"/>
                  </a:ext>
                </a:extLst>
              </xdr:cNvPr>
              <xdr:cNvSpPr/>
            </xdr:nvSpPr>
            <xdr:spPr bwMode="auto">
              <a:xfrm>
                <a:off x="4753923" y="6458251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66" name="Spinner 534" hidden="1">
                <a:extLst>
                  <a:ext uri="{63B3BB69-23CF-44E3-9099-C40C66FF867C}">
                    <a14:compatExt spid="_x0000_s18966"/>
                  </a:ext>
                </a:extLst>
              </xdr:cNvPr>
              <xdr:cNvSpPr/>
            </xdr:nvSpPr>
            <xdr:spPr bwMode="auto">
              <a:xfrm>
                <a:off x="4753923" y="6711983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80" name="Spinner 548" hidden="1">
                <a:extLst>
                  <a:ext uri="{63B3BB69-23CF-44E3-9099-C40C66FF867C}">
                    <a14:compatExt spid="_x0000_s18980"/>
                  </a:ext>
                </a:extLst>
              </xdr:cNvPr>
              <xdr:cNvSpPr/>
            </xdr:nvSpPr>
            <xdr:spPr bwMode="auto">
              <a:xfrm>
                <a:off x="4753923" y="6965717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94" name="Spinner 562" hidden="1">
                <a:extLst>
                  <a:ext uri="{63B3BB69-23CF-44E3-9099-C40C66FF867C}">
                    <a14:compatExt spid="_x0000_s18994"/>
                  </a:ext>
                </a:extLst>
              </xdr:cNvPr>
              <xdr:cNvSpPr/>
            </xdr:nvSpPr>
            <xdr:spPr bwMode="auto">
              <a:xfrm>
                <a:off x="4753923" y="7219451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08" name="Spinner 576" hidden="1">
                <a:extLst>
                  <a:ext uri="{63B3BB69-23CF-44E3-9099-C40C66FF867C}">
                    <a14:compatExt spid="_x0000_s19008"/>
                  </a:ext>
                </a:extLst>
              </xdr:cNvPr>
              <xdr:cNvSpPr/>
            </xdr:nvSpPr>
            <xdr:spPr bwMode="auto">
              <a:xfrm>
                <a:off x="4753923" y="7473185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22" name="Spinner 590" hidden="1">
                <a:extLst>
                  <a:ext uri="{63B3BB69-23CF-44E3-9099-C40C66FF867C}">
                    <a14:compatExt spid="_x0000_s19022"/>
                  </a:ext>
                </a:extLst>
              </xdr:cNvPr>
              <xdr:cNvSpPr/>
            </xdr:nvSpPr>
            <xdr:spPr bwMode="auto">
              <a:xfrm>
                <a:off x="4753923" y="7726920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36" name="Spinner 604" hidden="1">
                <a:extLst>
                  <a:ext uri="{63B3BB69-23CF-44E3-9099-C40C66FF867C}">
                    <a14:compatExt spid="_x0000_s19036"/>
                  </a:ext>
                </a:extLst>
              </xdr:cNvPr>
              <xdr:cNvSpPr/>
            </xdr:nvSpPr>
            <xdr:spPr bwMode="auto">
              <a:xfrm>
                <a:off x="4753923" y="7980654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50" name="Spinner 618" hidden="1">
                <a:extLst>
                  <a:ext uri="{63B3BB69-23CF-44E3-9099-C40C66FF867C}">
                    <a14:compatExt spid="_x0000_s19050"/>
                  </a:ext>
                </a:extLst>
              </xdr:cNvPr>
              <xdr:cNvSpPr/>
            </xdr:nvSpPr>
            <xdr:spPr bwMode="auto">
              <a:xfrm>
                <a:off x="4753923" y="8234388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64" name="Spinner 632" hidden="1">
                <a:extLst>
                  <a:ext uri="{63B3BB69-23CF-44E3-9099-C40C66FF867C}">
                    <a14:compatExt spid="_x0000_s19064"/>
                  </a:ext>
                </a:extLst>
              </xdr:cNvPr>
              <xdr:cNvSpPr/>
            </xdr:nvSpPr>
            <xdr:spPr bwMode="auto">
              <a:xfrm>
                <a:off x="4753923" y="8488122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325593</xdr:colOff>
          <xdr:row>8</xdr:row>
          <xdr:rowOff>9575</xdr:rowOff>
        </xdr:from>
        <xdr:to>
          <xdr:col>14</xdr:col>
          <xdr:colOff>462753</xdr:colOff>
          <xdr:row>37</xdr:row>
          <xdr:rowOff>238175</xdr:rowOff>
        </xdr:to>
        <xdr:grpSp>
          <xdr:nvGrpSpPr>
            <xdr:cNvPr id="5" name="Group 4"/>
            <xdr:cNvGrpSpPr/>
          </xdr:nvGrpSpPr>
          <xdr:grpSpPr>
            <a:xfrm>
              <a:off x="7955118" y="1419275"/>
              <a:ext cx="137160" cy="7410450"/>
              <a:chOff x="8109913" y="1158559"/>
              <a:chExt cx="137160" cy="7586887"/>
            </a:xfrm>
          </xdr:grpSpPr>
          <xdr:sp macro="" textlink="">
            <xdr:nvSpPr>
              <xdr:cNvPr id="18511" name="Spinner 79" hidden="1">
                <a:extLst>
                  <a:ext uri="{63B3BB69-23CF-44E3-9099-C40C66FF867C}">
                    <a14:compatExt spid="_x0000_s18511"/>
                  </a:ext>
                </a:extLst>
              </xdr:cNvPr>
              <xdr:cNvSpPr/>
            </xdr:nvSpPr>
            <xdr:spPr bwMode="auto">
              <a:xfrm>
                <a:off x="8109913" y="1158559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60" name="Spinner 128" hidden="1">
                <a:extLst>
                  <a:ext uri="{63B3BB69-23CF-44E3-9099-C40C66FF867C}">
                    <a14:compatExt spid="_x0000_s18560"/>
                  </a:ext>
                </a:extLst>
              </xdr:cNvPr>
              <xdr:cNvSpPr/>
            </xdr:nvSpPr>
            <xdr:spPr bwMode="auto">
              <a:xfrm>
                <a:off x="8109913" y="1412293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67" name="Spinner 135" hidden="1">
                <a:extLst>
                  <a:ext uri="{63B3BB69-23CF-44E3-9099-C40C66FF867C}">
                    <a14:compatExt spid="_x0000_s18567"/>
                  </a:ext>
                </a:extLst>
              </xdr:cNvPr>
              <xdr:cNvSpPr/>
            </xdr:nvSpPr>
            <xdr:spPr bwMode="auto">
              <a:xfrm>
                <a:off x="8109913" y="1666027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74" name="Spinner 142" hidden="1">
                <a:extLst>
                  <a:ext uri="{63B3BB69-23CF-44E3-9099-C40C66FF867C}">
                    <a14:compatExt spid="_x0000_s18574"/>
                  </a:ext>
                </a:extLst>
              </xdr:cNvPr>
              <xdr:cNvSpPr/>
            </xdr:nvSpPr>
            <xdr:spPr bwMode="auto">
              <a:xfrm>
                <a:off x="8109913" y="1919761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81" name="Spinner 149" hidden="1">
                <a:extLst>
                  <a:ext uri="{63B3BB69-23CF-44E3-9099-C40C66FF867C}">
                    <a14:compatExt spid="_x0000_s18581"/>
                  </a:ext>
                </a:extLst>
              </xdr:cNvPr>
              <xdr:cNvSpPr/>
            </xdr:nvSpPr>
            <xdr:spPr bwMode="auto">
              <a:xfrm>
                <a:off x="8109913" y="2173495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88" name="Spinner 156" hidden="1">
                <a:extLst>
                  <a:ext uri="{63B3BB69-23CF-44E3-9099-C40C66FF867C}">
                    <a14:compatExt spid="_x0000_s18588"/>
                  </a:ext>
                </a:extLst>
              </xdr:cNvPr>
              <xdr:cNvSpPr/>
            </xdr:nvSpPr>
            <xdr:spPr bwMode="auto">
              <a:xfrm>
                <a:off x="8109913" y="2427229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95" name="Spinner 163" hidden="1">
                <a:extLst>
                  <a:ext uri="{63B3BB69-23CF-44E3-9099-C40C66FF867C}">
                    <a14:compatExt spid="_x0000_s18595"/>
                  </a:ext>
                </a:extLst>
              </xdr:cNvPr>
              <xdr:cNvSpPr/>
            </xdr:nvSpPr>
            <xdr:spPr bwMode="auto">
              <a:xfrm>
                <a:off x="8109913" y="2680963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602" name="Spinner 170" hidden="1">
                <a:extLst>
                  <a:ext uri="{63B3BB69-23CF-44E3-9099-C40C66FF867C}">
                    <a14:compatExt spid="_x0000_s18602"/>
                  </a:ext>
                </a:extLst>
              </xdr:cNvPr>
              <xdr:cNvSpPr/>
            </xdr:nvSpPr>
            <xdr:spPr bwMode="auto">
              <a:xfrm>
                <a:off x="8109913" y="2934697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609" name="Spinner 177" hidden="1">
                <a:extLst>
                  <a:ext uri="{63B3BB69-23CF-44E3-9099-C40C66FF867C}">
                    <a14:compatExt spid="_x0000_s18609"/>
                  </a:ext>
                </a:extLst>
              </xdr:cNvPr>
              <xdr:cNvSpPr/>
            </xdr:nvSpPr>
            <xdr:spPr bwMode="auto">
              <a:xfrm>
                <a:off x="8109913" y="3188431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616" name="Spinner 184" hidden="1">
                <a:extLst>
                  <a:ext uri="{63B3BB69-23CF-44E3-9099-C40C66FF867C}">
                    <a14:compatExt spid="_x0000_s18616"/>
                  </a:ext>
                </a:extLst>
              </xdr:cNvPr>
              <xdr:cNvSpPr/>
            </xdr:nvSpPr>
            <xdr:spPr bwMode="auto">
              <a:xfrm>
                <a:off x="8109913" y="3442165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00" name="Spinner 268" hidden="1">
                <a:extLst>
                  <a:ext uri="{63B3BB69-23CF-44E3-9099-C40C66FF867C}">
                    <a14:compatExt spid="_x0000_s18700"/>
                  </a:ext>
                </a:extLst>
              </xdr:cNvPr>
              <xdr:cNvSpPr/>
            </xdr:nvSpPr>
            <xdr:spPr bwMode="auto">
              <a:xfrm>
                <a:off x="8109913" y="3695899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07" name="Spinner 275" hidden="1">
                <a:extLst>
                  <a:ext uri="{63B3BB69-23CF-44E3-9099-C40C66FF867C}">
                    <a14:compatExt spid="_x0000_s18707"/>
                  </a:ext>
                </a:extLst>
              </xdr:cNvPr>
              <xdr:cNvSpPr/>
            </xdr:nvSpPr>
            <xdr:spPr bwMode="auto">
              <a:xfrm>
                <a:off x="8109913" y="3949633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14" name="Spinner 282" hidden="1">
                <a:extLst>
                  <a:ext uri="{63B3BB69-23CF-44E3-9099-C40C66FF867C}">
                    <a14:compatExt spid="_x0000_s18714"/>
                  </a:ext>
                </a:extLst>
              </xdr:cNvPr>
              <xdr:cNvSpPr/>
            </xdr:nvSpPr>
            <xdr:spPr bwMode="auto">
              <a:xfrm>
                <a:off x="8109913" y="4203367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21" name="Spinner 289" hidden="1">
                <a:extLst>
                  <a:ext uri="{63B3BB69-23CF-44E3-9099-C40C66FF867C}">
                    <a14:compatExt spid="_x0000_s18721"/>
                  </a:ext>
                </a:extLst>
              </xdr:cNvPr>
              <xdr:cNvSpPr/>
            </xdr:nvSpPr>
            <xdr:spPr bwMode="auto">
              <a:xfrm>
                <a:off x="8109913" y="4457101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28" name="Spinner 296" hidden="1">
                <a:extLst>
                  <a:ext uri="{63B3BB69-23CF-44E3-9099-C40C66FF867C}">
                    <a14:compatExt spid="_x0000_s18728"/>
                  </a:ext>
                </a:extLst>
              </xdr:cNvPr>
              <xdr:cNvSpPr/>
            </xdr:nvSpPr>
            <xdr:spPr bwMode="auto">
              <a:xfrm>
                <a:off x="8109913" y="4710835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35" name="Spinner 303" hidden="1">
                <a:extLst>
                  <a:ext uri="{63B3BB69-23CF-44E3-9099-C40C66FF867C}">
                    <a14:compatExt spid="_x0000_s18735"/>
                  </a:ext>
                </a:extLst>
              </xdr:cNvPr>
              <xdr:cNvSpPr/>
            </xdr:nvSpPr>
            <xdr:spPr bwMode="auto">
              <a:xfrm>
                <a:off x="8109913" y="4964569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42" name="Spinner 310" hidden="1">
                <a:extLst>
                  <a:ext uri="{63B3BB69-23CF-44E3-9099-C40C66FF867C}">
                    <a14:compatExt spid="_x0000_s18742"/>
                  </a:ext>
                </a:extLst>
              </xdr:cNvPr>
              <xdr:cNvSpPr/>
            </xdr:nvSpPr>
            <xdr:spPr bwMode="auto">
              <a:xfrm>
                <a:off x="8109913" y="5218303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49" name="Spinner 317" hidden="1">
                <a:extLst>
                  <a:ext uri="{63B3BB69-23CF-44E3-9099-C40C66FF867C}">
                    <a14:compatExt spid="_x0000_s18749"/>
                  </a:ext>
                </a:extLst>
              </xdr:cNvPr>
              <xdr:cNvSpPr/>
            </xdr:nvSpPr>
            <xdr:spPr bwMode="auto">
              <a:xfrm>
                <a:off x="8109913" y="5472037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56" name="Spinner 324" hidden="1">
                <a:extLst>
                  <a:ext uri="{63B3BB69-23CF-44E3-9099-C40C66FF867C}">
                    <a14:compatExt spid="_x0000_s18756"/>
                  </a:ext>
                </a:extLst>
              </xdr:cNvPr>
              <xdr:cNvSpPr/>
            </xdr:nvSpPr>
            <xdr:spPr bwMode="auto">
              <a:xfrm>
                <a:off x="8109913" y="5725771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63" name="Spinner 331" hidden="1">
                <a:extLst>
                  <a:ext uri="{63B3BB69-23CF-44E3-9099-C40C66FF867C}">
                    <a14:compatExt spid="_x0000_s18763"/>
                  </a:ext>
                </a:extLst>
              </xdr:cNvPr>
              <xdr:cNvSpPr/>
            </xdr:nvSpPr>
            <xdr:spPr bwMode="auto">
              <a:xfrm>
                <a:off x="8109913" y="5979506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38" name="Spinner 506" hidden="1">
                <a:extLst>
                  <a:ext uri="{63B3BB69-23CF-44E3-9099-C40C66FF867C}">
                    <a14:compatExt spid="_x0000_s18938"/>
                  </a:ext>
                </a:extLst>
              </xdr:cNvPr>
              <xdr:cNvSpPr/>
            </xdr:nvSpPr>
            <xdr:spPr bwMode="auto">
              <a:xfrm>
                <a:off x="8109913" y="6233239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53" name="Spinner 521" hidden="1">
                <a:extLst>
                  <a:ext uri="{63B3BB69-23CF-44E3-9099-C40C66FF867C}">
                    <a14:compatExt spid="_x0000_s18953"/>
                  </a:ext>
                </a:extLst>
              </xdr:cNvPr>
              <xdr:cNvSpPr/>
            </xdr:nvSpPr>
            <xdr:spPr bwMode="auto">
              <a:xfrm>
                <a:off x="8109913" y="6486973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67" name="Spinner 535" hidden="1">
                <a:extLst>
                  <a:ext uri="{63B3BB69-23CF-44E3-9099-C40C66FF867C}">
                    <a14:compatExt spid="_x0000_s18967"/>
                  </a:ext>
                </a:extLst>
              </xdr:cNvPr>
              <xdr:cNvSpPr/>
            </xdr:nvSpPr>
            <xdr:spPr bwMode="auto">
              <a:xfrm>
                <a:off x="8109913" y="6740707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81" name="Spinner 549" hidden="1">
                <a:extLst>
                  <a:ext uri="{63B3BB69-23CF-44E3-9099-C40C66FF867C}">
                    <a14:compatExt spid="_x0000_s18981"/>
                  </a:ext>
                </a:extLst>
              </xdr:cNvPr>
              <xdr:cNvSpPr/>
            </xdr:nvSpPr>
            <xdr:spPr bwMode="auto">
              <a:xfrm>
                <a:off x="8109913" y="6994441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95" name="Spinner 563" hidden="1">
                <a:extLst>
                  <a:ext uri="{63B3BB69-23CF-44E3-9099-C40C66FF867C}">
                    <a14:compatExt spid="_x0000_s18995"/>
                  </a:ext>
                </a:extLst>
              </xdr:cNvPr>
              <xdr:cNvSpPr/>
            </xdr:nvSpPr>
            <xdr:spPr bwMode="auto">
              <a:xfrm>
                <a:off x="8109913" y="7248175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09" name="Spinner 577" hidden="1">
                <a:extLst>
                  <a:ext uri="{63B3BB69-23CF-44E3-9099-C40C66FF867C}">
                    <a14:compatExt spid="_x0000_s19009"/>
                  </a:ext>
                </a:extLst>
              </xdr:cNvPr>
              <xdr:cNvSpPr/>
            </xdr:nvSpPr>
            <xdr:spPr bwMode="auto">
              <a:xfrm>
                <a:off x="8109913" y="7501909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23" name="Spinner 591" hidden="1">
                <a:extLst>
                  <a:ext uri="{63B3BB69-23CF-44E3-9099-C40C66FF867C}">
                    <a14:compatExt spid="_x0000_s19023"/>
                  </a:ext>
                </a:extLst>
              </xdr:cNvPr>
              <xdr:cNvSpPr/>
            </xdr:nvSpPr>
            <xdr:spPr bwMode="auto">
              <a:xfrm>
                <a:off x="8109913" y="7755643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37" name="Spinner 605" hidden="1">
                <a:extLst>
                  <a:ext uri="{63B3BB69-23CF-44E3-9099-C40C66FF867C}">
                    <a14:compatExt spid="_x0000_s19037"/>
                  </a:ext>
                </a:extLst>
              </xdr:cNvPr>
              <xdr:cNvSpPr/>
            </xdr:nvSpPr>
            <xdr:spPr bwMode="auto">
              <a:xfrm>
                <a:off x="8109913" y="8009377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51" name="Spinner 619" hidden="1">
                <a:extLst>
                  <a:ext uri="{63B3BB69-23CF-44E3-9099-C40C66FF867C}">
                    <a14:compatExt spid="_x0000_s19051"/>
                  </a:ext>
                </a:extLst>
              </xdr:cNvPr>
              <xdr:cNvSpPr/>
            </xdr:nvSpPr>
            <xdr:spPr bwMode="auto">
              <a:xfrm>
                <a:off x="8109913" y="8263111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65" name="Spinner 633" hidden="1">
                <a:extLst>
                  <a:ext uri="{63B3BB69-23CF-44E3-9099-C40C66FF867C}">
                    <a14:compatExt spid="_x0000_s19065"/>
                  </a:ext>
                </a:extLst>
              </xdr:cNvPr>
              <xdr:cNvSpPr/>
            </xdr:nvSpPr>
            <xdr:spPr bwMode="auto">
              <a:xfrm>
                <a:off x="8109913" y="8516846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502698</xdr:colOff>
          <xdr:row>8</xdr:row>
          <xdr:rowOff>9575</xdr:rowOff>
        </xdr:from>
        <xdr:to>
          <xdr:col>18</xdr:col>
          <xdr:colOff>30258</xdr:colOff>
          <xdr:row>37</xdr:row>
          <xdr:rowOff>238175</xdr:rowOff>
        </xdr:to>
        <xdr:grpSp>
          <xdr:nvGrpSpPr>
            <xdr:cNvPr id="6" name="Group 5"/>
            <xdr:cNvGrpSpPr/>
          </xdr:nvGrpSpPr>
          <xdr:grpSpPr>
            <a:xfrm>
              <a:off x="10008648" y="1419275"/>
              <a:ext cx="137160" cy="7410450"/>
              <a:chOff x="9833390" y="1158559"/>
              <a:chExt cx="134049" cy="7586887"/>
            </a:xfrm>
          </xdr:grpSpPr>
          <xdr:sp macro="" textlink="">
            <xdr:nvSpPr>
              <xdr:cNvPr id="18797" name="Spinner 365" hidden="1">
                <a:extLst>
                  <a:ext uri="{63B3BB69-23CF-44E3-9099-C40C66FF867C}">
                    <a14:compatExt spid="_x0000_s18797"/>
                  </a:ext>
                </a:extLst>
              </xdr:cNvPr>
              <xdr:cNvSpPr/>
            </xdr:nvSpPr>
            <xdr:spPr bwMode="auto">
              <a:xfrm>
                <a:off x="9833390" y="1158559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06" name="Spinner 374" hidden="1">
                <a:extLst>
                  <a:ext uri="{63B3BB69-23CF-44E3-9099-C40C66FF867C}">
                    <a14:compatExt spid="_x0000_s18806"/>
                  </a:ext>
                </a:extLst>
              </xdr:cNvPr>
              <xdr:cNvSpPr/>
            </xdr:nvSpPr>
            <xdr:spPr bwMode="auto">
              <a:xfrm>
                <a:off x="9833390" y="1412293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07" name="Spinner 375" hidden="1">
                <a:extLst>
                  <a:ext uri="{63B3BB69-23CF-44E3-9099-C40C66FF867C}">
                    <a14:compatExt spid="_x0000_s18807"/>
                  </a:ext>
                </a:extLst>
              </xdr:cNvPr>
              <xdr:cNvSpPr/>
            </xdr:nvSpPr>
            <xdr:spPr bwMode="auto">
              <a:xfrm>
                <a:off x="9833390" y="1666027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08" name="Spinner 376" hidden="1">
                <a:extLst>
                  <a:ext uri="{63B3BB69-23CF-44E3-9099-C40C66FF867C}">
                    <a14:compatExt spid="_x0000_s18808"/>
                  </a:ext>
                </a:extLst>
              </xdr:cNvPr>
              <xdr:cNvSpPr/>
            </xdr:nvSpPr>
            <xdr:spPr bwMode="auto">
              <a:xfrm>
                <a:off x="9833390" y="1919761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09" name="Spinner 377" hidden="1">
                <a:extLst>
                  <a:ext uri="{63B3BB69-23CF-44E3-9099-C40C66FF867C}">
                    <a14:compatExt spid="_x0000_s18809"/>
                  </a:ext>
                </a:extLst>
              </xdr:cNvPr>
              <xdr:cNvSpPr/>
            </xdr:nvSpPr>
            <xdr:spPr bwMode="auto">
              <a:xfrm>
                <a:off x="9833390" y="2173495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10" name="Spinner 378" hidden="1">
                <a:extLst>
                  <a:ext uri="{63B3BB69-23CF-44E3-9099-C40C66FF867C}">
                    <a14:compatExt spid="_x0000_s18810"/>
                  </a:ext>
                </a:extLst>
              </xdr:cNvPr>
              <xdr:cNvSpPr/>
            </xdr:nvSpPr>
            <xdr:spPr bwMode="auto">
              <a:xfrm>
                <a:off x="9833390" y="2427229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11" name="Spinner 379" hidden="1">
                <a:extLst>
                  <a:ext uri="{63B3BB69-23CF-44E3-9099-C40C66FF867C}">
                    <a14:compatExt spid="_x0000_s18811"/>
                  </a:ext>
                </a:extLst>
              </xdr:cNvPr>
              <xdr:cNvSpPr/>
            </xdr:nvSpPr>
            <xdr:spPr bwMode="auto">
              <a:xfrm>
                <a:off x="9833390" y="2680963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12" name="Spinner 380" hidden="1">
                <a:extLst>
                  <a:ext uri="{63B3BB69-23CF-44E3-9099-C40C66FF867C}">
                    <a14:compatExt spid="_x0000_s18812"/>
                  </a:ext>
                </a:extLst>
              </xdr:cNvPr>
              <xdr:cNvSpPr/>
            </xdr:nvSpPr>
            <xdr:spPr bwMode="auto">
              <a:xfrm>
                <a:off x="9833390" y="2934697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13" name="Spinner 381" hidden="1">
                <a:extLst>
                  <a:ext uri="{63B3BB69-23CF-44E3-9099-C40C66FF867C}">
                    <a14:compatExt spid="_x0000_s18813"/>
                  </a:ext>
                </a:extLst>
              </xdr:cNvPr>
              <xdr:cNvSpPr/>
            </xdr:nvSpPr>
            <xdr:spPr bwMode="auto">
              <a:xfrm>
                <a:off x="9833390" y="3188431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14" name="Spinner 382" hidden="1">
                <a:extLst>
                  <a:ext uri="{63B3BB69-23CF-44E3-9099-C40C66FF867C}">
                    <a14:compatExt spid="_x0000_s18814"/>
                  </a:ext>
                </a:extLst>
              </xdr:cNvPr>
              <xdr:cNvSpPr/>
            </xdr:nvSpPr>
            <xdr:spPr bwMode="auto">
              <a:xfrm>
                <a:off x="9833390" y="3442165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15" name="Spinner 383" hidden="1">
                <a:extLst>
                  <a:ext uri="{63B3BB69-23CF-44E3-9099-C40C66FF867C}">
                    <a14:compatExt spid="_x0000_s18815"/>
                  </a:ext>
                </a:extLst>
              </xdr:cNvPr>
              <xdr:cNvSpPr/>
            </xdr:nvSpPr>
            <xdr:spPr bwMode="auto">
              <a:xfrm>
                <a:off x="9833390" y="3695899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16" name="Spinner 384" hidden="1">
                <a:extLst>
                  <a:ext uri="{63B3BB69-23CF-44E3-9099-C40C66FF867C}">
                    <a14:compatExt spid="_x0000_s18816"/>
                  </a:ext>
                </a:extLst>
              </xdr:cNvPr>
              <xdr:cNvSpPr/>
            </xdr:nvSpPr>
            <xdr:spPr bwMode="auto">
              <a:xfrm>
                <a:off x="9833390" y="3949633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17" name="Spinner 385" hidden="1">
                <a:extLst>
                  <a:ext uri="{63B3BB69-23CF-44E3-9099-C40C66FF867C}">
                    <a14:compatExt spid="_x0000_s18817"/>
                  </a:ext>
                </a:extLst>
              </xdr:cNvPr>
              <xdr:cNvSpPr/>
            </xdr:nvSpPr>
            <xdr:spPr bwMode="auto">
              <a:xfrm>
                <a:off x="9833390" y="4203367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18" name="Spinner 386" hidden="1">
                <a:extLst>
                  <a:ext uri="{63B3BB69-23CF-44E3-9099-C40C66FF867C}">
                    <a14:compatExt spid="_x0000_s18818"/>
                  </a:ext>
                </a:extLst>
              </xdr:cNvPr>
              <xdr:cNvSpPr/>
            </xdr:nvSpPr>
            <xdr:spPr bwMode="auto">
              <a:xfrm>
                <a:off x="9833390" y="4457101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19" name="Spinner 387" hidden="1">
                <a:extLst>
                  <a:ext uri="{63B3BB69-23CF-44E3-9099-C40C66FF867C}">
                    <a14:compatExt spid="_x0000_s18819"/>
                  </a:ext>
                </a:extLst>
              </xdr:cNvPr>
              <xdr:cNvSpPr/>
            </xdr:nvSpPr>
            <xdr:spPr bwMode="auto">
              <a:xfrm>
                <a:off x="9833390" y="4710835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20" name="Spinner 388" hidden="1">
                <a:extLst>
                  <a:ext uri="{63B3BB69-23CF-44E3-9099-C40C66FF867C}">
                    <a14:compatExt spid="_x0000_s18820"/>
                  </a:ext>
                </a:extLst>
              </xdr:cNvPr>
              <xdr:cNvSpPr/>
            </xdr:nvSpPr>
            <xdr:spPr bwMode="auto">
              <a:xfrm>
                <a:off x="9833390" y="4964569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21" name="Spinner 389" hidden="1">
                <a:extLst>
                  <a:ext uri="{63B3BB69-23CF-44E3-9099-C40C66FF867C}">
                    <a14:compatExt spid="_x0000_s18821"/>
                  </a:ext>
                </a:extLst>
              </xdr:cNvPr>
              <xdr:cNvSpPr/>
            </xdr:nvSpPr>
            <xdr:spPr bwMode="auto">
              <a:xfrm>
                <a:off x="9833390" y="5218303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22" name="Spinner 390" hidden="1">
                <a:extLst>
                  <a:ext uri="{63B3BB69-23CF-44E3-9099-C40C66FF867C}">
                    <a14:compatExt spid="_x0000_s18822"/>
                  </a:ext>
                </a:extLst>
              </xdr:cNvPr>
              <xdr:cNvSpPr/>
            </xdr:nvSpPr>
            <xdr:spPr bwMode="auto">
              <a:xfrm>
                <a:off x="9833390" y="5472037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23" name="Spinner 391" hidden="1">
                <a:extLst>
                  <a:ext uri="{63B3BB69-23CF-44E3-9099-C40C66FF867C}">
                    <a14:compatExt spid="_x0000_s18823"/>
                  </a:ext>
                </a:extLst>
              </xdr:cNvPr>
              <xdr:cNvSpPr/>
            </xdr:nvSpPr>
            <xdr:spPr bwMode="auto">
              <a:xfrm>
                <a:off x="9833390" y="5725771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24" name="Spinner 392" hidden="1">
                <a:extLst>
                  <a:ext uri="{63B3BB69-23CF-44E3-9099-C40C66FF867C}">
                    <a14:compatExt spid="_x0000_s18824"/>
                  </a:ext>
                </a:extLst>
              </xdr:cNvPr>
              <xdr:cNvSpPr/>
            </xdr:nvSpPr>
            <xdr:spPr bwMode="auto">
              <a:xfrm>
                <a:off x="9833390" y="5979506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39" name="Spinner 507" hidden="1">
                <a:extLst>
                  <a:ext uri="{63B3BB69-23CF-44E3-9099-C40C66FF867C}">
                    <a14:compatExt spid="_x0000_s18939"/>
                  </a:ext>
                </a:extLst>
              </xdr:cNvPr>
              <xdr:cNvSpPr/>
            </xdr:nvSpPr>
            <xdr:spPr bwMode="auto">
              <a:xfrm>
                <a:off x="9833390" y="6233239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54" name="Spinner 522" hidden="1">
                <a:extLst>
                  <a:ext uri="{63B3BB69-23CF-44E3-9099-C40C66FF867C}">
                    <a14:compatExt spid="_x0000_s18954"/>
                  </a:ext>
                </a:extLst>
              </xdr:cNvPr>
              <xdr:cNvSpPr/>
            </xdr:nvSpPr>
            <xdr:spPr bwMode="auto">
              <a:xfrm>
                <a:off x="9833390" y="6486973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68" name="Spinner 536" hidden="1">
                <a:extLst>
                  <a:ext uri="{63B3BB69-23CF-44E3-9099-C40C66FF867C}">
                    <a14:compatExt spid="_x0000_s18968"/>
                  </a:ext>
                </a:extLst>
              </xdr:cNvPr>
              <xdr:cNvSpPr/>
            </xdr:nvSpPr>
            <xdr:spPr bwMode="auto">
              <a:xfrm>
                <a:off x="9833390" y="6740707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82" name="Spinner 550" hidden="1">
                <a:extLst>
                  <a:ext uri="{63B3BB69-23CF-44E3-9099-C40C66FF867C}">
                    <a14:compatExt spid="_x0000_s18982"/>
                  </a:ext>
                </a:extLst>
              </xdr:cNvPr>
              <xdr:cNvSpPr/>
            </xdr:nvSpPr>
            <xdr:spPr bwMode="auto">
              <a:xfrm>
                <a:off x="9833390" y="6994441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96" name="Spinner 564" hidden="1">
                <a:extLst>
                  <a:ext uri="{63B3BB69-23CF-44E3-9099-C40C66FF867C}">
                    <a14:compatExt spid="_x0000_s18996"/>
                  </a:ext>
                </a:extLst>
              </xdr:cNvPr>
              <xdr:cNvSpPr/>
            </xdr:nvSpPr>
            <xdr:spPr bwMode="auto">
              <a:xfrm>
                <a:off x="9833390" y="7248175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10" name="Spinner 578" hidden="1">
                <a:extLst>
                  <a:ext uri="{63B3BB69-23CF-44E3-9099-C40C66FF867C}">
                    <a14:compatExt spid="_x0000_s19010"/>
                  </a:ext>
                </a:extLst>
              </xdr:cNvPr>
              <xdr:cNvSpPr/>
            </xdr:nvSpPr>
            <xdr:spPr bwMode="auto">
              <a:xfrm>
                <a:off x="9833390" y="7501909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24" name="Spinner 592" hidden="1">
                <a:extLst>
                  <a:ext uri="{63B3BB69-23CF-44E3-9099-C40C66FF867C}">
                    <a14:compatExt spid="_x0000_s19024"/>
                  </a:ext>
                </a:extLst>
              </xdr:cNvPr>
              <xdr:cNvSpPr/>
            </xdr:nvSpPr>
            <xdr:spPr bwMode="auto">
              <a:xfrm>
                <a:off x="9833390" y="7755643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38" name="Spinner 606" hidden="1">
                <a:extLst>
                  <a:ext uri="{63B3BB69-23CF-44E3-9099-C40C66FF867C}">
                    <a14:compatExt spid="_x0000_s19038"/>
                  </a:ext>
                </a:extLst>
              </xdr:cNvPr>
              <xdr:cNvSpPr/>
            </xdr:nvSpPr>
            <xdr:spPr bwMode="auto">
              <a:xfrm>
                <a:off x="9833390" y="8009377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52" name="Spinner 620" hidden="1">
                <a:extLst>
                  <a:ext uri="{63B3BB69-23CF-44E3-9099-C40C66FF867C}">
                    <a14:compatExt spid="_x0000_s19052"/>
                  </a:ext>
                </a:extLst>
              </xdr:cNvPr>
              <xdr:cNvSpPr/>
            </xdr:nvSpPr>
            <xdr:spPr bwMode="auto">
              <a:xfrm>
                <a:off x="9833390" y="8263111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66" name="Spinner 634" hidden="1">
                <a:extLst>
                  <a:ext uri="{63B3BB69-23CF-44E3-9099-C40C66FF867C}">
                    <a14:compatExt spid="_x0000_s19066"/>
                  </a:ext>
                </a:extLst>
              </xdr:cNvPr>
              <xdr:cNvSpPr/>
            </xdr:nvSpPr>
            <xdr:spPr bwMode="auto">
              <a:xfrm>
                <a:off x="9833390" y="8516846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</xdr:grpSp>
        <xdr:clientData/>
      </xdr:twoCellAnchor>
    </mc:Choice>
    <mc:Fallback/>
  </mc:AlternateContent>
  <xdr:twoCellAnchor>
    <xdr:from>
      <xdr:col>4</xdr:col>
      <xdr:colOff>19050</xdr:colOff>
      <xdr:row>37</xdr:row>
      <xdr:rowOff>9525</xdr:rowOff>
    </xdr:from>
    <xdr:to>
      <xdr:col>8</xdr:col>
      <xdr:colOff>0</xdr:colOff>
      <xdr:row>37</xdr:row>
      <xdr:rowOff>247269</xdr:rowOff>
    </xdr:to>
    <xdr:sp macro="[0]!MedDisc_EnterMed_30" textlink="">
      <xdr:nvSpPr>
        <xdr:cNvPr id="309" name="Rectangle 402"/>
        <xdr:cNvSpPr>
          <a:spLocks noChangeArrowheads="1"/>
        </xdr:cNvSpPr>
      </xdr:nvSpPr>
      <xdr:spPr bwMode="auto">
        <a:xfrm>
          <a:off x="636629" y="8488072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1</xdr:col>
      <xdr:colOff>430869</xdr:colOff>
      <xdr:row>13</xdr:row>
      <xdr:rowOff>239373</xdr:rowOff>
    </xdr:to>
    <xdr:sp macro="" textlink="">
      <xdr:nvSpPr>
        <xdr:cNvPr id="316" name="Rectangle 455"/>
        <xdr:cNvSpPr>
          <a:spLocks noChangeArrowheads="1"/>
        </xdr:cNvSpPr>
      </xdr:nvSpPr>
      <xdr:spPr bwMode="auto">
        <a:xfrm flipV="1">
          <a:off x="0" y="3336842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1</xdr:col>
      <xdr:colOff>430869</xdr:colOff>
      <xdr:row>20</xdr:row>
      <xdr:rowOff>239373</xdr:rowOff>
    </xdr:to>
    <xdr:sp macro="" textlink="">
      <xdr:nvSpPr>
        <xdr:cNvPr id="323" name="Rectangle 455"/>
        <xdr:cNvSpPr>
          <a:spLocks noChangeArrowheads="1"/>
        </xdr:cNvSpPr>
      </xdr:nvSpPr>
      <xdr:spPr bwMode="auto">
        <a:xfrm flipV="1">
          <a:off x="0" y="6755070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33509</xdr:rowOff>
    </xdr:from>
    <xdr:to>
      <xdr:col>1</xdr:col>
      <xdr:colOff>365760</xdr:colOff>
      <xdr:row>8</xdr:row>
      <xdr:rowOff>216389</xdr:rowOff>
    </xdr:to>
    <xdr:sp macro="[0]!MedDisc_Clear_01" textlink="">
      <xdr:nvSpPr>
        <xdr:cNvPr id="343" name="Rectangle 115"/>
        <xdr:cNvSpPr>
          <a:spLocks noChangeArrowheads="1"/>
        </xdr:cNvSpPr>
      </xdr:nvSpPr>
      <xdr:spPr bwMode="auto">
        <a:xfrm flipV="1">
          <a:off x="0" y="115376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33509</xdr:rowOff>
    </xdr:from>
    <xdr:to>
      <xdr:col>1</xdr:col>
      <xdr:colOff>365760</xdr:colOff>
      <xdr:row>10</xdr:row>
      <xdr:rowOff>216389</xdr:rowOff>
    </xdr:to>
    <xdr:sp macro="[0]!MedDisc_Clear_03" textlink="">
      <xdr:nvSpPr>
        <xdr:cNvPr id="344" name="Rectangle 115"/>
        <xdr:cNvSpPr>
          <a:spLocks noChangeArrowheads="1"/>
        </xdr:cNvSpPr>
      </xdr:nvSpPr>
      <xdr:spPr bwMode="auto">
        <a:xfrm flipV="1">
          <a:off x="0" y="166123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33509</xdr:rowOff>
    </xdr:from>
    <xdr:to>
      <xdr:col>1</xdr:col>
      <xdr:colOff>365760</xdr:colOff>
      <xdr:row>12</xdr:row>
      <xdr:rowOff>216389</xdr:rowOff>
    </xdr:to>
    <xdr:sp macro="[0]!MedDisc_Clear_05" textlink="">
      <xdr:nvSpPr>
        <xdr:cNvPr id="345" name="Rectangle 115"/>
        <xdr:cNvSpPr>
          <a:spLocks noChangeArrowheads="1"/>
        </xdr:cNvSpPr>
      </xdr:nvSpPr>
      <xdr:spPr bwMode="auto">
        <a:xfrm flipV="1">
          <a:off x="0" y="216870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14</xdr:row>
      <xdr:rowOff>33509</xdr:rowOff>
    </xdr:from>
    <xdr:to>
      <xdr:col>1</xdr:col>
      <xdr:colOff>365760</xdr:colOff>
      <xdr:row>14</xdr:row>
      <xdr:rowOff>216389</xdr:rowOff>
    </xdr:to>
    <xdr:sp macro="[0]!MedDisc_Clear_07" textlink="">
      <xdr:nvSpPr>
        <xdr:cNvPr id="346" name="Rectangle 115"/>
        <xdr:cNvSpPr>
          <a:spLocks noChangeArrowheads="1"/>
        </xdr:cNvSpPr>
      </xdr:nvSpPr>
      <xdr:spPr bwMode="auto">
        <a:xfrm flipV="1">
          <a:off x="0" y="267617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16</xdr:row>
      <xdr:rowOff>33509</xdr:rowOff>
    </xdr:from>
    <xdr:to>
      <xdr:col>1</xdr:col>
      <xdr:colOff>365760</xdr:colOff>
      <xdr:row>16</xdr:row>
      <xdr:rowOff>216389</xdr:rowOff>
    </xdr:to>
    <xdr:sp macro="[0]!MedDisc_Clear_09" textlink="">
      <xdr:nvSpPr>
        <xdr:cNvPr id="347" name="Rectangle 115"/>
        <xdr:cNvSpPr>
          <a:spLocks noChangeArrowheads="1"/>
        </xdr:cNvSpPr>
      </xdr:nvSpPr>
      <xdr:spPr bwMode="auto">
        <a:xfrm flipV="1">
          <a:off x="0" y="318364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33509</xdr:rowOff>
    </xdr:from>
    <xdr:to>
      <xdr:col>1</xdr:col>
      <xdr:colOff>365760</xdr:colOff>
      <xdr:row>18</xdr:row>
      <xdr:rowOff>216389</xdr:rowOff>
    </xdr:to>
    <xdr:sp macro="[0]!MedDisc_Clear_11" textlink="">
      <xdr:nvSpPr>
        <xdr:cNvPr id="348" name="Rectangle 115"/>
        <xdr:cNvSpPr>
          <a:spLocks noChangeArrowheads="1"/>
        </xdr:cNvSpPr>
      </xdr:nvSpPr>
      <xdr:spPr bwMode="auto">
        <a:xfrm flipV="1">
          <a:off x="0" y="369110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20</xdr:row>
      <xdr:rowOff>33509</xdr:rowOff>
    </xdr:from>
    <xdr:to>
      <xdr:col>1</xdr:col>
      <xdr:colOff>365760</xdr:colOff>
      <xdr:row>20</xdr:row>
      <xdr:rowOff>216389</xdr:rowOff>
    </xdr:to>
    <xdr:sp macro="[0]!MedDisc_Clear_13" textlink="">
      <xdr:nvSpPr>
        <xdr:cNvPr id="349" name="Rectangle 115"/>
        <xdr:cNvSpPr>
          <a:spLocks noChangeArrowheads="1"/>
        </xdr:cNvSpPr>
      </xdr:nvSpPr>
      <xdr:spPr bwMode="auto">
        <a:xfrm flipV="1">
          <a:off x="0" y="419857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22</xdr:row>
      <xdr:rowOff>33509</xdr:rowOff>
    </xdr:from>
    <xdr:to>
      <xdr:col>1</xdr:col>
      <xdr:colOff>365760</xdr:colOff>
      <xdr:row>22</xdr:row>
      <xdr:rowOff>216389</xdr:rowOff>
    </xdr:to>
    <xdr:sp macro="[0]!MedDisc_Clear_15" textlink="">
      <xdr:nvSpPr>
        <xdr:cNvPr id="350" name="Rectangle 115"/>
        <xdr:cNvSpPr>
          <a:spLocks noChangeArrowheads="1"/>
        </xdr:cNvSpPr>
      </xdr:nvSpPr>
      <xdr:spPr bwMode="auto">
        <a:xfrm flipV="1">
          <a:off x="0" y="47060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24</xdr:row>
      <xdr:rowOff>33509</xdr:rowOff>
    </xdr:from>
    <xdr:to>
      <xdr:col>1</xdr:col>
      <xdr:colOff>365760</xdr:colOff>
      <xdr:row>24</xdr:row>
      <xdr:rowOff>216389</xdr:rowOff>
    </xdr:to>
    <xdr:sp macro="[0]!MedDisc_Clear_17" textlink="">
      <xdr:nvSpPr>
        <xdr:cNvPr id="351" name="Rectangle 115"/>
        <xdr:cNvSpPr>
          <a:spLocks noChangeArrowheads="1"/>
        </xdr:cNvSpPr>
      </xdr:nvSpPr>
      <xdr:spPr bwMode="auto">
        <a:xfrm flipV="1">
          <a:off x="0" y="52135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26</xdr:row>
      <xdr:rowOff>33509</xdr:rowOff>
    </xdr:from>
    <xdr:to>
      <xdr:col>1</xdr:col>
      <xdr:colOff>365760</xdr:colOff>
      <xdr:row>26</xdr:row>
      <xdr:rowOff>216389</xdr:rowOff>
    </xdr:to>
    <xdr:sp macro="[0]!MedDisc_Clear_19" textlink="">
      <xdr:nvSpPr>
        <xdr:cNvPr id="352" name="Rectangle 115"/>
        <xdr:cNvSpPr>
          <a:spLocks noChangeArrowheads="1"/>
        </xdr:cNvSpPr>
      </xdr:nvSpPr>
      <xdr:spPr bwMode="auto">
        <a:xfrm flipV="1">
          <a:off x="0" y="57209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33509</xdr:rowOff>
    </xdr:from>
    <xdr:to>
      <xdr:col>1</xdr:col>
      <xdr:colOff>365760</xdr:colOff>
      <xdr:row>28</xdr:row>
      <xdr:rowOff>216389</xdr:rowOff>
    </xdr:to>
    <xdr:sp macro="[0]!MedDisc_Clear_21" textlink="">
      <xdr:nvSpPr>
        <xdr:cNvPr id="353" name="Rectangle 115"/>
        <xdr:cNvSpPr>
          <a:spLocks noChangeArrowheads="1"/>
        </xdr:cNvSpPr>
      </xdr:nvSpPr>
      <xdr:spPr bwMode="auto">
        <a:xfrm flipV="1">
          <a:off x="0" y="62284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33509</xdr:rowOff>
    </xdr:from>
    <xdr:to>
      <xdr:col>1</xdr:col>
      <xdr:colOff>365760</xdr:colOff>
      <xdr:row>30</xdr:row>
      <xdr:rowOff>216389</xdr:rowOff>
    </xdr:to>
    <xdr:sp macro="[0]!MedDisc_PRN_23" textlink="">
      <xdr:nvSpPr>
        <xdr:cNvPr id="354" name="Rectangle 115"/>
        <xdr:cNvSpPr>
          <a:spLocks noChangeArrowheads="1"/>
        </xdr:cNvSpPr>
      </xdr:nvSpPr>
      <xdr:spPr bwMode="auto">
        <a:xfrm flipV="1">
          <a:off x="0" y="67359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33509</xdr:rowOff>
    </xdr:from>
    <xdr:to>
      <xdr:col>1</xdr:col>
      <xdr:colOff>365760</xdr:colOff>
      <xdr:row>32</xdr:row>
      <xdr:rowOff>216389</xdr:rowOff>
    </xdr:to>
    <xdr:sp macro="[0]!MedDisc_Clear_25" textlink="">
      <xdr:nvSpPr>
        <xdr:cNvPr id="355" name="Rectangle 115"/>
        <xdr:cNvSpPr>
          <a:spLocks noChangeArrowheads="1"/>
        </xdr:cNvSpPr>
      </xdr:nvSpPr>
      <xdr:spPr bwMode="auto">
        <a:xfrm flipV="1">
          <a:off x="0" y="72433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33509</xdr:rowOff>
    </xdr:from>
    <xdr:to>
      <xdr:col>1</xdr:col>
      <xdr:colOff>365760</xdr:colOff>
      <xdr:row>34</xdr:row>
      <xdr:rowOff>216389</xdr:rowOff>
    </xdr:to>
    <xdr:sp macro="[0]!MedDisc_Clear_27" textlink="">
      <xdr:nvSpPr>
        <xdr:cNvPr id="356" name="Rectangle 115"/>
        <xdr:cNvSpPr>
          <a:spLocks noChangeArrowheads="1"/>
        </xdr:cNvSpPr>
      </xdr:nvSpPr>
      <xdr:spPr bwMode="auto">
        <a:xfrm flipV="1">
          <a:off x="0" y="775085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33509</xdr:rowOff>
    </xdr:from>
    <xdr:to>
      <xdr:col>1</xdr:col>
      <xdr:colOff>365760</xdr:colOff>
      <xdr:row>36</xdr:row>
      <xdr:rowOff>216389</xdr:rowOff>
    </xdr:to>
    <xdr:sp macro="[0]!MedDisc_Clear_29" textlink="">
      <xdr:nvSpPr>
        <xdr:cNvPr id="357" name="Rectangle 115"/>
        <xdr:cNvSpPr>
          <a:spLocks noChangeArrowheads="1"/>
        </xdr:cNvSpPr>
      </xdr:nvSpPr>
      <xdr:spPr bwMode="auto">
        <a:xfrm flipV="1">
          <a:off x="0" y="825832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33509</xdr:rowOff>
    </xdr:from>
    <xdr:to>
      <xdr:col>1</xdr:col>
      <xdr:colOff>365760</xdr:colOff>
      <xdr:row>9</xdr:row>
      <xdr:rowOff>216389</xdr:rowOff>
    </xdr:to>
    <xdr:sp macro="[0]!MedDisc_Clear_02" textlink="">
      <xdr:nvSpPr>
        <xdr:cNvPr id="358" name="Rectangle 115"/>
        <xdr:cNvSpPr>
          <a:spLocks noChangeArrowheads="1"/>
        </xdr:cNvSpPr>
      </xdr:nvSpPr>
      <xdr:spPr bwMode="auto">
        <a:xfrm flipV="1">
          <a:off x="0" y="140750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33509</xdr:rowOff>
    </xdr:from>
    <xdr:to>
      <xdr:col>1</xdr:col>
      <xdr:colOff>365760</xdr:colOff>
      <xdr:row>11</xdr:row>
      <xdr:rowOff>216389</xdr:rowOff>
    </xdr:to>
    <xdr:sp macro="[0]!MedDisc_Clear_04" textlink="">
      <xdr:nvSpPr>
        <xdr:cNvPr id="359" name="Rectangle 115"/>
        <xdr:cNvSpPr>
          <a:spLocks noChangeArrowheads="1"/>
        </xdr:cNvSpPr>
      </xdr:nvSpPr>
      <xdr:spPr bwMode="auto">
        <a:xfrm flipV="1">
          <a:off x="0" y="191497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33509</xdr:rowOff>
    </xdr:from>
    <xdr:to>
      <xdr:col>1</xdr:col>
      <xdr:colOff>365760</xdr:colOff>
      <xdr:row>13</xdr:row>
      <xdr:rowOff>216389</xdr:rowOff>
    </xdr:to>
    <xdr:sp macro="[0]!MedDisc_Clear_06" textlink="">
      <xdr:nvSpPr>
        <xdr:cNvPr id="360" name="Rectangle 115"/>
        <xdr:cNvSpPr>
          <a:spLocks noChangeArrowheads="1"/>
        </xdr:cNvSpPr>
      </xdr:nvSpPr>
      <xdr:spPr bwMode="auto">
        <a:xfrm flipV="1">
          <a:off x="0" y="242243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33509</xdr:rowOff>
    </xdr:from>
    <xdr:to>
      <xdr:col>1</xdr:col>
      <xdr:colOff>365760</xdr:colOff>
      <xdr:row>15</xdr:row>
      <xdr:rowOff>216389</xdr:rowOff>
    </xdr:to>
    <xdr:sp macro="[0]!MedDisc_Clear_08" textlink="">
      <xdr:nvSpPr>
        <xdr:cNvPr id="361" name="Rectangle 115"/>
        <xdr:cNvSpPr>
          <a:spLocks noChangeArrowheads="1"/>
        </xdr:cNvSpPr>
      </xdr:nvSpPr>
      <xdr:spPr bwMode="auto">
        <a:xfrm flipV="1">
          <a:off x="0" y="292990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33509</xdr:rowOff>
    </xdr:from>
    <xdr:to>
      <xdr:col>1</xdr:col>
      <xdr:colOff>365760</xdr:colOff>
      <xdr:row>17</xdr:row>
      <xdr:rowOff>216389</xdr:rowOff>
    </xdr:to>
    <xdr:sp macro="[0]!MedDisc_Clear_10" textlink="">
      <xdr:nvSpPr>
        <xdr:cNvPr id="363" name="Rectangle 115"/>
        <xdr:cNvSpPr>
          <a:spLocks noChangeArrowheads="1"/>
        </xdr:cNvSpPr>
      </xdr:nvSpPr>
      <xdr:spPr bwMode="auto">
        <a:xfrm flipV="1">
          <a:off x="0" y="343737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19</xdr:row>
      <xdr:rowOff>33509</xdr:rowOff>
    </xdr:from>
    <xdr:to>
      <xdr:col>1</xdr:col>
      <xdr:colOff>365760</xdr:colOff>
      <xdr:row>19</xdr:row>
      <xdr:rowOff>216389</xdr:rowOff>
    </xdr:to>
    <xdr:sp macro="[0]!MedDisc_Clear_12" textlink="">
      <xdr:nvSpPr>
        <xdr:cNvPr id="364" name="Rectangle 115"/>
        <xdr:cNvSpPr>
          <a:spLocks noChangeArrowheads="1"/>
        </xdr:cNvSpPr>
      </xdr:nvSpPr>
      <xdr:spPr bwMode="auto">
        <a:xfrm flipV="1">
          <a:off x="0" y="394484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21</xdr:row>
      <xdr:rowOff>33509</xdr:rowOff>
    </xdr:from>
    <xdr:to>
      <xdr:col>1</xdr:col>
      <xdr:colOff>365760</xdr:colOff>
      <xdr:row>21</xdr:row>
      <xdr:rowOff>216389</xdr:rowOff>
    </xdr:to>
    <xdr:sp macro="[0]!MedDisc_Clear_14" textlink="">
      <xdr:nvSpPr>
        <xdr:cNvPr id="365" name="Rectangle 115"/>
        <xdr:cNvSpPr>
          <a:spLocks noChangeArrowheads="1"/>
        </xdr:cNvSpPr>
      </xdr:nvSpPr>
      <xdr:spPr bwMode="auto">
        <a:xfrm flipV="1">
          <a:off x="0" y="445231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33509</xdr:rowOff>
    </xdr:from>
    <xdr:to>
      <xdr:col>1</xdr:col>
      <xdr:colOff>365760</xdr:colOff>
      <xdr:row>23</xdr:row>
      <xdr:rowOff>216389</xdr:rowOff>
    </xdr:to>
    <xdr:sp macro="[0]!MedDisc_Clear_16" textlink="">
      <xdr:nvSpPr>
        <xdr:cNvPr id="366" name="Rectangle 115"/>
        <xdr:cNvSpPr>
          <a:spLocks noChangeArrowheads="1"/>
        </xdr:cNvSpPr>
      </xdr:nvSpPr>
      <xdr:spPr bwMode="auto">
        <a:xfrm flipV="1">
          <a:off x="0" y="49597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25</xdr:row>
      <xdr:rowOff>33509</xdr:rowOff>
    </xdr:from>
    <xdr:to>
      <xdr:col>1</xdr:col>
      <xdr:colOff>365760</xdr:colOff>
      <xdr:row>25</xdr:row>
      <xdr:rowOff>216389</xdr:rowOff>
    </xdr:to>
    <xdr:sp macro="[0]!MedDisc_Clear_18" textlink="">
      <xdr:nvSpPr>
        <xdr:cNvPr id="367" name="Rectangle 115"/>
        <xdr:cNvSpPr>
          <a:spLocks noChangeArrowheads="1"/>
        </xdr:cNvSpPr>
      </xdr:nvSpPr>
      <xdr:spPr bwMode="auto">
        <a:xfrm flipV="1">
          <a:off x="0" y="54672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33509</xdr:rowOff>
    </xdr:from>
    <xdr:to>
      <xdr:col>1</xdr:col>
      <xdr:colOff>365760</xdr:colOff>
      <xdr:row>27</xdr:row>
      <xdr:rowOff>216389</xdr:rowOff>
    </xdr:to>
    <xdr:sp macro="[0]!MedDisc_Clear_20" textlink="">
      <xdr:nvSpPr>
        <xdr:cNvPr id="368" name="Rectangle 115"/>
        <xdr:cNvSpPr>
          <a:spLocks noChangeArrowheads="1"/>
        </xdr:cNvSpPr>
      </xdr:nvSpPr>
      <xdr:spPr bwMode="auto">
        <a:xfrm flipV="1">
          <a:off x="0" y="59747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33509</xdr:rowOff>
    </xdr:from>
    <xdr:to>
      <xdr:col>1</xdr:col>
      <xdr:colOff>365760</xdr:colOff>
      <xdr:row>29</xdr:row>
      <xdr:rowOff>216389</xdr:rowOff>
    </xdr:to>
    <xdr:sp macro="[0]!MedDisc_Clear_22" textlink="">
      <xdr:nvSpPr>
        <xdr:cNvPr id="369" name="Rectangle 115"/>
        <xdr:cNvSpPr>
          <a:spLocks noChangeArrowheads="1"/>
        </xdr:cNvSpPr>
      </xdr:nvSpPr>
      <xdr:spPr bwMode="auto">
        <a:xfrm flipV="1">
          <a:off x="0" y="64821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33509</xdr:rowOff>
    </xdr:from>
    <xdr:to>
      <xdr:col>1</xdr:col>
      <xdr:colOff>365760</xdr:colOff>
      <xdr:row>31</xdr:row>
      <xdr:rowOff>216389</xdr:rowOff>
    </xdr:to>
    <xdr:sp macro="[0]!MedDisc_Clear_24" textlink="">
      <xdr:nvSpPr>
        <xdr:cNvPr id="370" name="Rectangle 115"/>
        <xdr:cNvSpPr>
          <a:spLocks noChangeArrowheads="1"/>
        </xdr:cNvSpPr>
      </xdr:nvSpPr>
      <xdr:spPr bwMode="auto">
        <a:xfrm flipV="1">
          <a:off x="0" y="69896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33509</xdr:rowOff>
    </xdr:from>
    <xdr:to>
      <xdr:col>1</xdr:col>
      <xdr:colOff>365760</xdr:colOff>
      <xdr:row>33</xdr:row>
      <xdr:rowOff>216389</xdr:rowOff>
    </xdr:to>
    <xdr:sp macro="[0]!MedDisc_Clear_26" textlink="">
      <xdr:nvSpPr>
        <xdr:cNvPr id="371" name="Rectangle 115"/>
        <xdr:cNvSpPr>
          <a:spLocks noChangeArrowheads="1"/>
        </xdr:cNvSpPr>
      </xdr:nvSpPr>
      <xdr:spPr bwMode="auto">
        <a:xfrm flipV="1">
          <a:off x="0" y="74971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33509</xdr:rowOff>
    </xdr:from>
    <xdr:to>
      <xdr:col>1</xdr:col>
      <xdr:colOff>365760</xdr:colOff>
      <xdr:row>35</xdr:row>
      <xdr:rowOff>216389</xdr:rowOff>
    </xdr:to>
    <xdr:sp macro="[0]!MedDisc_Clear_28" textlink="">
      <xdr:nvSpPr>
        <xdr:cNvPr id="372" name="Rectangle 115"/>
        <xdr:cNvSpPr>
          <a:spLocks noChangeArrowheads="1"/>
        </xdr:cNvSpPr>
      </xdr:nvSpPr>
      <xdr:spPr bwMode="auto">
        <a:xfrm flipV="1">
          <a:off x="0" y="800458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37</xdr:row>
      <xdr:rowOff>33509</xdr:rowOff>
    </xdr:from>
    <xdr:to>
      <xdr:col>1</xdr:col>
      <xdr:colOff>365760</xdr:colOff>
      <xdr:row>37</xdr:row>
      <xdr:rowOff>216389</xdr:rowOff>
    </xdr:to>
    <xdr:sp macro="[0]!MedDisc_Clear_30" textlink="">
      <xdr:nvSpPr>
        <xdr:cNvPr id="373" name="Rectangle 115"/>
        <xdr:cNvSpPr>
          <a:spLocks noChangeArrowheads="1"/>
        </xdr:cNvSpPr>
      </xdr:nvSpPr>
      <xdr:spPr bwMode="auto">
        <a:xfrm flipV="1">
          <a:off x="0" y="851205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45</xdr:col>
      <xdr:colOff>358857</xdr:colOff>
      <xdr:row>3</xdr:row>
      <xdr:rowOff>109565</xdr:rowOff>
    </xdr:from>
    <xdr:to>
      <xdr:col>49</xdr:col>
      <xdr:colOff>565116</xdr:colOff>
      <xdr:row>4</xdr:row>
      <xdr:rowOff>77010</xdr:rowOff>
    </xdr:to>
    <xdr:sp macro="[0]!MedDisc_EnterText_01" textlink="">
      <xdr:nvSpPr>
        <xdr:cNvPr id="374" name="Rectangle 405"/>
        <xdr:cNvSpPr>
          <a:spLocks noChangeArrowheads="1"/>
        </xdr:cNvSpPr>
      </xdr:nvSpPr>
      <xdr:spPr bwMode="auto">
        <a:xfrm>
          <a:off x="28130765" y="626608"/>
          <a:ext cx="2829773" cy="1828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27</xdr:row>
      <xdr:rowOff>32474</xdr:rowOff>
    </xdr:from>
    <xdr:to>
      <xdr:col>18</xdr:col>
      <xdr:colOff>2146021</xdr:colOff>
      <xdr:row>27</xdr:row>
      <xdr:rowOff>251930</xdr:rowOff>
    </xdr:to>
    <xdr:sp macro="[0]!MedDisc_EnterText_20" textlink="">
      <xdr:nvSpPr>
        <xdr:cNvPr id="18860" name="Rectangle 428"/>
        <xdr:cNvSpPr>
          <a:spLocks noChangeArrowheads="1"/>
        </xdr:cNvSpPr>
      </xdr:nvSpPr>
      <xdr:spPr bwMode="auto">
        <a:xfrm>
          <a:off x="10211412" y="59736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28</xdr:row>
      <xdr:rowOff>33960</xdr:rowOff>
    </xdr:from>
    <xdr:to>
      <xdr:col>18</xdr:col>
      <xdr:colOff>2146021</xdr:colOff>
      <xdr:row>28</xdr:row>
      <xdr:rowOff>253416</xdr:rowOff>
    </xdr:to>
    <xdr:sp macro="[0]!MedDisc_EnterText_21" textlink="">
      <xdr:nvSpPr>
        <xdr:cNvPr id="227" name="Rectangle 428"/>
        <xdr:cNvSpPr>
          <a:spLocks noChangeArrowheads="1"/>
        </xdr:cNvSpPr>
      </xdr:nvSpPr>
      <xdr:spPr bwMode="auto">
        <a:xfrm>
          <a:off x="10211412" y="62289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29</xdr:row>
      <xdr:rowOff>35446</xdr:rowOff>
    </xdr:from>
    <xdr:to>
      <xdr:col>18</xdr:col>
      <xdr:colOff>2146021</xdr:colOff>
      <xdr:row>30</xdr:row>
      <xdr:rowOff>1168</xdr:rowOff>
    </xdr:to>
    <xdr:sp macro="[0]!MedDisc_EnterText_22" textlink="">
      <xdr:nvSpPr>
        <xdr:cNvPr id="244" name="Rectangle 428"/>
        <xdr:cNvSpPr>
          <a:spLocks noChangeArrowheads="1"/>
        </xdr:cNvSpPr>
      </xdr:nvSpPr>
      <xdr:spPr bwMode="auto">
        <a:xfrm>
          <a:off x="10211412" y="64841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30</xdr:row>
      <xdr:rowOff>36932</xdr:rowOff>
    </xdr:from>
    <xdr:to>
      <xdr:col>18</xdr:col>
      <xdr:colOff>2146021</xdr:colOff>
      <xdr:row>31</xdr:row>
      <xdr:rowOff>2654</xdr:rowOff>
    </xdr:to>
    <xdr:sp macro="[0]!MedDisc_EnterText_23" textlink="">
      <xdr:nvSpPr>
        <xdr:cNvPr id="198" name="Rectangle 428"/>
        <xdr:cNvSpPr>
          <a:spLocks noChangeArrowheads="1"/>
        </xdr:cNvSpPr>
      </xdr:nvSpPr>
      <xdr:spPr bwMode="auto">
        <a:xfrm>
          <a:off x="10211412" y="67393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31</xdr:row>
      <xdr:rowOff>38418</xdr:rowOff>
    </xdr:from>
    <xdr:to>
      <xdr:col>18</xdr:col>
      <xdr:colOff>2146021</xdr:colOff>
      <xdr:row>32</xdr:row>
      <xdr:rowOff>4140</xdr:rowOff>
    </xdr:to>
    <xdr:sp macro="[0]!MedDisc_EnterText_24" textlink="">
      <xdr:nvSpPr>
        <xdr:cNvPr id="214" name="Rectangle 428"/>
        <xdr:cNvSpPr>
          <a:spLocks noChangeArrowheads="1"/>
        </xdr:cNvSpPr>
      </xdr:nvSpPr>
      <xdr:spPr bwMode="auto">
        <a:xfrm>
          <a:off x="10211412" y="69945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32</xdr:row>
      <xdr:rowOff>39904</xdr:rowOff>
    </xdr:from>
    <xdr:to>
      <xdr:col>18</xdr:col>
      <xdr:colOff>2146021</xdr:colOff>
      <xdr:row>33</xdr:row>
      <xdr:rowOff>5626</xdr:rowOff>
    </xdr:to>
    <xdr:sp macro="[0]!MedDisc_EnterText_25" textlink="">
      <xdr:nvSpPr>
        <xdr:cNvPr id="230" name="Rectangle 428"/>
        <xdr:cNvSpPr>
          <a:spLocks noChangeArrowheads="1"/>
        </xdr:cNvSpPr>
      </xdr:nvSpPr>
      <xdr:spPr bwMode="auto">
        <a:xfrm>
          <a:off x="10211412" y="72497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33</xdr:row>
      <xdr:rowOff>41390</xdr:rowOff>
    </xdr:from>
    <xdr:to>
      <xdr:col>18</xdr:col>
      <xdr:colOff>2146021</xdr:colOff>
      <xdr:row>34</xdr:row>
      <xdr:rowOff>7111</xdr:rowOff>
    </xdr:to>
    <xdr:sp macro="[0]!MedDisc_EnterText_26" textlink="">
      <xdr:nvSpPr>
        <xdr:cNvPr id="246" name="Rectangle 428"/>
        <xdr:cNvSpPr>
          <a:spLocks noChangeArrowheads="1"/>
        </xdr:cNvSpPr>
      </xdr:nvSpPr>
      <xdr:spPr bwMode="auto">
        <a:xfrm>
          <a:off x="10211412" y="75050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34</xdr:row>
      <xdr:rowOff>42875</xdr:rowOff>
    </xdr:from>
    <xdr:to>
      <xdr:col>18</xdr:col>
      <xdr:colOff>2146021</xdr:colOff>
      <xdr:row>35</xdr:row>
      <xdr:rowOff>8597</xdr:rowOff>
    </xdr:to>
    <xdr:sp macro="[0]!MedDisc_EnterText_27" textlink="">
      <xdr:nvSpPr>
        <xdr:cNvPr id="262" name="Rectangle 428"/>
        <xdr:cNvSpPr>
          <a:spLocks noChangeArrowheads="1"/>
        </xdr:cNvSpPr>
      </xdr:nvSpPr>
      <xdr:spPr bwMode="auto">
        <a:xfrm>
          <a:off x="10211412" y="77602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35</xdr:row>
      <xdr:rowOff>44361</xdr:rowOff>
    </xdr:from>
    <xdr:to>
      <xdr:col>18</xdr:col>
      <xdr:colOff>2146021</xdr:colOff>
      <xdr:row>36</xdr:row>
      <xdr:rowOff>10083</xdr:rowOff>
    </xdr:to>
    <xdr:sp macro="[0]!MedDisc_EnterText_28" textlink="">
      <xdr:nvSpPr>
        <xdr:cNvPr id="278" name="Rectangle 428"/>
        <xdr:cNvSpPr>
          <a:spLocks noChangeArrowheads="1"/>
        </xdr:cNvSpPr>
      </xdr:nvSpPr>
      <xdr:spPr bwMode="auto">
        <a:xfrm>
          <a:off x="10211412" y="80154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36</xdr:row>
      <xdr:rowOff>45847</xdr:rowOff>
    </xdr:from>
    <xdr:to>
      <xdr:col>18</xdr:col>
      <xdr:colOff>2146021</xdr:colOff>
      <xdr:row>37</xdr:row>
      <xdr:rowOff>11569</xdr:rowOff>
    </xdr:to>
    <xdr:sp macro="[0]!MedDisc_EnterText_29" textlink="">
      <xdr:nvSpPr>
        <xdr:cNvPr id="294" name="Rectangle 428"/>
        <xdr:cNvSpPr>
          <a:spLocks noChangeArrowheads="1"/>
        </xdr:cNvSpPr>
      </xdr:nvSpPr>
      <xdr:spPr bwMode="auto">
        <a:xfrm>
          <a:off x="10211412" y="82706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37</xdr:row>
      <xdr:rowOff>47327</xdr:rowOff>
    </xdr:from>
    <xdr:to>
      <xdr:col>18</xdr:col>
      <xdr:colOff>2146021</xdr:colOff>
      <xdr:row>38</xdr:row>
      <xdr:rowOff>13049</xdr:rowOff>
    </xdr:to>
    <xdr:sp macro="[0]!MedDisc_EnterText_30" textlink="">
      <xdr:nvSpPr>
        <xdr:cNvPr id="310" name="Rectangle 428"/>
        <xdr:cNvSpPr>
          <a:spLocks noChangeArrowheads="1"/>
        </xdr:cNvSpPr>
      </xdr:nvSpPr>
      <xdr:spPr bwMode="auto">
        <a:xfrm>
          <a:off x="10211412" y="8525874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19</xdr:row>
      <xdr:rowOff>20586</xdr:rowOff>
    </xdr:from>
    <xdr:to>
      <xdr:col>18</xdr:col>
      <xdr:colOff>2146021</xdr:colOff>
      <xdr:row>19</xdr:row>
      <xdr:rowOff>240042</xdr:rowOff>
    </xdr:to>
    <xdr:sp macro="[0]!MedDisc_EnterText_12" textlink="">
      <xdr:nvSpPr>
        <xdr:cNvPr id="391" name="Rectangle 420"/>
        <xdr:cNvSpPr>
          <a:spLocks noChangeArrowheads="1"/>
        </xdr:cNvSpPr>
      </xdr:nvSpPr>
      <xdr:spPr bwMode="auto">
        <a:xfrm>
          <a:off x="10211412" y="39319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20</xdr:row>
      <xdr:rowOff>22072</xdr:rowOff>
    </xdr:from>
    <xdr:to>
      <xdr:col>18</xdr:col>
      <xdr:colOff>2146021</xdr:colOff>
      <xdr:row>20</xdr:row>
      <xdr:rowOff>241528</xdr:rowOff>
    </xdr:to>
    <xdr:sp macro="[0]!MedDisc_EnterText_13" textlink="">
      <xdr:nvSpPr>
        <xdr:cNvPr id="392" name="Rectangle 421"/>
        <xdr:cNvSpPr>
          <a:spLocks noChangeArrowheads="1"/>
        </xdr:cNvSpPr>
      </xdr:nvSpPr>
      <xdr:spPr bwMode="auto">
        <a:xfrm>
          <a:off x="10211412" y="41871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21</xdr:row>
      <xdr:rowOff>23558</xdr:rowOff>
    </xdr:from>
    <xdr:to>
      <xdr:col>18</xdr:col>
      <xdr:colOff>2146021</xdr:colOff>
      <xdr:row>21</xdr:row>
      <xdr:rowOff>243014</xdr:rowOff>
    </xdr:to>
    <xdr:sp macro="[0]!MedDisc_EnterText_14" textlink="">
      <xdr:nvSpPr>
        <xdr:cNvPr id="393" name="Rectangle 422"/>
        <xdr:cNvSpPr>
          <a:spLocks noChangeArrowheads="1"/>
        </xdr:cNvSpPr>
      </xdr:nvSpPr>
      <xdr:spPr bwMode="auto">
        <a:xfrm>
          <a:off x="10211412" y="44423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22</xdr:row>
      <xdr:rowOff>25044</xdr:rowOff>
    </xdr:from>
    <xdr:to>
      <xdr:col>18</xdr:col>
      <xdr:colOff>2146021</xdr:colOff>
      <xdr:row>22</xdr:row>
      <xdr:rowOff>244500</xdr:rowOff>
    </xdr:to>
    <xdr:sp macro="[0]!MedDisc_EnterText_15" textlink="">
      <xdr:nvSpPr>
        <xdr:cNvPr id="394" name="Rectangle 423"/>
        <xdr:cNvSpPr>
          <a:spLocks noChangeArrowheads="1"/>
        </xdr:cNvSpPr>
      </xdr:nvSpPr>
      <xdr:spPr bwMode="auto">
        <a:xfrm>
          <a:off x="10211412" y="46975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23</xdr:row>
      <xdr:rowOff>26530</xdr:rowOff>
    </xdr:from>
    <xdr:to>
      <xdr:col>18</xdr:col>
      <xdr:colOff>2146021</xdr:colOff>
      <xdr:row>23</xdr:row>
      <xdr:rowOff>245986</xdr:rowOff>
    </xdr:to>
    <xdr:sp macro="[0]!MedDisc_EnterText_16" textlink="">
      <xdr:nvSpPr>
        <xdr:cNvPr id="395" name="Rectangle 424"/>
        <xdr:cNvSpPr>
          <a:spLocks noChangeArrowheads="1"/>
        </xdr:cNvSpPr>
      </xdr:nvSpPr>
      <xdr:spPr bwMode="auto">
        <a:xfrm>
          <a:off x="10211412" y="49528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24</xdr:row>
      <xdr:rowOff>28016</xdr:rowOff>
    </xdr:from>
    <xdr:to>
      <xdr:col>18</xdr:col>
      <xdr:colOff>2146021</xdr:colOff>
      <xdr:row>24</xdr:row>
      <xdr:rowOff>247472</xdr:rowOff>
    </xdr:to>
    <xdr:sp macro="[0]!MedDisc_EnterText_17" textlink="">
      <xdr:nvSpPr>
        <xdr:cNvPr id="396" name="Rectangle 425"/>
        <xdr:cNvSpPr>
          <a:spLocks noChangeArrowheads="1"/>
        </xdr:cNvSpPr>
      </xdr:nvSpPr>
      <xdr:spPr bwMode="auto">
        <a:xfrm>
          <a:off x="10211412" y="52080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25</xdr:row>
      <xdr:rowOff>29502</xdr:rowOff>
    </xdr:from>
    <xdr:to>
      <xdr:col>18</xdr:col>
      <xdr:colOff>2146021</xdr:colOff>
      <xdr:row>25</xdr:row>
      <xdr:rowOff>248958</xdr:rowOff>
    </xdr:to>
    <xdr:sp macro="[0]!MedDisc_EnterText_18" textlink="">
      <xdr:nvSpPr>
        <xdr:cNvPr id="397" name="Rectangle 426"/>
        <xdr:cNvSpPr>
          <a:spLocks noChangeArrowheads="1"/>
        </xdr:cNvSpPr>
      </xdr:nvSpPr>
      <xdr:spPr bwMode="auto">
        <a:xfrm>
          <a:off x="10211412" y="54632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26</xdr:row>
      <xdr:rowOff>30988</xdr:rowOff>
    </xdr:from>
    <xdr:to>
      <xdr:col>18</xdr:col>
      <xdr:colOff>2146021</xdr:colOff>
      <xdr:row>26</xdr:row>
      <xdr:rowOff>250444</xdr:rowOff>
    </xdr:to>
    <xdr:sp macro="[0]!MedDisc_EnterText_19" textlink="">
      <xdr:nvSpPr>
        <xdr:cNvPr id="398" name="Rectangle 427"/>
        <xdr:cNvSpPr>
          <a:spLocks noChangeArrowheads="1"/>
        </xdr:cNvSpPr>
      </xdr:nvSpPr>
      <xdr:spPr bwMode="auto">
        <a:xfrm>
          <a:off x="10211412" y="57184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8</xdr:row>
      <xdr:rowOff>28178</xdr:rowOff>
    </xdr:from>
    <xdr:to>
      <xdr:col>18</xdr:col>
      <xdr:colOff>2155595</xdr:colOff>
      <xdr:row>9</xdr:row>
      <xdr:rowOff>48764</xdr:rowOff>
    </xdr:to>
    <xdr:sp macro="[0]!MedDisc_EnterText_01" textlink="">
      <xdr:nvSpPr>
        <xdr:cNvPr id="399" name="Rectangle 405"/>
        <xdr:cNvSpPr>
          <a:spLocks noChangeArrowheads="1"/>
        </xdr:cNvSpPr>
      </xdr:nvSpPr>
      <xdr:spPr bwMode="auto">
        <a:xfrm>
          <a:off x="10220986" y="114843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9</xdr:row>
      <xdr:rowOff>28521</xdr:rowOff>
    </xdr:from>
    <xdr:to>
      <xdr:col>18</xdr:col>
      <xdr:colOff>2155595</xdr:colOff>
      <xdr:row>10</xdr:row>
      <xdr:rowOff>49107</xdr:rowOff>
    </xdr:to>
    <xdr:sp macro="[0]!MedDisc_EnterText_02" textlink="">
      <xdr:nvSpPr>
        <xdr:cNvPr id="400" name="Rectangle 406"/>
        <xdr:cNvSpPr>
          <a:spLocks noChangeArrowheads="1"/>
        </xdr:cNvSpPr>
      </xdr:nvSpPr>
      <xdr:spPr bwMode="auto">
        <a:xfrm>
          <a:off x="10220986" y="1402515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10</xdr:row>
      <xdr:rowOff>28865</xdr:rowOff>
    </xdr:from>
    <xdr:to>
      <xdr:col>18</xdr:col>
      <xdr:colOff>2155595</xdr:colOff>
      <xdr:row>11</xdr:row>
      <xdr:rowOff>49451</xdr:rowOff>
    </xdr:to>
    <xdr:sp macro="[0]!MedDisc_EnterText_03" textlink="">
      <xdr:nvSpPr>
        <xdr:cNvPr id="401" name="Rectangle 408"/>
        <xdr:cNvSpPr>
          <a:spLocks noChangeArrowheads="1"/>
        </xdr:cNvSpPr>
      </xdr:nvSpPr>
      <xdr:spPr bwMode="auto">
        <a:xfrm>
          <a:off x="10220986" y="1656593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11</xdr:row>
      <xdr:rowOff>29209</xdr:rowOff>
    </xdr:from>
    <xdr:to>
      <xdr:col>18</xdr:col>
      <xdr:colOff>2155595</xdr:colOff>
      <xdr:row>12</xdr:row>
      <xdr:rowOff>49795</xdr:rowOff>
    </xdr:to>
    <xdr:sp macro="[0]!MedDisc_EnterText_04" textlink="">
      <xdr:nvSpPr>
        <xdr:cNvPr id="402" name="Rectangle 412"/>
        <xdr:cNvSpPr>
          <a:spLocks noChangeArrowheads="1"/>
        </xdr:cNvSpPr>
      </xdr:nvSpPr>
      <xdr:spPr bwMode="auto">
        <a:xfrm>
          <a:off x="10220986" y="191067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12</xdr:row>
      <xdr:rowOff>29552</xdr:rowOff>
    </xdr:from>
    <xdr:to>
      <xdr:col>18</xdr:col>
      <xdr:colOff>2155595</xdr:colOff>
      <xdr:row>13</xdr:row>
      <xdr:rowOff>50138</xdr:rowOff>
    </xdr:to>
    <xdr:sp macro="[0]!MedDisc_EnterText_05" textlink="">
      <xdr:nvSpPr>
        <xdr:cNvPr id="403" name="Rectangle 413"/>
        <xdr:cNvSpPr>
          <a:spLocks noChangeArrowheads="1"/>
        </xdr:cNvSpPr>
      </xdr:nvSpPr>
      <xdr:spPr bwMode="auto">
        <a:xfrm>
          <a:off x="10220986" y="216474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13</xdr:row>
      <xdr:rowOff>29896</xdr:rowOff>
    </xdr:from>
    <xdr:to>
      <xdr:col>18</xdr:col>
      <xdr:colOff>2155595</xdr:colOff>
      <xdr:row>14</xdr:row>
      <xdr:rowOff>50482</xdr:rowOff>
    </xdr:to>
    <xdr:sp macro="[0]!MedDisc_EnterText_06" textlink="">
      <xdr:nvSpPr>
        <xdr:cNvPr id="404" name="Rectangle 414"/>
        <xdr:cNvSpPr>
          <a:spLocks noChangeArrowheads="1"/>
        </xdr:cNvSpPr>
      </xdr:nvSpPr>
      <xdr:spPr bwMode="auto">
        <a:xfrm>
          <a:off x="10220986" y="2418826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14</xdr:row>
      <xdr:rowOff>30240</xdr:rowOff>
    </xdr:from>
    <xdr:to>
      <xdr:col>18</xdr:col>
      <xdr:colOff>2155595</xdr:colOff>
      <xdr:row>15</xdr:row>
      <xdr:rowOff>50826</xdr:rowOff>
    </xdr:to>
    <xdr:sp macro="[0]!MedDisc_EnterText_07" textlink="">
      <xdr:nvSpPr>
        <xdr:cNvPr id="405" name="Rectangle 415"/>
        <xdr:cNvSpPr>
          <a:spLocks noChangeArrowheads="1"/>
        </xdr:cNvSpPr>
      </xdr:nvSpPr>
      <xdr:spPr bwMode="auto">
        <a:xfrm>
          <a:off x="10220986" y="2672904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15</xdr:row>
      <xdr:rowOff>30583</xdr:rowOff>
    </xdr:from>
    <xdr:to>
      <xdr:col>18</xdr:col>
      <xdr:colOff>2155595</xdr:colOff>
      <xdr:row>16</xdr:row>
      <xdr:rowOff>51169</xdr:rowOff>
    </xdr:to>
    <xdr:sp macro="[0]!MedDisc_EnterText_08" textlink="">
      <xdr:nvSpPr>
        <xdr:cNvPr id="406" name="Rectangle 416"/>
        <xdr:cNvSpPr>
          <a:spLocks noChangeArrowheads="1"/>
        </xdr:cNvSpPr>
      </xdr:nvSpPr>
      <xdr:spPr bwMode="auto">
        <a:xfrm>
          <a:off x="10220986" y="292698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16</xdr:row>
      <xdr:rowOff>30927</xdr:rowOff>
    </xdr:from>
    <xdr:to>
      <xdr:col>18</xdr:col>
      <xdr:colOff>2155595</xdr:colOff>
      <xdr:row>17</xdr:row>
      <xdr:rowOff>51513</xdr:rowOff>
    </xdr:to>
    <xdr:sp macro="[0]!MedDisc_EnterText_09" textlink="">
      <xdr:nvSpPr>
        <xdr:cNvPr id="407" name="Rectangle 417"/>
        <xdr:cNvSpPr>
          <a:spLocks noChangeArrowheads="1"/>
        </xdr:cNvSpPr>
      </xdr:nvSpPr>
      <xdr:spPr bwMode="auto">
        <a:xfrm>
          <a:off x="10220986" y="3181059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17</xdr:row>
      <xdr:rowOff>31271</xdr:rowOff>
    </xdr:from>
    <xdr:to>
      <xdr:col>18</xdr:col>
      <xdr:colOff>2155595</xdr:colOff>
      <xdr:row>18</xdr:row>
      <xdr:rowOff>51857</xdr:rowOff>
    </xdr:to>
    <xdr:sp macro="[0]!MedDisc_EnterText_10" textlink="">
      <xdr:nvSpPr>
        <xdr:cNvPr id="408" name="Rectangle 418"/>
        <xdr:cNvSpPr>
          <a:spLocks noChangeArrowheads="1"/>
        </xdr:cNvSpPr>
      </xdr:nvSpPr>
      <xdr:spPr bwMode="auto">
        <a:xfrm>
          <a:off x="10220986" y="3435137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18</xdr:row>
      <xdr:rowOff>19100</xdr:rowOff>
    </xdr:from>
    <xdr:to>
      <xdr:col>18</xdr:col>
      <xdr:colOff>2146021</xdr:colOff>
      <xdr:row>18</xdr:row>
      <xdr:rowOff>238556</xdr:rowOff>
    </xdr:to>
    <xdr:sp macro="[0]!MedDisc_EnterText_11" textlink="">
      <xdr:nvSpPr>
        <xdr:cNvPr id="409" name="Rectangle 419"/>
        <xdr:cNvSpPr>
          <a:spLocks noChangeArrowheads="1"/>
        </xdr:cNvSpPr>
      </xdr:nvSpPr>
      <xdr:spPr bwMode="auto">
        <a:xfrm>
          <a:off x="10211412" y="36767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8</xdr:row>
      <xdr:rowOff>4240</xdr:rowOff>
    </xdr:from>
    <xdr:to>
      <xdr:col>18</xdr:col>
      <xdr:colOff>2146021</xdr:colOff>
      <xdr:row>8</xdr:row>
      <xdr:rowOff>223696</xdr:rowOff>
    </xdr:to>
    <xdr:sp macro="[0]!MedDisc_EnterText_01" textlink="">
      <xdr:nvSpPr>
        <xdr:cNvPr id="411" name="Rectangle 405"/>
        <xdr:cNvSpPr>
          <a:spLocks noChangeArrowheads="1"/>
        </xdr:cNvSpPr>
      </xdr:nvSpPr>
      <xdr:spPr bwMode="auto">
        <a:xfrm>
          <a:off x="10211412" y="11245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9</xdr:row>
      <xdr:rowOff>5726</xdr:rowOff>
    </xdr:from>
    <xdr:to>
      <xdr:col>18</xdr:col>
      <xdr:colOff>2146021</xdr:colOff>
      <xdr:row>9</xdr:row>
      <xdr:rowOff>225182</xdr:rowOff>
    </xdr:to>
    <xdr:sp macro="[0]!MedDisc_EnterText_02" textlink="">
      <xdr:nvSpPr>
        <xdr:cNvPr id="412" name="Rectangle 406"/>
        <xdr:cNvSpPr>
          <a:spLocks noChangeArrowheads="1"/>
        </xdr:cNvSpPr>
      </xdr:nvSpPr>
      <xdr:spPr bwMode="auto">
        <a:xfrm>
          <a:off x="10211412" y="13797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10</xdr:row>
      <xdr:rowOff>7212</xdr:rowOff>
    </xdr:from>
    <xdr:to>
      <xdr:col>18</xdr:col>
      <xdr:colOff>2146021</xdr:colOff>
      <xdr:row>10</xdr:row>
      <xdr:rowOff>226668</xdr:rowOff>
    </xdr:to>
    <xdr:sp macro="[0]!MedDisc_EnterText_03" textlink="">
      <xdr:nvSpPr>
        <xdr:cNvPr id="413" name="Rectangle 408"/>
        <xdr:cNvSpPr>
          <a:spLocks noChangeArrowheads="1"/>
        </xdr:cNvSpPr>
      </xdr:nvSpPr>
      <xdr:spPr bwMode="auto">
        <a:xfrm>
          <a:off x="10211412" y="16349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11</xdr:row>
      <xdr:rowOff>8698</xdr:rowOff>
    </xdr:from>
    <xdr:to>
      <xdr:col>18</xdr:col>
      <xdr:colOff>2146021</xdr:colOff>
      <xdr:row>11</xdr:row>
      <xdr:rowOff>228154</xdr:rowOff>
    </xdr:to>
    <xdr:sp macro="[0]!MedDisc_EnterText_04" textlink="">
      <xdr:nvSpPr>
        <xdr:cNvPr id="414" name="Rectangle 412"/>
        <xdr:cNvSpPr>
          <a:spLocks noChangeArrowheads="1"/>
        </xdr:cNvSpPr>
      </xdr:nvSpPr>
      <xdr:spPr bwMode="auto">
        <a:xfrm>
          <a:off x="10211412" y="18901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12</xdr:row>
      <xdr:rowOff>10184</xdr:rowOff>
    </xdr:from>
    <xdr:to>
      <xdr:col>18</xdr:col>
      <xdr:colOff>2146021</xdr:colOff>
      <xdr:row>12</xdr:row>
      <xdr:rowOff>229640</xdr:rowOff>
    </xdr:to>
    <xdr:sp macro="[0]!MedDisc_EnterText_05" textlink="">
      <xdr:nvSpPr>
        <xdr:cNvPr id="415" name="Rectangle 413"/>
        <xdr:cNvSpPr>
          <a:spLocks noChangeArrowheads="1"/>
        </xdr:cNvSpPr>
      </xdr:nvSpPr>
      <xdr:spPr bwMode="auto">
        <a:xfrm>
          <a:off x="10211412" y="21453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13</xdr:row>
      <xdr:rowOff>11670</xdr:rowOff>
    </xdr:from>
    <xdr:to>
      <xdr:col>18</xdr:col>
      <xdr:colOff>2146021</xdr:colOff>
      <xdr:row>13</xdr:row>
      <xdr:rowOff>231126</xdr:rowOff>
    </xdr:to>
    <xdr:sp macro="[0]!MedDisc_EnterText_06" textlink="">
      <xdr:nvSpPr>
        <xdr:cNvPr id="416" name="Rectangle 414"/>
        <xdr:cNvSpPr>
          <a:spLocks noChangeArrowheads="1"/>
        </xdr:cNvSpPr>
      </xdr:nvSpPr>
      <xdr:spPr bwMode="auto">
        <a:xfrm>
          <a:off x="10211412" y="24006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14</xdr:row>
      <xdr:rowOff>13156</xdr:rowOff>
    </xdr:from>
    <xdr:to>
      <xdr:col>18</xdr:col>
      <xdr:colOff>2146021</xdr:colOff>
      <xdr:row>14</xdr:row>
      <xdr:rowOff>232612</xdr:rowOff>
    </xdr:to>
    <xdr:sp macro="[0]!MedDisc_EnterText_07" textlink="">
      <xdr:nvSpPr>
        <xdr:cNvPr id="417" name="Rectangle 415"/>
        <xdr:cNvSpPr>
          <a:spLocks noChangeArrowheads="1"/>
        </xdr:cNvSpPr>
      </xdr:nvSpPr>
      <xdr:spPr bwMode="auto">
        <a:xfrm>
          <a:off x="10211412" y="26558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15</xdr:row>
      <xdr:rowOff>14642</xdr:rowOff>
    </xdr:from>
    <xdr:to>
      <xdr:col>18</xdr:col>
      <xdr:colOff>2146021</xdr:colOff>
      <xdr:row>15</xdr:row>
      <xdr:rowOff>234098</xdr:rowOff>
    </xdr:to>
    <xdr:sp macro="[0]!MedDisc_EnterText_08" textlink="">
      <xdr:nvSpPr>
        <xdr:cNvPr id="418" name="Rectangle 416"/>
        <xdr:cNvSpPr>
          <a:spLocks noChangeArrowheads="1"/>
        </xdr:cNvSpPr>
      </xdr:nvSpPr>
      <xdr:spPr bwMode="auto">
        <a:xfrm>
          <a:off x="10211412" y="29110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16</xdr:row>
      <xdr:rowOff>16128</xdr:rowOff>
    </xdr:from>
    <xdr:to>
      <xdr:col>18</xdr:col>
      <xdr:colOff>2146021</xdr:colOff>
      <xdr:row>16</xdr:row>
      <xdr:rowOff>235584</xdr:rowOff>
    </xdr:to>
    <xdr:sp macro="[0]!MedDisc_EnterText_09" textlink="">
      <xdr:nvSpPr>
        <xdr:cNvPr id="419" name="Rectangle 417"/>
        <xdr:cNvSpPr>
          <a:spLocks noChangeArrowheads="1"/>
        </xdr:cNvSpPr>
      </xdr:nvSpPr>
      <xdr:spPr bwMode="auto">
        <a:xfrm>
          <a:off x="10211412" y="31662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17</xdr:row>
      <xdr:rowOff>17614</xdr:rowOff>
    </xdr:from>
    <xdr:to>
      <xdr:col>18</xdr:col>
      <xdr:colOff>2146021</xdr:colOff>
      <xdr:row>17</xdr:row>
      <xdr:rowOff>237070</xdr:rowOff>
    </xdr:to>
    <xdr:sp macro="[0]!MedDisc_EnterText_10" textlink="">
      <xdr:nvSpPr>
        <xdr:cNvPr id="420" name="Rectangle 418"/>
        <xdr:cNvSpPr>
          <a:spLocks noChangeArrowheads="1"/>
        </xdr:cNvSpPr>
      </xdr:nvSpPr>
      <xdr:spPr bwMode="auto">
        <a:xfrm>
          <a:off x="10211412" y="34214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8</xdr:row>
      <xdr:rowOff>0</xdr:rowOff>
    </xdr:from>
    <xdr:to>
      <xdr:col>2</xdr:col>
      <xdr:colOff>365760</xdr:colOff>
      <xdr:row>8</xdr:row>
      <xdr:rowOff>182880</xdr:rowOff>
    </xdr:to>
    <xdr:sp macro="[0]!MedDisc_PRN_01" textlink="">
      <xdr:nvSpPr>
        <xdr:cNvPr id="362" name="Rectangle 115"/>
        <xdr:cNvSpPr>
          <a:spLocks noChangeArrowheads="1"/>
        </xdr:cNvSpPr>
      </xdr:nvSpPr>
      <xdr:spPr bwMode="auto">
        <a:xfrm flipV="1">
          <a:off x="387782" y="132133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10</xdr:row>
      <xdr:rowOff>0</xdr:rowOff>
    </xdr:from>
    <xdr:to>
      <xdr:col>2</xdr:col>
      <xdr:colOff>365760</xdr:colOff>
      <xdr:row>10</xdr:row>
      <xdr:rowOff>182880</xdr:rowOff>
    </xdr:to>
    <xdr:sp macro="[0]!MedDisc_PRN_03" textlink="">
      <xdr:nvSpPr>
        <xdr:cNvPr id="375" name="Rectangle 115"/>
        <xdr:cNvSpPr>
          <a:spLocks noChangeArrowheads="1"/>
        </xdr:cNvSpPr>
      </xdr:nvSpPr>
      <xdr:spPr bwMode="auto">
        <a:xfrm flipV="1">
          <a:off x="387782" y="182880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12</xdr:row>
      <xdr:rowOff>0</xdr:rowOff>
    </xdr:from>
    <xdr:to>
      <xdr:col>2</xdr:col>
      <xdr:colOff>365760</xdr:colOff>
      <xdr:row>12</xdr:row>
      <xdr:rowOff>182880</xdr:rowOff>
    </xdr:to>
    <xdr:sp macro="[0]!MedDisc_PRN_05" textlink="">
      <xdr:nvSpPr>
        <xdr:cNvPr id="376" name="Rectangle 115"/>
        <xdr:cNvSpPr>
          <a:spLocks noChangeArrowheads="1"/>
        </xdr:cNvSpPr>
      </xdr:nvSpPr>
      <xdr:spPr bwMode="auto">
        <a:xfrm flipV="1">
          <a:off x="387782" y="233626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2</xdr:col>
      <xdr:colOff>365760</xdr:colOff>
      <xdr:row>14</xdr:row>
      <xdr:rowOff>182880</xdr:rowOff>
    </xdr:to>
    <xdr:sp macro="[0]!MedDisc_PRN_07" textlink="">
      <xdr:nvSpPr>
        <xdr:cNvPr id="377" name="Rectangle 115"/>
        <xdr:cNvSpPr>
          <a:spLocks noChangeArrowheads="1"/>
        </xdr:cNvSpPr>
      </xdr:nvSpPr>
      <xdr:spPr bwMode="auto">
        <a:xfrm flipV="1">
          <a:off x="387782" y="284373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16</xdr:row>
      <xdr:rowOff>0</xdr:rowOff>
    </xdr:from>
    <xdr:to>
      <xdr:col>2</xdr:col>
      <xdr:colOff>365760</xdr:colOff>
      <xdr:row>16</xdr:row>
      <xdr:rowOff>182880</xdr:rowOff>
    </xdr:to>
    <xdr:sp macro="[0]!MedDisc_PRN_09" textlink="">
      <xdr:nvSpPr>
        <xdr:cNvPr id="378" name="Rectangle 115"/>
        <xdr:cNvSpPr>
          <a:spLocks noChangeArrowheads="1"/>
        </xdr:cNvSpPr>
      </xdr:nvSpPr>
      <xdr:spPr bwMode="auto">
        <a:xfrm flipV="1">
          <a:off x="387782" y="335120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18</xdr:row>
      <xdr:rowOff>0</xdr:rowOff>
    </xdr:from>
    <xdr:to>
      <xdr:col>2</xdr:col>
      <xdr:colOff>365760</xdr:colOff>
      <xdr:row>18</xdr:row>
      <xdr:rowOff>182880</xdr:rowOff>
    </xdr:to>
    <xdr:sp macro="[0]!MedDisc_PRN_11" textlink="">
      <xdr:nvSpPr>
        <xdr:cNvPr id="379" name="Rectangle 115"/>
        <xdr:cNvSpPr>
          <a:spLocks noChangeArrowheads="1"/>
        </xdr:cNvSpPr>
      </xdr:nvSpPr>
      <xdr:spPr bwMode="auto">
        <a:xfrm flipV="1">
          <a:off x="387782" y="385867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20</xdr:row>
      <xdr:rowOff>0</xdr:rowOff>
    </xdr:from>
    <xdr:to>
      <xdr:col>2</xdr:col>
      <xdr:colOff>365760</xdr:colOff>
      <xdr:row>20</xdr:row>
      <xdr:rowOff>182880</xdr:rowOff>
    </xdr:to>
    <xdr:sp macro="[0]!MedDisc_PRN_13" textlink="">
      <xdr:nvSpPr>
        <xdr:cNvPr id="380" name="Rectangle 115"/>
        <xdr:cNvSpPr>
          <a:spLocks noChangeArrowheads="1"/>
        </xdr:cNvSpPr>
      </xdr:nvSpPr>
      <xdr:spPr bwMode="auto">
        <a:xfrm flipV="1">
          <a:off x="387782" y="436614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0</xdr:rowOff>
    </xdr:from>
    <xdr:to>
      <xdr:col>2</xdr:col>
      <xdr:colOff>365760</xdr:colOff>
      <xdr:row>22</xdr:row>
      <xdr:rowOff>182880</xdr:rowOff>
    </xdr:to>
    <xdr:sp macro="[0]!MedDisc_PRN_15" textlink="">
      <xdr:nvSpPr>
        <xdr:cNvPr id="381" name="Rectangle 115"/>
        <xdr:cNvSpPr>
          <a:spLocks noChangeArrowheads="1"/>
        </xdr:cNvSpPr>
      </xdr:nvSpPr>
      <xdr:spPr bwMode="auto">
        <a:xfrm flipV="1">
          <a:off x="387782" y="487360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24</xdr:row>
      <xdr:rowOff>0</xdr:rowOff>
    </xdr:from>
    <xdr:to>
      <xdr:col>2</xdr:col>
      <xdr:colOff>365760</xdr:colOff>
      <xdr:row>24</xdr:row>
      <xdr:rowOff>182880</xdr:rowOff>
    </xdr:to>
    <xdr:sp macro="[0]!MedDisc_PRN_17" textlink="">
      <xdr:nvSpPr>
        <xdr:cNvPr id="382" name="Rectangle 115"/>
        <xdr:cNvSpPr>
          <a:spLocks noChangeArrowheads="1"/>
        </xdr:cNvSpPr>
      </xdr:nvSpPr>
      <xdr:spPr bwMode="auto">
        <a:xfrm flipV="1">
          <a:off x="387782" y="538107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26</xdr:row>
      <xdr:rowOff>0</xdr:rowOff>
    </xdr:from>
    <xdr:to>
      <xdr:col>2</xdr:col>
      <xdr:colOff>365760</xdr:colOff>
      <xdr:row>26</xdr:row>
      <xdr:rowOff>182880</xdr:rowOff>
    </xdr:to>
    <xdr:sp macro="[0]!MedDisc_PRN_19" textlink="">
      <xdr:nvSpPr>
        <xdr:cNvPr id="383" name="Rectangle 115"/>
        <xdr:cNvSpPr>
          <a:spLocks noChangeArrowheads="1"/>
        </xdr:cNvSpPr>
      </xdr:nvSpPr>
      <xdr:spPr bwMode="auto">
        <a:xfrm flipV="1">
          <a:off x="387782" y="58885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28</xdr:row>
      <xdr:rowOff>0</xdr:rowOff>
    </xdr:from>
    <xdr:to>
      <xdr:col>2</xdr:col>
      <xdr:colOff>365760</xdr:colOff>
      <xdr:row>28</xdr:row>
      <xdr:rowOff>182880</xdr:rowOff>
    </xdr:to>
    <xdr:sp macro="[0]!MedDisc_PRN_21" textlink="">
      <xdr:nvSpPr>
        <xdr:cNvPr id="384" name="Rectangle 115"/>
        <xdr:cNvSpPr>
          <a:spLocks noChangeArrowheads="1"/>
        </xdr:cNvSpPr>
      </xdr:nvSpPr>
      <xdr:spPr bwMode="auto">
        <a:xfrm flipV="1">
          <a:off x="387782" y="63960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30</xdr:row>
      <xdr:rowOff>0</xdr:rowOff>
    </xdr:from>
    <xdr:to>
      <xdr:col>2</xdr:col>
      <xdr:colOff>365760</xdr:colOff>
      <xdr:row>30</xdr:row>
      <xdr:rowOff>182880</xdr:rowOff>
    </xdr:to>
    <xdr:sp macro="[0]!MedDisc_PRN_23" textlink="">
      <xdr:nvSpPr>
        <xdr:cNvPr id="385" name="Rectangle 115"/>
        <xdr:cNvSpPr>
          <a:spLocks noChangeArrowheads="1"/>
        </xdr:cNvSpPr>
      </xdr:nvSpPr>
      <xdr:spPr bwMode="auto">
        <a:xfrm flipV="1">
          <a:off x="387782" y="69034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32</xdr:row>
      <xdr:rowOff>0</xdr:rowOff>
    </xdr:from>
    <xdr:to>
      <xdr:col>2</xdr:col>
      <xdr:colOff>365760</xdr:colOff>
      <xdr:row>32</xdr:row>
      <xdr:rowOff>182880</xdr:rowOff>
    </xdr:to>
    <xdr:sp macro="[0]!MedDisc_PRN_25" textlink="">
      <xdr:nvSpPr>
        <xdr:cNvPr id="386" name="Rectangle 115"/>
        <xdr:cNvSpPr>
          <a:spLocks noChangeArrowheads="1"/>
        </xdr:cNvSpPr>
      </xdr:nvSpPr>
      <xdr:spPr bwMode="auto">
        <a:xfrm flipV="1">
          <a:off x="387782" y="74109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34</xdr:row>
      <xdr:rowOff>0</xdr:rowOff>
    </xdr:from>
    <xdr:to>
      <xdr:col>2</xdr:col>
      <xdr:colOff>365760</xdr:colOff>
      <xdr:row>34</xdr:row>
      <xdr:rowOff>182880</xdr:rowOff>
    </xdr:to>
    <xdr:sp macro="[0]!MedDisc_PRN_27" textlink="">
      <xdr:nvSpPr>
        <xdr:cNvPr id="387" name="Rectangle 115"/>
        <xdr:cNvSpPr>
          <a:spLocks noChangeArrowheads="1"/>
        </xdr:cNvSpPr>
      </xdr:nvSpPr>
      <xdr:spPr bwMode="auto">
        <a:xfrm flipV="1">
          <a:off x="387782" y="79184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36</xdr:row>
      <xdr:rowOff>0</xdr:rowOff>
    </xdr:from>
    <xdr:to>
      <xdr:col>2</xdr:col>
      <xdr:colOff>365760</xdr:colOff>
      <xdr:row>36</xdr:row>
      <xdr:rowOff>182880</xdr:rowOff>
    </xdr:to>
    <xdr:sp macro="[0]!MedDisc_PRN_29" textlink="">
      <xdr:nvSpPr>
        <xdr:cNvPr id="388" name="Rectangle 115"/>
        <xdr:cNvSpPr>
          <a:spLocks noChangeArrowheads="1"/>
        </xdr:cNvSpPr>
      </xdr:nvSpPr>
      <xdr:spPr bwMode="auto">
        <a:xfrm flipV="1">
          <a:off x="387782" y="84258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9</xdr:row>
      <xdr:rowOff>0</xdr:rowOff>
    </xdr:from>
    <xdr:to>
      <xdr:col>2</xdr:col>
      <xdr:colOff>365760</xdr:colOff>
      <xdr:row>9</xdr:row>
      <xdr:rowOff>182880</xdr:rowOff>
    </xdr:to>
    <xdr:sp macro="[0]!MedDisc_PRN_02" textlink="">
      <xdr:nvSpPr>
        <xdr:cNvPr id="389" name="Rectangle 115"/>
        <xdr:cNvSpPr>
          <a:spLocks noChangeArrowheads="1"/>
        </xdr:cNvSpPr>
      </xdr:nvSpPr>
      <xdr:spPr bwMode="auto">
        <a:xfrm flipV="1">
          <a:off x="387782" y="157506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11</xdr:row>
      <xdr:rowOff>0</xdr:rowOff>
    </xdr:from>
    <xdr:to>
      <xdr:col>2</xdr:col>
      <xdr:colOff>365760</xdr:colOff>
      <xdr:row>11</xdr:row>
      <xdr:rowOff>182880</xdr:rowOff>
    </xdr:to>
    <xdr:sp macro="[0]!MedDisc_PRN_04" textlink="">
      <xdr:nvSpPr>
        <xdr:cNvPr id="390" name="Rectangle 115"/>
        <xdr:cNvSpPr>
          <a:spLocks noChangeArrowheads="1"/>
        </xdr:cNvSpPr>
      </xdr:nvSpPr>
      <xdr:spPr bwMode="auto">
        <a:xfrm flipV="1">
          <a:off x="387782" y="208253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2</xdr:col>
      <xdr:colOff>365760</xdr:colOff>
      <xdr:row>13</xdr:row>
      <xdr:rowOff>182880</xdr:rowOff>
    </xdr:to>
    <xdr:sp macro="[0]!MedDisc_PRN_06" textlink="">
      <xdr:nvSpPr>
        <xdr:cNvPr id="410" name="Rectangle 115"/>
        <xdr:cNvSpPr>
          <a:spLocks noChangeArrowheads="1"/>
        </xdr:cNvSpPr>
      </xdr:nvSpPr>
      <xdr:spPr bwMode="auto">
        <a:xfrm flipV="1">
          <a:off x="387782" y="259000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15</xdr:row>
      <xdr:rowOff>0</xdr:rowOff>
    </xdr:from>
    <xdr:to>
      <xdr:col>2</xdr:col>
      <xdr:colOff>365760</xdr:colOff>
      <xdr:row>15</xdr:row>
      <xdr:rowOff>182880</xdr:rowOff>
    </xdr:to>
    <xdr:sp macro="[0]!MedDisc_PRN_08" textlink="">
      <xdr:nvSpPr>
        <xdr:cNvPr id="421" name="Rectangle 115"/>
        <xdr:cNvSpPr>
          <a:spLocks noChangeArrowheads="1"/>
        </xdr:cNvSpPr>
      </xdr:nvSpPr>
      <xdr:spPr bwMode="auto">
        <a:xfrm flipV="1">
          <a:off x="387782" y="309747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17</xdr:row>
      <xdr:rowOff>0</xdr:rowOff>
    </xdr:from>
    <xdr:to>
      <xdr:col>2</xdr:col>
      <xdr:colOff>365760</xdr:colOff>
      <xdr:row>17</xdr:row>
      <xdr:rowOff>182880</xdr:rowOff>
    </xdr:to>
    <xdr:sp macro="[0]!MedDisc_PRN_10" textlink="">
      <xdr:nvSpPr>
        <xdr:cNvPr id="422" name="Rectangle 115"/>
        <xdr:cNvSpPr>
          <a:spLocks noChangeArrowheads="1"/>
        </xdr:cNvSpPr>
      </xdr:nvSpPr>
      <xdr:spPr bwMode="auto">
        <a:xfrm flipV="1">
          <a:off x="387782" y="360493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365760</xdr:colOff>
      <xdr:row>19</xdr:row>
      <xdr:rowOff>182880</xdr:rowOff>
    </xdr:to>
    <xdr:sp macro="[0]!MedDisc_PRN_12" textlink="">
      <xdr:nvSpPr>
        <xdr:cNvPr id="423" name="Rectangle 115"/>
        <xdr:cNvSpPr>
          <a:spLocks noChangeArrowheads="1"/>
        </xdr:cNvSpPr>
      </xdr:nvSpPr>
      <xdr:spPr bwMode="auto">
        <a:xfrm flipV="1">
          <a:off x="387782" y="411240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21</xdr:row>
      <xdr:rowOff>0</xdr:rowOff>
    </xdr:from>
    <xdr:to>
      <xdr:col>2</xdr:col>
      <xdr:colOff>365760</xdr:colOff>
      <xdr:row>21</xdr:row>
      <xdr:rowOff>182880</xdr:rowOff>
    </xdr:to>
    <xdr:sp macro="[0]!MedDisc_PRN_14" textlink="">
      <xdr:nvSpPr>
        <xdr:cNvPr id="424" name="Rectangle 115"/>
        <xdr:cNvSpPr>
          <a:spLocks noChangeArrowheads="1"/>
        </xdr:cNvSpPr>
      </xdr:nvSpPr>
      <xdr:spPr bwMode="auto">
        <a:xfrm flipV="1">
          <a:off x="387782" y="461987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23</xdr:row>
      <xdr:rowOff>0</xdr:rowOff>
    </xdr:from>
    <xdr:to>
      <xdr:col>2</xdr:col>
      <xdr:colOff>365760</xdr:colOff>
      <xdr:row>23</xdr:row>
      <xdr:rowOff>182880</xdr:rowOff>
    </xdr:to>
    <xdr:sp macro="[0]!MedDisc_PRN_16" textlink="">
      <xdr:nvSpPr>
        <xdr:cNvPr id="425" name="Rectangle 115"/>
        <xdr:cNvSpPr>
          <a:spLocks noChangeArrowheads="1"/>
        </xdr:cNvSpPr>
      </xdr:nvSpPr>
      <xdr:spPr bwMode="auto">
        <a:xfrm flipV="1">
          <a:off x="387782" y="512734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25</xdr:row>
      <xdr:rowOff>0</xdr:rowOff>
    </xdr:from>
    <xdr:to>
      <xdr:col>2</xdr:col>
      <xdr:colOff>365760</xdr:colOff>
      <xdr:row>25</xdr:row>
      <xdr:rowOff>182880</xdr:rowOff>
    </xdr:to>
    <xdr:sp macro="[0]!MedDisc_PRN_18" textlink="">
      <xdr:nvSpPr>
        <xdr:cNvPr id="426" name="Rectangle 115"/>
        <xdr:cNvSpPr>
          <a:spLocks noChangeArrowheads="1"/>
        </xdr:cNvSpPr>
      </xdr:nvSpPr>
      <xdr:spPr bwMode="auto">
        <a:xfrm flipV="1">
          <a:off x="387782" y="563481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27</xdr:row>
      <xdr:rowOff>0</xdr:rowOff>
    </xdr:from>
    <xdr:to>
      <xdr:col>2</xdr:col>
      <xdr:colOff>365760</xdr:colOff>
      <xdr:row>27</xdr:row>
      <xdr:rowOff>182880</xdr:rowOff>
    </xdr:to>
    <xdr:sp macro="[0]!MedDisc_PRN_20" textlink="">
      <xdr:nvSpPr>
        <xdr:cNvPr id="427" name="Rectangle 115"/>
        <xdr:cNvSpPr>
          <a:spLocks noChangeArrowheads="1"/>
        </xdr:cNvSpPr>
      </xdr:nvSpPr>
      <xdr:spPr bwMode="auto">
        <a:xfrm flipV="1">
          <a:off x="387782" y="61422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29</xdr:row>
      <xdr:rowOff>0</xdr:rowOff>
    </xdr:from>
    <xdr:to>
      <xdr:col>2</xdr:col>
      <xdr:colOff>365760</xdr:colOff>
      <xdr:row>29</xdr:row>
      <xdr:rowOff>182880</xdr:rowOff>
    </xdr:to>
    <xdr:sp macro="[0]!MedDisc_PRN_22" textlink="">
      <xdr:nvSpPr>
        <xdr:cNvPr id="428" name="Rectangle 115"/>
        <xdr:cNvSpPr>
          <a:spLocks noChangeArrowheads="1"/>
        </xdr:cNvSpPr>
      </xdr:nvSpPr>
      <xdr:spPr bwMode="auto">
        <a:xfrm flipV="1">
          <a:off x="387782" y="66497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31</xdr:row>
      <xdr:rowOff>0</xdr:rowOff>
    </xdr:from>
    <xdr:to>
      <xdr:col>2</xdr:col>
      <xdr:colOff>365760</xdr:colOff>
      <xdr:row>31</xdr:row>
      <xdr:rowOff>182880</xdr:rowOff>
    </xdr:to>
    <xdr:sp macro="[0]!MedDisc_PRN_24" textlink="">
      <xdr:nvSpPr>
        <xdr:cNvPr id="429" name="Rectangle 115"/>
        <xdr:cNvSpPr>
          <a:spLocks noChangeArrowheads="1"/>
        </xdr:cNvSpPr>
      </xdr:nvSpPr>
      <xdr:spPr bwMode="auto">
        <a:xfrm flipV="1">
          <a:off x="387782" y="71572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33</xdr:row>
      <xdr:rowOff>0</xdr:rowOff>
    </xdr:from>
    <xdr:to>
      <xdr:col>2</xdr:col>
      <xdr:colOff>365760</xdr:colOff>
      <xdr:row>33</xdr:row>
      <xdr:rowOff>182880</xdr:rowOff>
    </xdr:to>
    <xdr:sp macro="[0]!MedDisc_PRN_26" textlink="">
      <xdr:nvSpPr>
        <xdr:cNvPr id="430" name="Rectangle 115"/>
        <xdr:cNvSpPr>
          <a:spLocks noChangeArrowheads="1"/>
        </xdr:cNvSpPr>
      </xdr:nvSpPr>
      <xdr:spPr bwMode="auto">
        <a:xfrm flipV="1">
          <a:off x="387782" y="76646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35</xdr:row>
      <xdr:rowOff>0</xdr:rowOff>
    </xdr:from>
    <xdr:to>
      <xdr:col>2</xdr:col>
      <xdr:colOff>365760</xdr:colOff>
      <xdr:row>35</xdr:row>
      <xdr:rowOff>182880</xdr:rowOff>
    </xdr:to>
    <xdr:sp macro="[0]!MedDisc_PRN_28" textlink="">
      <xdr:nvSpPr>
        <xdr:cNvPr id="431" name="Rectangle 115"/>
        <xdr:cNvSpPr>
          <a:spLocks noChangeArrowheads="1"/>
        </xdr:cNvSpPr>
      </xdr:nvSpPr>
      <xdr:spPr bwMode="auto">
        <a:xfrm flipV="1">
          <a:off x="387782" y="81721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37</xdr:row>
      <xdr:rowOff>0</xdr:rowOff>
    </xdr:from>
    <xdr:to>
      <xdr:col>2</xdr:col>
      <xdr:colOff>365760</xdr:colOff>
      <xdr:row>37</xdr:row>
      <xdr:rowOff>182880</xdr:rowOff>
    </xdr:to>
    <xdr:sp macro="[0]!MedDisc_PRN_30" textlink="">
      <xdr:nvSpPr>
        <xdr:cNvPr id="432" name="Rectangle 115"/>
        <xdr:cNvSpPr>
          <a:spLocks noChangeArrowheads="1"/>
        </xdr:cNvSpPr>
      </xdr:nvSpPr>
      <xdr:spPr bwMode="auto">
        <a:xfrm flipV="1">
          <a:off x="387782" y="86796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23886</xdr:colOff>
      <xdr:row>1</xdr:row>
      <xdr:rowOff>86166</xdr:rowOff>
    </xdr:from>
    <xdr:to>
      <xdr:col>13</xdr:col>
      <xdr:colOff>353651</xdr:colOff>
      <xdr:row>1</xdr:row>
      <xdr:rowOff>205071</xdr:rowOff>
    </xdr:to>
    <xdr:sp macro="[0]!Patient_EnterWeight" textlink="">
      <xdr:nvSpPr>
        <xdr:cNvPr id="433" name="Rectangle 77"/>
        <xdr:cNvSpPr>
          <a:spLocks noChangeArrowheads="1"/>
        </xdr:cNvSpPr>
      </xdr:nvSpPr>
      <xdr:spPr bwMode="auto">
        <a:xfrm>
          <a:off x="5405511" y="181416"/>
          <a:ext cx="948890" cy="1189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23886</xdr:colOff>
      <xdr:row>2</xdr:row>
      <xdr:rowOff>40175</xdr:rowOff>
    </xdr:from>
    <xdr:to>
      <xdr:col>13</xdr:col>
      <xdr:colOff>353651</xdr:colOff>
      <xdr:row>2</xdr:row>
      <xdr:rowOff>188685</xdr:rowOff>
    </xdr:to>
    <xdr:sp macro="[0]!Patient_EnterLength" textlink="">
      <xdr:nvSpPr>
        <xdr:cNvPr id="434" name="Rectangle 78"/>
        <xdr:cNvSpPr>
          <a:spLocks noChangeArrowheads="1"/>
        </xdr:cNvSpPr>
      </xdr:nvSpPr>
      <xdr:spPr bwMode="auto">
        <a:xfrm>
          <a:off x="5405511" y="354500"/>
          <a:ext cx="948890" cy="1485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8</xdr:row>
          <xdr:rowOff>9525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9</xdr:row>
          <xdr:rowOff>9525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10</xdr:row>
          <xdr:rowOff>9525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11</xdr:row>
          <xdr:rowOff>9525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12</xdr:row>
          <xdr:rowOff>9525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13</xdr:row>
          <xdr:rowOff>9525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14</xdr:row>
          <xdr:rowOff>9525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15</xdr:row>
          <xdr:rowOff>9525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16</xdr:row>
          <xdr:rowOff>9525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9525</xdr:rowOff>
        </xdr:from>
        <xdr:to>
          <xdr:col>7</xdr:col>
          <xdr:colOff>1085850</xdr:colOff>
          <xdr:row>9</xdr:row>
          <xdr:rowOff>0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9</xdr:row>
          <xdr:rowOff>9525</xdr:rowOff>
        </xdr:from>
        <xdr:to>
          <xdr:col>7</xdr:col>
          <xdr:colOff>1085850</xdr:colOff>
          <xdr:row>10</xdr:row>
          <xdr:rowOff>0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1085850</xdr:colOff>
          <xdr:row>11</xdr:row>
          <xdr:rowOff>0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11</xdr:row>
          <xdr:rowOff>9525</xdr:rowOff>
        </xdr:from>
        <xdr:to>
          <xdr:col>7</xdr:col>
          <xdr:colOff>1085850</xdr:colOff>
          <xdr:row>12</xdr:row>
          <xdr:rowOff>0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12</xdr:row>
          <xdr:rowOff>9525</xdr:rowOff>
        </xdr:from>
        <xdr:to>
          <xdr:col>7</xdr:col>
          <xdr:colOff>1085850</xdr:colOff>
          <xdr:row>13</xdr:row>
          <xdr:rowOff>0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13</xdr:row>
          <xdr:rowOff>9525</xdr:rowOff>
        </xdr:from>
        <xdr:to>
          <xdr:col>7</xdr:col>
          <xdr:colOff>1085850</xdr:colOff>
          <xdr:row>14</xdr:row>
          <xdr:rowOff>0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14</xdr:row>
          <xdr:rowOff>9525</xdr:rowOff>
        </xdr:from>
        <xdr:to>
          <xdr:col>7</xdr:col>
          <xdr:colOff>1085850</xdr:colOff>
          <xdr:row>15</xdr:row>
          <xdr:rowOff>0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15</xdr:row>
          <xdr:rowOff>9525</xdr:rowOff>
        </xdr:from>
        <xdr:to>
          <xdr:col>7</xdr:col>
          <xdr:colOff>1085850</xdr:colOff>
          <xdr:row>16</xdr:row>
          <xdr:rowOff>0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16</xdr:row>
          <xdr:rowOff>9525</xdr:rowOff>
        </xdr:from>
        <xdr:to>
          <xdr:col>7</xdr:col>
          <xdr:colOff>1085850</xdr:colOff>
          <xdr:row>17</xdr:row>
          <xdr:rowOff>0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26</xdr:row>
          <xdr:rowOff>0</xdr:rowOff>
        </xdr:from>
        <xdr:to>
          <xdr:col>7</xdr:col>
          <xdr:colOff>1085850</xdr:colOff>
          <xdr:row>26</xdr:row>
          <xdr:rowOff>238125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26</xdr:row>
          <xdr:rowOff>0</xdr:rowOff>
        </xdr:from>
        <xdr:to>
          <xdr:col>7</xdr:col>
          <xdr:colOff>0</xdr:colOff>
          <xdr:row>26</xdr:row>
          <xdr:rowOff>238125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27</xdr:row>
          <xdr:rowOff>0</xdr:rowOff>
        </xdr:from>
        <xdr:to>
          <xdr:col>7</xdr:col>
          <xdr:colOff>1085850</xdr:colOff>
          <xdr:row>27</xdr:row>
          <xdr:rowOff>238125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27</xdr:row>
          <xdr:rowOff>0</xdr:rowOff>
        </xdr:from>
        <xdr:to>
          <xdr:col>7</xdr:col>
          <xdr:colOff>0</xdr:colOff>
          <xdr:row>27</xdr:row>
          <xdr:rowOff>238125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28</xdr:row>
          <xdr:rowOff>0</xdr:rowOff>
        </xdr:from>
        <xdr:to>
          <xdr:col>7</xdr:col>
          <xdr:colOff>1085850</xdr:colOff>
          <xdr:row>28</xdr:row>
          <xdr:rowOff>238125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28</xdr:row>
          <xdr:rowOff>0</xdr:rowOff>
        </xdr:from>
        <xdr:to>
          <xdr:col>7</xdr:col>
          <xdr:colOff>0</xdr:colOff>
          <xdr:row>28</xdr:row>
          <xdr:rowOff>238125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24</xdr:row>
          <xdr:rowOff>0</xdr:rowOff>
        </xdr:from>
        <xdr:to>
          <xdr:col>7</xdr:col>
          <xdr:colOff>1085850</xdr:colOff>
          <xdr:row>24</xdr:row>
          <xdr:rowOff>238125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24</xdr:row>
          <xdr:rowOff>0</xdr:rowOff>
        </xdr:from>
        <xdr:to>
          <xdr:col>7</xdr:col>
          <xdr:colOff>0</xdr:colOff>
          <xdr:row>24</xdr:row>
          <xdr:rowOff>238125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25</xdr:row>
          <xdr:rowOff>0</xdr:rowOff>
        </xdr:from>
        <xdr:to>
          <xdr:col>7</xdr:col>
          <xdr:colOff>1085850</xdr:colOff>
          <xdr:row>25</xdr:row>
          <xdr:rowOff>238125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25</xdr:row>
          <xdr:rowOff>0</xdr:rowOff>
        </xdr:from>
        <xdr:to>
          <xdr:col>7</xdr:col>
          <xdr:colOff>0</xdr:colOff>
          <xdr:row>25</xdr:row>
          <xdr:rowOff>238125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17</xdr:row>
          <xdr:rowOff>9525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17</xdr:row>
          <xdr:rowOff>9525</xdr:rowOff>
        </xdr:from>
        <xdr:to>
          <xdr:col>7</xdr:col>
          <xdr:colOff>1085850</xdr:colOff>
          <xdr:row>18</xdr:row>
          <xdr:rowOff>0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9525</xdr:colOff>
      <xdr:row>24</xdr:row>
      <xdr:rowOff>0</xdr:rowOff>
    </xdr:from>
    <xdr:to>
      <xdr:col>4</xdr:col>
      <xdr:colOff>1934125</xdr:colOff>
      <xdr:row>24</xdr:row>
      <xdr:rowOff>238125</xdr:rowOff>
    </xdr:to>
    <xdr:sp macro="[0]!PedContIV_EnterMed_16" textlink="">
      <xdr:nvSpPr>
        <xdr:cNvPr id="2154" name="Rectangle 106"/>
        <xdr:cNvSpPr>
          <a:spLocks noChangeArrowheads="1"/>
        </xdr:cNvSpPr>
      </xdr:nvSpPr>
      <xdr:spPr bwMode="auto">
        <a:xfrm>
          <a:off x="962224" y="4169855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25</xdr:row>
      <xdr:rowOff>0</xdr:rowOff>
    </xdr:from>
    <xdr:to>
      <xdr:col>4</xdr:col>
      <xdr:colOff>1934125</xdr:colOff>
      <xdr:row>25</xdr:row>
      <xdr:rowOff>238125</xdr:rowOff>
    </xdr:to>
    <xdr:sp macro="[0]!PedContIV_EnterMed_17" textlink="">
      <xdr:nvSpPr>
        <xdr:cNvPr id="2155" name="Rectangle 107"/>
        <xdr:cNvSpPr>
          <a:spLocks noChangeArrowheads="1"/>
        </xdr:cNvSpPr>
      </xdr:nvSpPr>
      <xdr:spPr bwMode="auto">
        <a:xfrm>
          <a:off x="962224" y="4423590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26</xdr:row>
      <xdr:rowOff>0</xdr:rowOff>
    </xdr:from>
    <xdr:to>
      <xdr:col>4</xdr:col>
      <xdr:colOff>1934125</xdr:colOff>
      <xdr:row>26</xdr:row>
      <xdr:rowOff>238125</xdr:rowOff>
    </xdr:to>
    <xdr:sp macro="[0]!PedContIV_EnterMed_18" textlink="">
      <xdr:nvSpPr>
        <xdr:cNvPr id="2156" name="Rectangle 108"/>
        <xdr:cNvSpPr>
          <a:spLocks noChangeArrowheads="1"/>
        </xdr:cNvSpPr>
      </xdr:nvSpPr>
      <xdr:spPr bwMode="auto">
        <a:xfrm>
          <a:off x="962224" y="4677324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27</xdr:row>
      <xdr:rowOff>0</xdr:rowOff>
    </xdr:from>
    <xdr:to>
      <xdr:col>4</xdr:col>
      <xdr:colOff>1934125</xdr:colOff>
      <xdr:row>27</xdr:row>
      <xdr:rowOff>238125</xdr:rowOff>
    </xdr:to>
    <xdr:sp macro="[0]!PedContIV_EnterMed_19" textlink="">
      <xdr:nvSpPr>
        <xdr:cNvPr id="2157" name="Rectangle 109"/>
        <xdr:cNvSpPr>
          <a:spLocks noChangeArrowheads="1"/>
        </xdr:cNvSpPr>
      </xdr:nvSpPr>
      <xdr:spPr bwMode="auto">
        <a:xfrm>
          <a:off x="962224" y="4931058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28</xdr:row>
      <xdr:rowOff>0</xdr:rowOff>
    </xdr:from>
    <xdr:to>
      <xdr:col>4</xdr:col>
      <xdr:colOff>1934125</xdr:colOff>
      <xdr:row>28</xdr:row>
      <xdr:rowOff>238125</xdr:rowOff>
    </xdr:to>
    <xdr:sp macro="[0]!PedContIV_EnterMed_20" textlink="">
      <xdr:nvSpPr>
        <xdr:cNvPr id="2158" name="Rectangle 110"/>
        <xdr:cNvSpPr>
          <a:spLocks noChangeArrowheads="1"/>
        </xdr:cNvSpPr>
      </xdr:nvSpPr>
      <xdr:spPr bwMode="auto">
        <a:xfrm>
          <a:off x="962224" y="5184792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9525</xdr:colOff>
      <xdr:row>2</xdr:row>
      <xdr:rowOff>38149</xdr:rowOff>
    </xdr:from>
    <xdr:to>
      <xdr:col>9</xdr:col>
      <xdr:colOff>1015365</xdr:colOff>
      <xdr:row>3</xdr:row>
      <xdr:rowOff>47674</xdr:rowOff>
    </xdr:to>
    <xdr:sp macro="[0]!Patient_EnterLength" textlink="">
      <xdr:nvSpPr>
        <xdr:cNvPr id="2162" name="Rectangle 114"/>
        <xdr:cNvSpPr>
          <a:spLocks noChangeArrowheads="1"/>
        </xdr:cNvSpPr>
      </xdr:nvSpPr>
      <xdr:spPr bwMode="auto">
        <a:xfrm>
          <a:off x="7172325" y="352474"/>
          <a:ext cx="100584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263309</xdr:colOff>
      <xdr:row>1</xdr:row>
      <xdr:rowOff>33507</xdr:rowOff>
    </xdr:from>
    <xdr:to>
      <xdr:col>8</xdr:col>
      <xdr:colOff>1019175</xdr:colOff>
      <xdr:row>4</xdr:row>
      <xdr:rowOff>0</xdr:rowOff>
    </xdr:to>
    <xdr:sp macro="[0]!EnterPatientDetails" textlink="">
      <xdr:nvSpPr>
        <xdr:cNvPr id="2163" name="Rectangle 115"/>
        <xdr:cNvSpPr>
          <a:spLocks noChangeArrowheads="1"/>
        </xdr:cNvSpPr>
      </xdr:nvSpPr>
      <xdr:spPr bwMode="auto">
        <a:xfrm flipV="1">
          <a:off x="1168184" y="128757"/>
          <a:ext cx="5594566" cy="7094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19051</xdr:colOff>
      <xdr:row>36</xdr:row>
      <xdr:rowOff>9525</xdr:rowOff>
    </xdr:from>
    <xdr:to>
      <xdr:col>14</xdr:col>
      <xdr:colOff>0</xdr:colOff>
      <xdr:row>39</xdr:row>
      <xdr:rowOff>28575</xdr:rowOff>
    </xdr:to>
    <xdr:sp macro="[0]!PedContIV_Text" textlink="">
      <xdr:nvSpPr>
        <xdr:cNvPr id="2164" name="Rectangle 116"/>
        <xdr:cNvSpPr>
          <a:spLocks noChangeArrowheads="1"/>
        </xdr:cNvSpPr>
      </xdr:nvSpPr>
      <xdr:spPr bwMode="auto">
        <a:xfrm>
          <a:off x="1238251" y="7629525"/>
          <a:ext cx="10220324" cy="5048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8</xdr:row>
          <xdr:rowOff>9525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2161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9</xdr:row>
          <xdr:rowOff>9525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2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10</xdr:row>
          <xdr:rowOff>9525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3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9525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4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12</xdr:row>
          <xdr:rowOff>9525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2165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13</xdr:row>
          <xdr:rowOff>9525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14</xdr:row>
          <xdr:rowOff>9525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15</xdr:row>
          <xdr:rowOff>9525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16</xdr:row>
          <xdr:rowOff>9525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</xdr:col>
      <xdr:colOff>9577</xdr:colOff>
      <xdr:row>8</xdr:row>
      <xdr:rowOff>28725</xdr:rowOff>
    </xdr:from>
    <xdr:to>
      <xdr:col>2</xdr:col>
      <xdr:colOff>526619</xdr:colOff>
      <xdr:row>9</xdr:row>
      <xdr:rowOff>1</xdr:rowOff>
    </xdr:to>
    <xdr:sp macro="[0]!PedContIV_SetStandard_01" textlink="">
      <xdr:nvSpPr>
        <xdr:cNvPr id="118" name="Rectangle 115"/>
        <xdr:cNvSpPr>
          <a:spLocks noChangeArrowheads="1"/>
        </xdr:cNvSpPr>
      </xdr:nvSpPr>
      <xdr:spPr bwMode="auto">
        <a:xfrm flipV="1">
          <a:off x="9577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9</xdr:row>
      <xdr:rowOff>0</xdr:rowOff>
    </xdr:from>
    <xdr:to>
      <xdr:col>2</xdr:col>
      <xdr:colOff>517043</xdr:colOff>
      <xdr:row>9</xdr:row>
      <xdr:rowOff>225010</xdr:rowOff>
    </xdr:to>
    <xdr:sp macro="[0]!PedContIV_SetStandard_02" textlink="">
      <xdr:nvSpPr>
        <xdr:cNvPr id="119" name="Rectangle 115"/>
        <xdr:cNvSpPr>
          <a:spLocks noChangeArrowheads="1"/>
        </xdr:cNvSpPr>
      </xdr:nvSpPr>
      <xdr:spPr bwMode="auto">
        <a:xfrm flipV="1">
          <a:off x="1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10</xdr:row>
      <xdr:rowOff>0</xdr:rowOff>
    </xdr:from>
    <xdr:to>
      <xdr:col>2</xdr:col>
      <xdr:colOff>517043</xdr:colOff>
      <xdr:row>10</xdr:row>
      <xdr:rowOff>225010</xdr:rowOff>
    </xdr:to>
    <xdr:sp macro="[0]!PedContIV_SetStandard_03" textlink="">
      <xdr:nvSpPr>
        <xdr:cNvPr id="120" name="Rectangle 115"/>
        <xdr:cNvSpPr>
          <a:spLocks noChangeArrowheads="1"/>
        </xdr:cNvSpPr>
      </xdr:nvSpPr>
      <xdr:spPr bwMode="auto">
        <a:xfrm flipV="1">
          <a:off x="1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11</xdr:row>
      <xdr:rowOff>0</xdr:rowOff>
    </xdr:from>
    <xdr:to>
      <xdr:col>2</xdr:col>
      <xdr:colOff>517043</xdr:colOff>
      <xdr:row>11</xdr:row>
      <xdr:rowOff>225010</xdr:rowOff>
    </xdr:to>
    <xdr:sp macro="[0]!PedContIV_SetStandard_04" textlink="">
      <xdr:nvSpPr>
        <xdr:cNvPr id="121" name="Rectangle 115"/>
        <xdr:cNvSpPr>
          <a:spLocks noChangeArrowheads="1"/>
        </xdr:cNvSpPr>
      </xdr:nvSpPr>
      <xdr:spPr bwMode="auto">
        <a:xfrm flipV="1">
          <a:off x="1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12</xdr:row>
      <xdr:rowOff>0</xdr:rowOff>
    </xdr:from>
    <xdr:to>
      <xdr:col>2</xdr:col>
      <xdr:colOff>517043</xdr:colOff>
      <xdr:row>12</xdr:row>
      <xdr:rowOff>225010</xdr:rowOff>
    </xdr:to>
    <xdr:sp macro="[0]!PedContIV_SetStandard_05" textlink="">
      <xdr:nvSpPr>
        <xdr:cNvPr id="122" name="Rectangle 115"/>
        <xdr:cNvSpPr>
          <a:spLocks noChangeArrowheads="1"/>
        </xdr:cNvSpPr>
      </xdr:nvSpPr>
      <xdr:spPr bwMode="auto">
        <a:xfrm flipV="1">
          <a:off x="1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13</xdr:row>
      <xdr:rowOff>0</xdr:rowOff>
    </xdr:from>
    <xdr:to>
      <xdr:col>2</xdr:col>
      <xdr:colOff>517043</xdr:colOff>
      <xdr:row>13</xdr:row>
      <xdr:rowOff>225010</xdr:rowOff>
    </xdr:to>
    <xdr:sp macro="[0]!PedContIV_SetStandard_06" textlink="">
      <xdr:nvSpPr>
        <xdr:cNvPr id="123" name="Rectangle 115"/>
        <xdr:cNvSpPr>
          <a:spLocks noChangeArrowheads="1"/>
        </xdr:cNvSpPr>
      </xdr:nvSpPr>
      <xdr:spPr bwMode="auto">
        <a:xfrm flipV="1">
          <a:off x="1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14</xdr:row>
      <xdr:rowOff>0</xdr:rowOff>
    </xdr:from>
    <xdr:to>
      <xdr:col>2</xdr:col>
      <xdr:colOff>517043</xdr:colOff>
      <xdr:row>14</xdr:row>
      <xdr:rowOff>225010</xdr:rowOff>
    </xdr:to>
    <xdr:sp macro="[0]!PedContIV_SetStandard_07" textlink="">
      <xdr:nvSpPr>
        <xdr:cNvPr id="124" name="Rectangle 115"/>
        <xdr:cNvSpPr>
          <a:spLocks noChangeArrowheads="1"/>
        </xdr:cNvSpPr>
      </xdr:nvSpPr>
      <xdr:spPr bwMode="auto">
        <a:xfrm flipV="1">
          <a:off x="1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15</xdr:row>
      <xdr:rowOff>0</xdr:rowOff>
    </xdr:from>
    <xdr:to>
      <xdr:col>2</xdr:col>
      <xdr:colOff>517043</xdr:colOff>
      <xdr:row>15</xdr:row>
      <xdr:rowOff>225010</xdr:rowOff>
    </xdr:to>
    <xdr:sp macro="[0]!PedContIV_SetStandard_08" textlink="">
      <xdr:nvSpPr>
        <xdr:cNvPr id="125" name="Rectangle 115"/>
        <xdr:cNvSpPr>
          <a:spLocks noChangeArrowheads="1"/>
        </xdr:cNvSpPr>
      </xdr:nvSpPr>
      <xdr:spPr bwMode="auto">
        <a:xfrm flipV="1">
          <a:off x="1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16</xdr:row>
      <xdr:rowOff>0</xdr:rowOff>
    </xdr:from>
    <xdr:to>
      <xdr:col>2</xdr:col>
      <xdr:colOff>517043</xdr:colOff>
      <xdr:row>16</xdr:row>
      <xdr:rowOff>225010</xdr:rowOff>
    </xdr:to>
    <xdr:sp macro="[0]!PedContIV_SetStandard_09" textlink="">
      <xdr:nvSpPr>
        <xdr:cNvPr id="126" name="Rectangle 115"/>
        <xdr:cNvSpPr>
          <a:spLocks noChangeArrowheads="1"/>
        </xdr:cNvSpPr>
      </xdr:nvSpPr>
      <xdr:spPr bwMode="auto">
        <a:xfrm flipV="1">
          <a:off x="1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17</xdr:row>
      <xdr:rowOff>0</xdr:rowOff>
    </xdr:from>
    <xdr:to>
      <xdr:col>2</xdr:col>
      <xdr:colOff>517043</xdr:colOff>
      <xdr:row>17</xdr:row>
      <xdr:rowOff>225010</xdr:rowOff>
    </xdr:to>
    <xdr:sp macro="[0]!PedContIV_SetStandard_10" textlink="">
      <xdr:nvSpPr>
        <xdr:cNvPr id="127" name="Rectangle 115"/>
        <xdr:cNvSpPr>
          <a:spLocks noChangeArrowheads="1"/>
        </xdr:cNvSpPr>
      </xdr:nvSpPr>
      <xdr:spPr bwMode="auto">
        <a:xfrm flipV="1">
          <a:off x="1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9577</xdr:colOff>
      <xdr:row>8</xdr:row>
      <xdr:rowOff>28725</xdr:rowOff>
    </xdr:from>
    <xdr:to>
      <xdr:col>1</xdr:col>
      <xdr:colOff>526619</xdr:colOff>
      <xdr:row>9</xdr:row>
      <xdr:rowOff>1</xdr:rowOff>
    </xdr:to>
    <xdr:sp macro="[0]!PedContIV_Clear_01" textlink="">
      <xdr:nvSpPr>
        <xdr:cNvPr id="107" name="Rectangle 115"/>
        <xdr:cNvSpPr>
          <a:spLocks noChangeArrowheads="1"/>
        </xdr:cNvSpPr>
      </xdr:nvSpPr>
      <xdr:spPr bwMode="auto">
        <a:xfrm flipV="1">
          <a:off x="435659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9</xdr:row>
      <xdr:rowOff>0</xdr:rowOff>
    </xdr:from>
    <xdr:to>
      <xdr:col>1</xdr:col>
      <xdr:colOff>517043</xdr:colOff>
      <xdr:row>9</xdr:row>
      <xdr:rowOff>225010</xdr:rowOff>
    </xdr:to>
    <xdr:sp macro="[0]!PedContIV_Clear_02" textlink="">
      <xdr:nvSpPr>
        <xdr:cNvPr id="108" name="Rectangle 115"/>
        <xdr:cNvSpPr>
          <a:spLocks noChangeArrowheads="1"/>
        </xdr:cNvSpPr>
      </xdr:nvSpPr>
      <xdr:spPr bwMode="auto">
        <a:xfrm flipV="1">
          <a:off x="426083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10</xdr:row>
      <xdr:rowOff>0</xdr:rowOff>
    </xdr:from>
    <xdr:to>
      <xdr:col>1</xdr:col>
      <xdr:colOff>517043</xdr:colOff>
      <xdr:row>10</xdr:row>
      <xdr:rowOff>225010</xdr:rowOff>
    </xdr:to>
    <xdr:sp macro="[0]!PedContIV_Clear_03" textlink="">
      <xdr:nvSpPr>
        <xdr:cNvPr id="128" name="Rectangle 115"/>
        <xdr:cNvSpPr>
          <a:spLocks noChangeArrowheads="1"/>
        </xdr:cNvSpPr>
      </xdr:nvSpPr>
      <xdr:spPr bwMode="auto">
        <a:xfrm flipV="1">
          <a:off x="426083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11</xdr:row>
      <xdr:rowOff>0</xdr:rowOff>
    </xdr:from>
    <xdr:to>
      <xdr:col>1</xdr:col>
      <xdr:colOff>517043</xdr:colOff>
      <xdr:row>11</xdr:row>
      <xdr:rowOff>225010</xdr:rowOff>
    </xdr:to>
    <xdr:sp macro="[0]!PedContIV_Clear_04" textlink="">
      <xdr:nvSpPr>
        <xdr:cNvPr id="129" name="Rectangle 115"/>
        <xdr:cNvSpPr>
          <a:spLocks noChangeArrowheads="1"/>
        </xdr:cNvSpPr>
      </xdr:nvSpPr>
      <xdr:spPr bwMode="auto">
        <a:xfrm flipV="1">
          <a:off x="426083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12</xdr:row>
      <xdr:rowOff>0</xdr:rowOff>
    </xdr:from>
    <xdr:to>
      <xdr:col>1</xdr:col>
      <xdr:colOff>517043</xdr:colOff>
      <xdr:row>12</xdr:row>
      <xdr:rowOff>225010</xdr:rowOff>
    </xdr:to>
    <xdr:sp macro="[0]!PedContIV_Clear_05" textlink="">
      <xdr:nvSpPr>
        <xdr:cNvPr id="130" name="Rectangle 115"/>
        <xdr:cNvSpPr>
          <a:spLocks noChangeArrowheads="1"/>
        </xdr:cNvSpPr>
      </xdr:nvSpPr>
      <xdr:spPr bwMode="auto">
        <a:xfrm flipV="1">
          <a:off x="426083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13</xdr:row>
      <xdr:rowOff>0</xdr:rowOff>
    </xdr:from>
    <xdr:to>
      <xdr:col>1</xdr:col>
      <xdr:colOff>517043</xdr:colOff>
      <xdr:row>13</xdr:row>
      <xdr:rowOff>225010</xdr:rowOff>
    </xdr:to>
    <xdr:sp macro="[0]!PedContIV_Clear_06" textlink="">
      <xdr:nvSpPr>
        <xdr:cNvPr id="131" name="Rectangle 115"/>
        <xdr:cNvSpPr>
          <a:spLocks noChangeArrowheads="1"/>
        </xdr:cNvSpPr>
      </xdr:nvSpPr>
      <xdr:spPr bwMode="auto">
        <a:xfrm flipV="1">
          <a:off x="426083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14</xdr:row>
      <xdr:rowOff>0</xdr:rowOff>
    </xdr:from>
    <xdr:to>
      <xdr:col>1</xdr:col>
      <xdr:colOff>517043</xdr:colOff>
      <xdr:row>14</xdr:row>
      <xdr:rowOff>225010</xdr:rowOff>
    </xdr:to>
    <xdr:sp macro="[0]!PedContIV_Clear_07" textlink="">
      <xdr:nvSpPr>
        <xdr:cNvPr id="132" name="Rectangle 115"/>
        <xdr:cNvSpPr>
          <a:spLocks noChangeArrowheads="1"/>
        </xdr:cNvSpPr>
      </xdr:nvSpPr>
      <xdr:spPr bwMode="auto">
        <a:xfrm flipV="1">
          <a:off x="426083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15</xdr:row>
      <xdr:rowOff>0</xdr:rowOff>
    </xdr:from>
    <xdr:to>
      <xdr:col>1</xdr:col>
      <xdr:colOff>517043</xdr:colOff>
      <xdr:row>15</xdr:row>
      <xdr:rowOff>225010</xdr:rowOff>
    </xdr:to>
    <xdr:sp macro="[0]!PedContIV_Clear_08" textlink="">
      <xdr:nvSpPr>
        <xdr:cNvPr id="133" name="Rectangle 115"/>
        <xdr:cNvSpPr>
          <a:spLocks noChangeArrowheads="1"/>
        </xdr:cNvSpPr>
      </xdr:nvSpPr>
      <xdr:spPr bwMode="auto">
        <a:xfrm flipV="1">
          <a:off x="426083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16</xdr:row>
      <xdr:rowOff>0</xdr:rowOff>
    </xdr:from>
    <xdr:to>
      <xdr:col>1</xdr:col>
      <xdr:colOff>517043</xdr:colOff>
      <xdr:row>16</xdr:row>
      <xdr:rowOff>225010</xdr:rowOff>
    </xdr:to>
    <xdr:sp macro="[0]!PedContIV_Clear_09" textlink="">
      <xdr:nvSpPr>
        <xdr:cNvPr id="13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17</xdr:row>
      <xdr:rowOff>0</xdr:rowOff>
    </xdr:from>
    <xdr:to>
      <xdr:col>1</xdr:col>
      <xdr:colOff>517043</xdr:colOff>
      <xdr:row>17</xdr:row>
      <xdr:rowOff>225010</xdr:rowOff>
    </xdr:to>
    <xdr:sp macro="[0]!PedContIV_Clear_10" textlink="">
      <xdr:nvSpPr>
        <xdr:cNvPr id="13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24</xdr:row>
      <xdr:rowOff>0</xdr:rowOff>
    </xdr:from>
    <xdr:to>
      <xdr:col>1</xdr:col>
      <xdr:colOff>517043</xdr:colOff>
      <xdr:row>24</xdr:row>
      <xdr:rowOff>225010</xdr:rowOff>
    </xdr:to>
    <xdr:sp macro="[0]!PedContIV_Clear_16" textlink="">
      <xdr:nvSpPr>
        <xdr:cNvPr id="136" name="Rectangle 115"/>
        <xdr:cNvSpPr>
          <a:spLocks noChangeArrowheads="1"/>
        </xdr:cNvSpPr>
      </xdr:nvSpPr>
      <xdr:spPr bwMode="auto">
        <a:xfrm flipV="1">
          <a:off x="1" y="1886249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25</xdr:row>
      <xdr:rowOff>0</xdr:rowOff>
    </xdr:from>
    <xdr:to>
      <xdr:col>1</xdr:col>
      <xdr:colOff>517043</xdr:colOff>
      <xdr:row>25</xdr:row>
      <xdr:rowOff>225010</xdr:rowOff>
    </xdr:to>
    <xdr:sp macro="[0]!PedContIV_Clear_17" textlink="">
      <xdr:nvSpPr>
        <xdr:cNvPr id="137" name="Rectangle 115"/>
        <xdr:cNvSpPr>
          <a:spLocks noChangeArrowheads="1"/>
        </xdr:cNvSpPr>
      </xdr:nvSpPr>
      <xdr:spPr bwMode="auto">
        <a:xfrm flipV="1">
          <a:off x="1" y="213998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26</xdr:row>
      <xdr:rowOff>0</xdr:rowOff>
    </xdr:from>
    <xdr:to>
      <xdr:col>1</xdr:col>
      <xdr:colOff>517043</xdr:colOff>
      <xdr:row>26</xdr:row>
      <xdr:rowOff>225010</xdr:rowOff>
    </xdr:to>
    <xdr:sp macro="[0]!PedContIV_Clear_18" textlink="">
      <xdr:nvSpPr>
        <xdr:cNvPr id="138" name="Rectangle 115"/>
        <xdr:cNvSpPr>
          <a:spLocks noChangeArrowheads="1"/>
        </xdr:cNvSpPr>
      </xdr:nvSpPr>
      <xdr:spPr bwMode="auto">
        <a:xfrm flipV="1">
          <a:off x="1" y="239371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27</xdr:row>
      <xdr:rowOff>0</xdr:rowOff>
    </xdr:from>
    <xdr:to>
      <xdr:col>1</xdr:col>
      <xdr:colOff>517043</xdr:colOff>
      <xdr:row>27</xdr:row>
      <xdr:rowOff>225010</xdr:rowOff>
    </xdr:to>
    <xdr:sp macro="[0]!PedContIV_Clear_19" textlink="">
      <xdr:nvSpPr>
        <xdr:cNvPr id="139" name="Rectangle 115"/>
        <xdr:cNvSpPr>
          <a:spLocks noChangeArrowheads="1"/>
        </xdr:cNvSpPr>
      </xdr:nvSpPr>
      <xdr:spPr bwMode="auto">
        <a:xfrm flipV="1">
          <a:off x="1" y="2647451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28</xdr:row>
      <xdr:rowOff>0</xdr:rowOff>
    </xdr:from>
    <xdr:to>
      <xdr:col>1</xdr:col>
      <xdr:colOff>517043</xdr:colOff>
      <xdr:row>28</xdr:row>
      <xdr:rowOff>225010</xdr:rowOff>
    </xdr:to>
    <xdr:sp macro="[0]!PedContIV_Clear_20" textlink="">
      <xdr:nvSpPr>
        <xdr:cNvPr id="140" name="Rectangle 115"/>
        <xdr:cNvSpPr>
          <a:spLocks noChangeArrowheads="1"/>
        </xdr:cNvSpPr>
      </xdr:nvSpPr>
      <xdr:spPr bwMode="auto">
        <a:xfrm flipV="1">
          <a:off x="1" y="2901185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18</xdr:row>
          <xdr:rowOff>9525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2181" name="Drop Down 133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18</xdr:row>
          <xdr:rowOff>9525</xdr:rowOff>
        </xdr:from>
        <xdr:to>
          <xdr:col>7</xdr:col>
          <xdr:colOff>1085850</xdr:colOff>
          <xdr:row>19</xdr:row>
          <xdr:rowOff>0</xdr:rowOff>
        </xdr:to>
        <xdr:sp macro="" textlink="">
          <xdr:nvSpPr>
            <xdr:cNvPr id="2182" name="Drop Down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19</xdr:row>
          <xdr:rowOff>9525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2183" name="Drop Down 135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19</xdr:row>
          <xdr:rowOff>9525</xdr:rowOff>
        </xdr:from>
        <xdr:to>
          <xdr:col>7</xdr:col>
          <xdr:colOff>1085850</xdr:colOff>
          <xdr:row>20</xdr:row>
          <xdr:rowOff>0</xdr:rowOff>
        </xdr:to>
        <xdr:sp macro="" textlink="">
          <xdr:nvSpPr>
            <xdr:cNvPr id="2184" name="Drop Down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18</xdr:row>
          <xdr:rowOff>9525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2187" name="Spinner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19</xdr:row>
          <xdr:rowOff>9525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2188" name="Spinner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</xdr:col>
      <xdr:colOff>1</xdr:colOff>
      <xdr:row>18</xdr:row>
      <xdr:rowOff>0</xdr:rowOff>
    </xdr:from>
    <xdr:to>
      <xdr:col>2</xdr:col>
      <xdr:colOff>517043</xdr:colOff>
      <xdr:row>18</xdr:row>
      <xdr:rowOff>225010</xdr:rowOff>
    </xdr:to>
    <xdr:sp macro="[0]!PedContIV_SetStandard_11" textlink="">
      <xdr:nvSpPr>
        <xdr:cNvPr id="145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19</xdr:row>
      <xdr:rowOff>0</xdr:rowOff>
    </xdr:from>
    <xdr:to>
      <xdr:col>2</xdr:col>
      <xdr:colOff>517043</xdr:colOff>
      <xdr:row>19</xdr:row>
      <xdr:rowOff>225010</xdr:rowOff>
    </xdr:to>
    <xdr:sp macro="[0]!PedContIV_SetStandard_12" textlink="">
      <xdr:nvSpPr>
        <xdr:cNvPr id="146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18</xdr:row>
      <xdr:rowOff>0</xdr:rowOff>
    </xdr:from>
    <xdr:to>
      <xdr:col>1</xdr:col>
      <xdr:colOff>517043</xdr:colOff>
      <xdr:row>18</xdr:row>
      <xdr:rowOff>225010</xdr:rowOff>
    </xdr:to>
    <xdr:sp macro="[0]!PedContIV_Clear_11" textlink="">
      <xdr:nvSpPr>
        <xdr:cNvPr id="147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19</xdr:row>
      <xdr:rowOff>0</xdr:rowOff>
    </xdr:from>
    <xdr:to>
      <xdr:col>1</xdr:col>
      <xdr:colOff>517043</xdr:colOff>
      <xdr:row>19</xdr:row>
      <xdr:rowOff>225010</xdr:rowOff>
    </xdr:to>
    <xdr:sp macro="[0]!PedContIV_Clear_12" textlink="">
      <xdr:nvSpPr>
        <xdr:cNvPr id="148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20</xdr:row>
          <xdr:rowOff>9525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2191" name="Drop Down 143" hidden="1">
              <a:extLst>
                <a:ext uri="{63B3BB69-23CF-44E3-9099-C40C66FF867C}">
                  <a14:compatExt spid="_x0000_s2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20</xdr:row>
          <xdr:rowOff>9525</xdr:rowOff>
        </xdr:from>
        <xdr:to>
          <xdr:col>7</xdr:col>
          <xdr:colOff>1085850</xdr:colOff>
          <xdr:row>21</xdr:row>
          <xdr:rowOff>0</xdr:rowOff>
        </xdr:to>
        <xdr:sp macro="" textlink="">
          <xdr:nvSpPr>
            <xdr:cNvPr id="2192" name="Drop Down 144" hidden="1">
              <a:extLst>
                <a:ext uri="{63B3BB69-23CF-44E3-9099-C40C66FF867C}">
                  <a14:compatExt spid="_x0000_s2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21</xdr:row>
          <xdr:rowOff>9525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2193" name="Drop Down 145" hidden="1">
              <a:extLst>
                <a:ext uri="{63B3BB69-23CF-44E3-9099-C40C66FF867C}">
                  <a14:compatExt spid="_x0000_s2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21</xdr:row>
          <xdr:rowOff>9525</xdr:rowOff>
        </xdr:from>
        <xdr:to>
          <xdr:col>7</xdr:col>
          <xdr:colOff>1085850</xdr:colOff>
          <xdr:row>22</xdr:row>
          <xdr:rowOff>0</xdr:rowOff>
        </xdr:to>
        <xdr:sp macro="" textlink="">
          <xdr:nvSpPr>
            <xdr:cNvPr id="2194" name="Drop Down 146" hidden="1">
              <a:extLst>
                <a:ext uri="{63B3BB69-23CF-44E3-9099-C40C66FF867C}">
                  <a14:compatExt spid="_x0000_s2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20</xdr:row>
          <xdr:rowOff>9525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2197" name="Spinner 149" hidden="1">
              <a:extLst>
                <a:ext uri="{63B3BB69-23CF-44E3-9099-C40C66FF867C}">
                  <a14:compatExt spid="_x0000_s2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21</xdr:row>
          <xdr:rowOff>9525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2198" name="Spinner 150" hidden="1">
              <a:extLst>
                <a:ext uri="{63B3BB69-23CF-44E3-9099-C40C66FF867C}">
                  <a14:compatExt spid="_x0000_s2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</xdr:col>
      <xdr:colOff>1</xdr:colOff>
      <xdr:row>20</xdr:row>
      <xdr:rowOff>0</xdr:rowOff>
    </xdr:from>
    <xdr:to>
      <xdr:col>2</xdr:col>
      <xdr:colOff>517043</xdr:colOff>
      <xdr:row>20</xdr:row>
      <xdr:rowOff>225010</xdr:rowOff>
    </xdr:to>
    <xdr:sp macro="[0]!PedContIV_SetStandard_13" textlink="">
      <xdr:nvSpPr>
        <xdr:cNvPr id="15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21</xdr:row>
      <xdr:rowOff>0</xdr:rowOff>
    </xdr:from>
    <xdr:to>
      <xdr:col>2</xdr:col>
      <xdr:colOff>517043</xdr:colOff>
      <xdr:row>21</xdr:row>
      <xdr:rowOff>225010</xdr:rowOff>
    </xdr:to>
    <xdr:sp macro="[0]!PedContIV_SetStandard_14" textlink="">
      <xdr:nvSpPr>
        <xdr:cNvPr id="15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20</xdr:row>
      <xdr:rowOff>0</xdr:rowOff>
    </xdr:from>
    <xdr:to>
      <xdr:col>1</xdr:col>
      <xdr:colOff>517043</xdr:colOff>
      <xdr:row>20</xdr:row>
      <xdr:rowOff>225010</xdr:rowOff>
    </xdr:to>
    <xdr:sp macro="[0]!PedContIV_Clear_13" textlink="">
      <xdr:nvSpPr>
        <xdr:cNvPr id="156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21</xdr:row>
      <xdr:rowOff>0</xdr:rowOff>
    </xdr:from>
    <xdr:to>
      <xdr:col>1</xdr:col>
      <xdr:colOff>517043</xdr:colOff>
      <xdr:row>21</xdr:row>
      <xdr:rowOff>225010</xdr:rowOff>
    </xdr:to>
    <xdr:sp macro="[0]!PedContIV_Clear_14" textlink="">
      <xdr:nvSpPr>
        <xdr:cNvPr id="157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2201" name="Drop Down 153" hidden="1">
              <a:extLst>
                <a:ext uri="{63B3BB69-23CF-44E3-9099-C40C66FF867C}">
                  <a14:compatExt spid="_x0000_s2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22</xdr:row>
          <xdr:rowOff>9525</xdr:rowOff>
        </xdr:from>
        <xdr:to>
          <xdr:col>7</xdr:col>
          <xdr:colOff>1085850</xdr:colOff>
          <xdr:row>23</xdr:row>
          <xdr:rowOff>0</xdr:rowOff>
        </xdr:to>
        <xdr:sp macro="" textlink="">
          <xdr:nvSpPr>
            <xdr:cNvPr id="2202" name="Drop Down 154" hidden="1">
              <a:extLst>
                <a:ext uri="{63B3BB69-23CF-44E3-9099-C40C66FF867C}">
                  <a14:compatExt spid="_x0000_s2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8</xdr:row>
          <xdr:rowOff>9525</xdr:rowOff>
        </xdr:from>
        <xdr:to>
          <xdr:col>8</xdr:col>
          <xdr:colOff>1076325</xdr:colOff>
          <xdr:row>28</xdr:row>
          <xdr:rowOff>238125</xdr:rowOff>
        </xdr:to>
        <xdr:grpSp>
          <xdr:nvGrpSpPr>
            <xdr:cNvPr id="6" name="Group 5"/>
            <xdr:cNvGrpSpPr/>
          </xdr:nvGrpSpPr>
          <xdr:grpSpPr>
            <a:xfrm>
              <a:off x="7000875" y="1419225"/>
              <a:ext cx="133350" cy="5181600"/>
              <a:chOff x="7058025" y="1295400"/>
              <a:chExt cx="133350" cy="5181600"/>
            </a:xfrm>
          </xdr:grpSpPr>
          <xdr:sp macro="" textlink="">
            <xdr:nvSpPr>
              <xdr:cNvPr id="2115" name="Spinner 67" hidden="1">
                <a:extLst>
                  <a:ext uri="{63B3BB69-23CF-44E3-9099-C40C66FF867C}">
                    <a14:compatExt spid="_x0000_s2115"/>
                  </a:ext>
                </a:extLst>
              </xdr:cNvPr>
              <xdr:cNvSpPr/>
            </xdr:nvSpPr>
            <xdr:spPr bwMode="auto">
              <a:xfrm>
                <a:off x="7058025" y="5743575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16" name="Spinner 68" hidden="1">
                <a:extLst>
                  <a:ext uri="{63B3BB69-23CF-44E3-9099-C40C66FF867C}">
                    <a14:compatExt spid="_x0000_s2116"/>
                  </a:ext>
                </a:extLst>
              </xdr:cNvPr>
              <xdr:cNvSpPr/>
            </xdr:nvSpPr>
            <xdr:spPr bwMode="auto">
              <a:xfrm>
                <a:off x="7058025" y="5991225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17" name="Spinner 69" hidden="1">
                <a:extLst>
                  <a:ext uri="{63B3BB69-23CF-44E3-9099-C40C66FF867C}">
                    <a14:compatExt spid="_x0000_s2117"/>
                  </a:ext>
                </a:extLst>
              </xdr:cNvPr>
              <xdr:cNvSpPr/>
            </xdr:nvSpPr>
            <xdr:spPr bwMode="auto">
              <a:xfrm>
                <a:off x="7058025" y="6238875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20" name="Spinner 72" hidden="1">
                <a:extLst>
                  <a:ext uri="{63B3BB69-23CF-44E3-9099-C40C66FF867C}">
                    <a14:compatExt spid="_x0000_s2120"/>
                  </a:ext>
                </a:extLst>
              </xdr:cNvPr>
              <xdr:cNvSpPr/>
            </xdr:nvSpPr>
            <xdr:spPr bwMode="auto">
              <a:xfrm>
                <a:off x="7058025" y="5248275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23" name="Spinner 75" hidden="1">
                <a:extLst>
                  <a:ext uri="{63B3BB69-23CF-44E3-9099-C40C66FF867C}">
                    <a14:compatExt spid="_x0000_s2123"/>
                  </a:ext>
                </a:extLst>
              </xdr:cNvPr>
              <xdr:cNvSpPr/>
            </xdr:nvSpPr>
            <xdr:spPr bwMode="auto">
              <a:xfrm>
                <a:off x="7058025" y="5495925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26" name="Spinner 78" hidden="1">
                <a:extLst>
                  <a:ext uri="{63B3BB69-23CF-44E3-9099-C40C66FF867C}">
                    <a14:compatExt spid="_x0000_s2126"/>
                  </a:ext>
                </a:extLst>
              </xdr:cNvPr>
              <xdr:cNvSpPr/>
            </xdr:nvSpPr>
            <xdr:spPr bwMode="auto">
              <a:xfrm>
                <a:off x="7058025" y="129540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27" name="Spinner 79" hidden="1">
                <a:extLst>
                  <a:ext uri="{63B3BB69-23CF-44E3-9099-C40C66FF867C}">
                    <a14:compatExt spid="_x0000_s2127"/>
                  </a:ext>
                </a:extLst>
              </xdr:cNvPr>
              <xdr:cNvSpPr/>
            </xdr:nvSpPr>
            <xdr:spPr bwMode="auto">
              <a:xfrm>
                <a:off x="7058025" y="154305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28" name="Spinner 80" hidden="1">
                <a:extLst>
                  <a:ext uri="{63B3BB69-23CF-44E3-9099-C40C66FF867C}">
                    <a14:compatExt spid="_x0000_s2128"/>
                  </a:ext>
                </a:extLst>
              </xdr:cNvPr>
              <xdr:cNvSpPr/>
            </xdr:nvSpPr>
            <xdr:spPr bwMode="auto">
              <a:xfrm>
                <a:off x="7058025" y="179070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29" name="Spinner 81" hidden="1">
                <a:extLst>
                  <a:ext uri="{63B3BB69-23CF-44E3-9099-C40C66FF867C}">
                    <a14:compatExt spid="_x0000_s2129"/>
                  </a:ext>
                </a:extLst>
              </xdr:cNvPr>
              <xdr:cNvSpPr/>
            </xdr:nvSpPr>
            <xdr:spPr bwMode="auto">
              <a:xfrm>
                <a:off x="7058025" y="203835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30" name="Spinner 82" hidden="1">
                <a:extLst>
                  <a:ext uri="{63B3BB69-23CF-44E3-9099-C40C66FF867C}">
                    <a14:compatExt spid="_x0000_s2130"/>
                  </a:ext>
                </a:extLst>
              </xdr:cNvPr>
              <xdr:cNvSpPr/>
            </xdr:nvSpPr>
            <xdr:spPr bwMode="auto">
              <a:xfrm>
                <a:off x="7058025" y="228600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31" name="Spinner 83" hidden="1">
                <a:extLst>
                  <a:ext uri="{63B3BB69-23CF-44E3-9099-C40C66FF867C}">
                    <a14:compatExt spid="_x0000_s2131"/>
                  </a:ext>
                </a:extLst>
              </xdr:cNvPr>
              <xdr:cNvSpPr/>
            </xdr:nvSpPr>
            <xdr:spPr bwMode="auto">
              <a:xfrm>
                <a:off x="7058025" y="253365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32" name="Spinner 84" hidden="1">
                <a:extLst>
                  <a:ext uri="{63B3BB69-23CF-44E3-9099-C40C66FF867C}">
                    <a14:compatExt spid="_x0000_s2132"/>
                  </a:ext>
                </a:extLst>
              </xdr:cNvPr>
              <xdr:cNvSpPr/>
            </xdr:nvSpPr>
            <xdr:spPr bwMode="auto">
              <a:xfrm>
                <a:off x="7058025" y="278130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33" name="Spinner 85" hidden="1">
                <a:extLst>
                  <a:ext uri="{63B3BB69-23CF-44E3-9099-C40C66FF867C}">
                    <a14:compatExt spid="_x0000_s2133"/>
                  </a:ext>
                </a:extLst>
              </xdr:cNvPr>
              <xdr:cNvSpPr/>
            </xdr:nvSpPr>
            <xdr:spPr bwMode="auto">
              <a:xfrm>
                <a:off x="7058025" y="302895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34" name="Spinner 86" hidden="1">
                <a:extLst>
                  <a:ext uri="{63B3BB69-23CF-44E3-9099-C40C66FF867C}">
                    <a14:compatExt spid="_x0000_s2134"/>
                  </a:ext>
                </a:extLst>
              </xdr:cNvPr>
              <xdr:cNvSpPr/>
            </xdr:nvSpPr>
            <xdr:spPr bwMode="auto">
              <a:xfrm>
                <a:off x="7058025" y="327660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35" name="Spinner 87" hidden="1">
                <a:extLst>
                  <a:ext uri="{63B3BB69-23CF-44E3-9099-C40C66FF867C}">
                    <a14:compatExt spid="_x0000_s2135"/>
                  </a:ext>
                </a:extLst>
              </xdr:cNvPr>
              <xdr:cNvSpPr/>
            </xdr:nvSpPr>
            <xdr:spPr bwMode="auto">
              <a:xfrm>
                <a:off x="7058025" y="352425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85" name="Spinner 137" hidden="1">
                <a:extLst>
                  <a:ext uri="{63B3BB69-23CF-44E3-9099-C40C66FF867C}">
                    <a14:compatExt spid="_x0000_s2185"/>
                  </a:ext>
                </a:extLst>
              </xdr:cNvPr>
              <xdr:cNvSpPr/>
            </xdr:nvSpPr>
            <xdr:spPr bwMode="auto">
              <a:xfrm>
                <a:off x="7058025" y="377190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86" name="Spinner 138" hidden="1">
                <a:extLst>
                  <a:ext uri="{63B3BB69-23CF-44E3-9099-C40C66FF867C}">
                    <a14:compatExt spid="_x0000_s2186"/>
                  </a:ext>
                </a:extLst>
              </xdr:cNvPr>
              <xdr:cNvSpPr/>
            </xdr:nvSpPr>
            <xdr:spPr bwMode="auto">
              <a:xfrm>
                <a:off x="7058025" y="401955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95" name="Spinner 147" hidden="1">
                <a:extLst>
                  <a:ext uri="{63B3BB69-23CF-44E3-9099-C40C66FF867C}">
                    <a14:compatExt spid="_x0000_s2195"/>
                  </a:ext>
                </a:extLst>
              </xdr:cNvPr>
              <xdr:cNvSpPr/>
            </xdr:nvSpPr>
            <xdr:spPr bwMode="auto">
              <a:xfrm>
                <a:off x="7058025" y="426720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96" name="Spinner 148" hidden="1">
                <a:extLst>
                  <a:ext uri="{63B3BB69-23CF-44E3-9099-C40C66FF867C}">
                    <a14:compatExt spid="_x0000_s2196"/>
                  </a:ext>
                </a:extLst>
              </xdr:cNvPr>
              <xdr:cNvSpPr/>
            </xdr:nvSpPr>
            <xdr:spPr bwMode="auto">
              <a:xfrm>
                <a:off x="7058025" y="451485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203" name="Spinner 155" hidden="1">
                <a:extLst>
                  <a:ext uri="{63B3BB69-23CF-44E3-9099-C40C66FF867C}">
                    <a14:compatExt spid="_x0000_s2203"/>
                  </a:ext>
                </a:extLst>
              </xdr:cNvPr>
              <xdr:cNvSpPr/>
            </xdr:nvSpPr>
            <xdr:spPr bwMode="auto">
              <a:xfrm>
                <a:off x="7058025" y="476250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22</xdr:row>
          <xdr:rowOff>9525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2204" name="Spinner 156" hidden="1">
              <a:extLst>
                <a:ext uri="{63B3BB69-23CF-44E3-9099-C40C66FF867C}">
                  <a14:compatExt spid="_x0000_s2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733425</xdr:colOff>
          <xdr:row>8</xdr:row>
          <xdr:rowOff>9525</xdr:rowOff>
        </xdr:from>
        <xdr:to>
          <xdr:col>5</xdr:col>
          <xdr:colOff>876300</xdr:colOff>
          <xdr:row>23</xdr:row>
          <xdr:rowOff>0</xdr:rowOff>
        </xdr:to>
        <xdr:grpSp>
          <xdr:nvGrpSpPr>
            <xdr:cNvPr id="5" name="Group 4"/>
            <xdr:cNvGrpSpPr/>
          </xdr:nvGrpSpPr>
          <xdr:grpSpPr>
            <a:xfrm>
              <a:off x="4038600" y="1419225"/>
              <a:ext cx="142875" cy="3705225"/>
              <a:chOff x="4095750" y="1295400"/>
              <a:chExt cx="142875" cy="3705225"/>
            </a:xfrm>
          </xdr:grpSpPr>
          <xdr:sp macro="" textlink="">
            <xdr:nvSpPr>
              <xdr:cNvPr id="2171" name="Spinner 123" hidden="1">
                <a:extLst>
                  <a:ext uri="{63B3BB69-23CF-44E3-9099-C40C66FF867C}">
                    <a14:compatExt spid="_x0000_s2171"/>
                  </a:ext>
                </a:extLst>
              </xdr:cNvPr>
              <xdr:cNvSpPr/>
            </xdr:nvSpPr>
            <xdr:spPr bwMode="auto">
              <a:xfrm>
                <a:off x="4095750" y="129540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72" name="Spinner 124" hidden="1">
                <a:extLst>
                  <a:ext uri="{63B3BB69-23CF-44E3-9099-C40C66FF867C}">
                    <a14:compatExt spid="_x0000_s2172"/>
                  </a:ext>
                </a:extLst>
              </xdr:cNvPr>
              <xdr:cNvSpPr/>
            </xdr:nvSpPr>
            <xdr:spPr bwMode="auto">
              <a:xfrm>
                <a:off x="4095750" y="154305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73" name="Spinner 125" hidden="1">
                <a:extLst>
                  <a:ext uri="{63B3BB69-23CF-44E3-9099-C40C66FF867C}">
                    <a14:compatExt spid="_x0000_s2173"/>
                  </a:ext>
                </a:extLst>
              </xdr:cNvPr>
              <xdr:cNvSpPr/>
            </xdr:nvSpPr>
            <xdr:spPr bwMode="auto">
              <a:xfrm>
                <a:off x="4095750" y="179070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74" name="Spinner 126" hidden="1">
                <a:extLst>
                  <a:ext uri="{63B3BB69-23CF-44E3-9099-C40C66FF867C}">
                    <a14:compatExt spid="_x0000_s2174"/>
                  </a:ext>
                </a:extLst>
              </xdr:cNvPr>
              <xdr:cNvSpPr/>
            </xdr:nvSpPr>
            <xdr:spPr bwMode="auto">
              <a:xfrm>
                <a:off x="4095750" y="203835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75" name="Spinner 127" hidden="1">
                <a:extLst>
                  <a:ext uri="{63B3BB69-23CF-44E3-9099-C40C66FF867C}">
                    <a14:compatExt spid="_x0000_s2175"/>
                  </a:ext>
                </a:extLst>
              </xdr:cNvPr>
              <xdr:cNvSpPr/>
            </xdr:nvSpPr>
            <xdr:spPr bwMode="auto">
              <a:xfrm>
                <a:off x="4095750" y="228600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76" name="Spinner 128" hidden="1">
                <a:extLst>
                  <a:ext uri="{63B3BB69-23CF-44E3-9099-C40C66FF867C}">
                    <a14:compatExt spid="_x0000_s2176"/>
                  </a:ext>
                </a:extLst>
              </xdr:cNvPr>
              <xdr:cNvSpPr/>
            </xdr:nvSpPr>
            <xdr:spPr bwMode="auto">
              <a:xfrm>
                <a:off x="4095750" y="253365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77" name="Spinner 129" hidden="1">
                <a:extLst>
                  <a:ext uri="{63B3BB69-23CF-44E3-9099-C40C66FF867C}">
                    <a14:compatExt spid="_x0000_s2177"/>
                  </a:ext>
                </a:extLst>
              </xdr:cNvPr>
              <xdr:cNvSpPr/>
            </xdr:nvSpPr>
            <xdr:spPr bwMode="auto">
              <a:xfrm>
                <a:off x="4095750" y="278130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78" name="Spinner 130" hidden="1">
                <a:extLst>
                  <a:ext uri="{63B3BB69-23CF-44E3-9099-C40C66FF867C}">
                    <a14:compatExt spid="_x0000_s2178"/>
                  </a:ext>
                </a:extLst>
              </xdr:cNvPr>
              <xdr:cNvSpPr/>
            </xdr:nvSpPr>
            <xdr:spPr bwMode="auto">
              <a:xfrm>
                <a:off x="4095750" y="302895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79" name="Spinner 131" hidden="1">
                <a:extLst>
                  <a:ext uri="{63B3BB69-23CF-44E3-9099-C40C66FF867C}">
                    <a14:compatExt spid="_x0000_s2179"/>
                  </a:ext>
                </a:extLst>
              </xdr:cNvPr>
              <xdr:cNvSpPr/>
            </xdr:nvSpPr>
            <xdr:spPr bwMode="auto">
              <a:xfrm>
                <a:off x="4095750" y="327660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80" name="Spinner 132" hidden="1">
                <a:extLst>
                  <a:ext uri="{63B3BB69-23CF-44E3-9099-C40C66FF867C}">
                    <a14:compatExt spid="_x0000_s2180"/>
                  </a:ext>
                </a:extLst>
              </xdr:cNvPr>
              <xdr:cNvSpPr/>
            </xdr:nvSpPr>
            <xdr:spPr bwMode="auto">
              <a:xfrm>
                <a:off x="4095750" y="352425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89" name="Spinner 141" hidden="1">
                <a:extLst>
                  <a:ext uri="{63B3BB69-23CF-44E3-9099-C40C66FF867C}">
                    <a14:compatExt spid="_x0000_s2189"/>
                  </a:ext>
                </a:extLst>
              </xdr:cNvPr>
              <xdr:cNvSpPr/>
            </xdr:nvSpPr>
            <xdr:spPr bwMode="auto">
              <a:xfrm>
                <a:off x="4095750" y="377190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90" name="Spinner 142" hidden="1">
                <a:extLst>
                  <a:ext uri="{63B3BB69-23CF-44E3-9099-C40C66FF867C}">
                    <a14:compatExt spid="_x0000_s2190"/>
                  </a:ext>
                </a:extLst>
              </xdr:cNvPr>
              <xdr:cNvSpPr/>
            </xdr:nvSpPr>
            <xdr:spPr bwMode="auto">
              <a:xfrm>
                <a:off x="4095750" y="401955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99" name="Spinner 151" hidden="1">
                <a:extLst>
                  <a:ext uri="{63B3BB69-23CF-44E3-9099-C40C66FF867C}">
                    <a14:compatExt spid="_x0000_s2199"/>
                  </a:ext>
                </a:extLst>
              </xdr:cNvPr>
              <xdr:cNvSpPr/>
            </xdr:nvSpPr>
            <xdr:spPr bwMode="auto">
              <a:xfrm>
                <a:off x="4095750" y="426720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200" name="Spinner 152" hidden="1">
                <a:extLst>
                  <a:ext uri="{63B3BB69-23CF-44E3-9099-C40C66FF867C}">
                    <a14:compatExt spid="_x0000_s2200"/>
                  </a:ext>
                </a:extLst>
              </xdr:cNvPr>
              <xdr:cNvSpPr/>
            </xdr:nvSpPr>
            <xdr:spPr bwMode="auto">
              <a:xfrm>
                <a:off x="4095750" y="451485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205" name="Spinner 157" hidden="1">
                <a:extLst>
                  <a:ext uri="{63B3BB69-23CF-44E3-9099-C40C66FF867C}">
                    <a14:compatExt spid="_x0000_s2205"/>
                  </a:ext>
                </a:extLst>
              </xdr:cNvPr>
              <xdr:cNvSpPr/>
            </xdr:nvSpPr>
            <xdr:spPr bwMode="auto">
              <a:xfrm>
                <a:off x="4095750" y="476250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</xdr:grpSp>
        <xdr:clientData/>
      </xdr:twoCellAnchor>
    </mc:Choice>
    <mc:Fallback/>
  </mc:AlternateContent>
  <xdr:twoCellAnchor>
    <xdr:from>
      <xdr:col>5</xdr:col>
      <xdr:colOff>71561</xdr:colOff>
      <xdr:row>8</xdr:row>
      <xdr:rowOff>28527</xdr:rowOff>
    </xdr:from>
    <xdr:to>
      <xdr:col>5</xdr:col>
      <xdr:colOff>711641</xdr:colOff>
      <xdr:row>22</xdr:row>
      <xdr:rowOff>233669</xdr:rowOff>
    </xdr:to>
    <xdr:grpSp>
      <xdr:nvGrpSpPr>
        <xdr:cNvPr id="8" name="Group 7"/>
        <xdr:cNvGrpSpPr/>
      </xdr:nvGrpSpPr>
      <xdr:grpSpPr>
        <a:xfrm>
          <a:off x="3376736" y="1438227"/>
          <a:ext cx="640080" cy="3672242"/>
          <a:chOff x="3329111" y="1438227"/>
          <a:chExt cx="640080" cy="3672242"/>
        </a:xfrm>
      </xdr:grpSpPr>
      <xdr:sp macro="[0]!PedContIV_MedConc_01" textlink="">
        <xdr:nvSpPr>
          <xdr:cNvPr id="96" name="Rectangle 142"/>
          <xdr:cNvSpPr>
            <a:spLocks noChangeArrowheads="1"/>
          </xdr:cNvSpPr>
        </xdr:nvSpPr>
        <xdr:spPr bwMode="auto">
          <a:xfrm>
            <a:off x="3329111" y="143822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2" textlink="">
        <xdr:nvSpPr>
          <xdr:cNvPr id="91" name="Rectangle 142"/>
          <xdr:cNvSpPr>
            <a:spLocks noChangeArrowheads="1"/>
          </xdr:cNvSpPr>
        </xdr:nvSpPr>
        <xdr:spPr bwMode="auto">
          <a:xfrm>
            <a:off x="3329111" y="168684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3" textlink="">
        <xdr:nvSpPr>
          <xdr:cNvPr id="93" name="Rectangle 142"/>
          <xdr:cNvSpPr>
            <a:spLocks noChangeArrowheads="1"/>
          </xdr:cNvSpPr>
        </xdr:nvSpPr>
        <xdr:spPr bwMode="auto">
          <a:xfrm>
            <a:off x="3329111" y="1935467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4" textlink="">
        <xdr:nvSpPr>
          <xdr:cNvPr id="95" name="Rectangle 142"/>
          <xdr:cNvSpPr>
            <a:spLocks noChangeArrowheads="1"/>
          </xdr:cNvSpPr>
        </xdr:nvSpPr>
        <xdr:spPr bwMode="auto">
          <a:xfrm>
            <a:off x="3329111" y="217800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5" textlink="">
        <xdr:nvSpPr>
          <xdr:cNvPr id="97" name="Rectangle 142"/>
          <xdr:cNvSpPr>
            <a:spLocks noChangeArrowheads="1"/>
          </xdr:cNvSpPr>
        </xdr:nvSpPr>
        <xdr:spPr bwMode="auto">
          <a:xfrm>
            <a:off x="3329111" y="242662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6" textlink="">
        <xdr:nvSpPr>
          <xdr:cNvPr id="99" name="Rectangle 142"/>
          <xdr:cNvSpPr>
            <a:spLocks noChangeArrowheads="1"/>
          </xdr:cNvSpPr>
        </xdr:nvSpPr>
        <xdr:spPr bwMode="auto">
          <a:xfrm>
            <a:off x="3329111" y="267524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7" textlink="">
        <xdr:nvSpPr>
          <xdr:cNvPr id="100" name="Rectangle 142"/>
          <xdr:cNvSpPr>
            <a:spLocks noChangeArrowheads="1"/>
          </xdr:cNvSpPr>
        </xdr:nvSpPr>
        <xdr:spPr bwMode="auto">
          <a:xfrm>
            <a:off x="3329111" y="2923863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8" textlink="">
        <xdr:nvSpPr>
          <xdr:cNvPr id="101" name="Rectangle 142"/>
          <xdr:cNvSpPr>
            <a:spLocks noChangeArrowheads="1"/>
          </xdr:cNvSpPr>
        </xdr:nvSpPr>
        <xdr:spPr bwMode="auto">
          <a:xfrm>
            <a:off x="3329111" y="3166399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9" textlink="">
        <xdr:nvSpPr>
          <xdr:cNvPr id="102" name="Rectangle 142"/>
          <xdr:cNvSpPr>
            <a:spLocks noChangeArrowheads="1"/>
          </xdr:cNvSpPr>
        </xdr:nvSpPr>
        <xdr:spPr bwMode="auto">
          <a:xfrm>
            <a:off x="3329111" y="34150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0" textlink="">
        <xdr:nvSpPr>
          <xdr:cNvPr id="104" name="Rectangle 142"/>
          <xdr:cNvSpPr>
            <a:spLocks noChangeArrowheads="1"/>
          </xdr:cNvSpPr>
        </xdr:nvSpPr>
        <xdr:spPr bwMode="auto">
          <a:xfrm>
            <a:off x="3329111" y="36575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1" textlink="">
        <xdr:nvSpPr>
          <xdr:cNvPr id="141" name="Rectangle 142"/>
          <xdr:cNvSpPr>
            <a:spLocks noChangeArrowheads="1"/>
          </xdr:cNvSpPr>
        </xdr:nvSpPr>
        <xdr:spPr bwMode="auto">
          <a:xfrm>
            <a:off x="3329111" y="39103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2" textlink="">
        <xdr:nvSpPr>
          <xdr:cNvPr id="142" name="Rectangle 142"/>
          <xdr:cNvSpPr>
            <a:spLocks noChangeArrowheads="1"/>
          </xdr:cNvSpPr>
        </xdr:nvSpPr>
        <xdr:spPr bwMode="auto">
          <a:xfrm>
            <a:off x="3329111" y="41528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3" textlink="">
        <xdr:nvSpPr>
          <xdr:cNvPr id="150" name="Rectangle 142"/>
          <xdr:cNvSpPr>
            <a:spLocks noChangeArrowheads="1"/>
          </xdr:cNvSpPr>
        </xdr:nvSpPr>
        <xdr:spPr bwMode="auto">
          <a:xfrm>
            <a:off x="3329111" y="44056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4" textlink="">
        <xdr:nvSpPr>
          <xdr:cNvPr id="151" name="Rectangle 142"/>
          <xdr:cNvSpPr>
            <a:spLocks noChangeArrowheads="1"/>
          </xdr:cNvSpPr>
        </xdr:nvSpPr>
        <xdr:spPr bwMode="auto">
          <a:xfrm>
            <a:off x="3329111" y="46481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5" textlink="">
        <xdr:nvSpPr>
          <xdr:cNvPr id="163" name="Rectangle 142"/>
          <xdr:cNvSpPr>
            <a:spLocks noChangeArrowheads="1"/>
          </xdr:cNvSpPr>
        </xdr:nvSpPr>
        <xdr:spPr bwMode="auto">
          <a:xfrm>
            <a:off x="3329111" y="49009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6</xdr:col>
      <xdr:colOff>81227</xdr:colOff>
      <xdr:row>8</xdr:row>
      <xdr:rowOff>52363</xdr:rowOff>
    </xdr:from>
    <xdr:to>
      <xdr:col>6</xdr:col>
      <xdr:colOff>629867</xdr:colOff>
      <xdr:row>22</xdr:row>
      <xdr:rowOff>223813</xdr:rowOff>
    </xdr:to>
    <xdr:grpSp>
      <xdr:nvGrpSpPr>
        <xdr:cNvPr id="7" name="Group 6"/>
        <xdr:cNvGrpSpPr/>
      </xdr:nvGrpSpPr>
      <xdr:grpSpPr>
        <a:xfrm>
          <a:off x="4281752" y="1462063"/>
          <a:ext cx="548640" cy="3638550"/>
          <a:chOff x="4224602" y="1462063"/>
          <a:chExt cx="548640" cy="3638550"/>
        </a:xfrm>
      </xdr:grpSpPr>
      <xdr:sp macro="[0]!PedContIV_SetSolution_01" textlink="">
        <xdr:nvSpPr>
          <xdr:cNvPr id="106" name="Rectangle 142"/>
          <xdr:cNvSpPr>
            <a:spLocks noChangeArrowheads="1"/>
          </xdr:cNvSpPr>
        </xdr:nvSpPr>
        <xdr:spPr bwMode="auto">
          <a:xfrm>
            <a:off x="4224602" y="1462063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02" textlink="">
        <xdr:nvSpPr>
          <xdr:cNvPr id="109" name="Rectangle 142"/>
          <xdr:cNvSpPr>
            <a:spLocks noChangeArrowheads="1"/>
          </xdr:cNvSpPr>
        </xdr:nvSpPr>
        <xdr:spPr bwMode="auto">
          <a:xfrm>
            <a:off x="4224602" y="1709713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03" textlink="">
        <xdr:nvSpPr>
          <xdr:cNvPr id="110" name="Rectangle 142"/>
          <xdr:cNvSpPr>
            <a:spLocks noChangeArrowheads="1"/>
          </xdr:cNvSpPr>
        </xdr:nvSpPr>
        <xdr:spPr bwMode="auto">
          <a:xfrm>
            <a:off x="4224602" y="194783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04" textlink="">
        <xdr:nvSpPr>
          <xdr:cNvPr id="111" name="Rectangle 142"/>
          <xdr:cNvSpPr>
            <a:spLocks noChangeArrowheads="1"/>
          </xdr:cNvSpPr>
        </xdr:nvSpPr>
        <xdr:spPr bwMode="auto">
          <a:xfrm>
            <a:off x="4224602" y="219548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05" textlink="">
        <xdr:nvSpPr>
          <xdr:cNvPr id="112" name="Rectangle 142"/>
          <xdr:cNvSpPr>
            <a:spLocks noChangeArrowheads="1"/>
          </xdr:cNvSpPr>
        </xdr:nvSpPr>
        <xdr:spPr bwMode="auto">
          <a:xfrm>
            <a:off x="4224602" y="2452663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06" textlink="">
        <xdr:nvSpPr>
          <xdr:cNvPr id="113" name="Rectangle 142"/>
          <xdr:cNvSpPr>
            <a:spLocks noChangeArrowheads="1"/>
          </xdr:cNvSpPr>
        </xdr:nvSpPr>
        <xdr:spPr bwMode="auto">
          <a:xfrm>
            <a:off x="4224602" y="269078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07" textlink="">
        <xdr:nvSpPr>
          <xdr:cNvPr id="114" name="Rectangle 142"/>
          <xdr:cNvSpPr>
            <a:spLocks noChangeArrowheads="1"/>
          </xdr:cNvSpPr>
        </xdr:nvSpPr>
        <xdr:spPr bwMode="auto">
          <a:xfrm>
            <a:off x="4224602" y="291938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08" textlink="">
        <xdr:nvSpPr>
          <xdr:cNvPr id="115" name="Rectangle 142"/>
          <xdr:cNvSpPr>
            <a:spLocks noChangeArrowheads="1"/>
          </xdr:cNvSpPr>
        </xdr:nvSpPr>
        <xdr:spPr bwMode="auto">
          <a:xfrm>
            <a:off x="4224602" y="316703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09" textlink="">
        <xdr:nvSpPr>
          <xdr:cNvPr id="116" name="Rectangle 142"/>
          <xdr:cNvSpPr>
            <a:spLocks noChangeArrowheads="1"/>
          </xdr:cNvSpPr>
        </xdr:nvSpPr>
        <xdr:spPr bwMode="auto">
          <a:xfrm>
            <a:off x="4224602" y="343373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10" textlink="">
        <xdr:nvSpPr>
          <xdr:cNvPr id="117" name="Rectangle 142"/>
          <xdr:cNvSpPr>
            <a:spLocks noChangeArrowheads="1"/>
          </xdr:cNvSpPr>
        </xdr:nvSpPr>
        <xdr:spPr bwMode="auto">
          <a:xfrm>
            <a:off x="4224602" y="368138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11" textlink="">
        <xdr:nvSpPr>
          <xdr:cNvPr id="143" name="Rectangle 142"/>
          <xdr:cNvSpPr>
            <a:spLocks noChangeArrowheads="1"/>
          </xdr:cNvSpPr>
        </xdr:nvSpPr>
        <xdr:spPr bwMode="auto">
          <a:xfrm>
            <a:off x="4224602" y="392903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12" textlink="">
        <xdr:nvSpPr>
          <xdr:cNvPr id="144" name="Rectangle 142"/>
          <xdr:cNvSpPr>
            <a:spLocks noChangeArrowheads="1"/>
          </xdr:cNvSpPr>
        </xdr:nvSpPr>
        <xdr:spPr bwMode="auto">
          <a:xfrm>
            <a:off x="4224602" y="417668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13" textlink="">
        <xdr:nvSpPr>
          <xdr:cNvPr id="152" name="Rectangle 142"/>
          <xdr:cNvSpPr>
            <a:spLocks noChangeArrowheads="1"/>
          </xdr:cNvSpPr>
        </xdr:nvSpPr>
        <xdr:spPr bwMode="auto">
          <a:xfrm>
            <a:off x="4224602" y="442433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14" textlink="">
        <xdr:nvSpPr>
          <xdr:cNvPr id="153" name="Rectangle 142"/>
          <xdr:cNvSpPr>
            <a:spLocks noChangeArrowheads="1"/>
          </xdr:cNvSpPr>
        </xdr:nvSpPr>
        <xdr:spPr bwMode="auto">
          <a:xfrm>
            <a:off x="4224602" y="467198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15" textlink="">
        <xdr:nvSpPr>
          <xdr:cNvPr id="164" name="Rectangle 142"/>
          <xdr:cNvSpPr>
            <a:spLocks noChangeArrowheads="1"/>
          </xdr:cNvSpPr>
        </xdr:nvSpPr>
        <xdr:spPr bwMode="auto">
          <a:xfrm>
            <a:off x="4224602" y="491963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2</xdr:col>
      <xdr:colOff>1</xdr:colOff>
      <xdr:row>22</xdr:row>
      <xdr:rowOff>0</xdr:rowOff>
    </xdr:from>
    <xdr:to>
      <xdr:col>2</xdr:col>
      <xdr:colOff>517043</xdr:colOff>
      <xdr:row>22</xdr:row>
      <xdr:rowOff>225010</xdr:rowOff>
    </xdr:to>
    <xdr:sp macro="[0]!PedContIV_SetStandard_15" textlink="">
      <xdr:nvSpPr>
        <xdr:cNvPr id="165" name="Rectangle 115"/>
        <xdr:cNvSpPr>
          <a:spLocks noChangeArrowheads="1"/>
        </xdr:cNvSpPr>
      </xdr:nvSpPr>
      <xdr:spPr bwMode="auto">
        <a:xfrm flipV="1">
          <a:off x="426083" y="4423590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22</xdr:row>
      <xdr:rowOff>0</xdr:rowOff>
    </xdr:from>
    <xdr:to>
      <xdr:col>1</xdr:col>
      <xdr:colOff>517043</xdr:colOff>
      <xdr:row>22</xdr:row>
      <xdr:rowOff>225010</xdr:rowOff>
    </xdr:to>
    <xdr:sp macro="[0]!PedContIV_Clear_15" textlink="">
      <xdr:nvSpPr>
        <xdr:cNvPr id="166" name="Rectangle 115"/>
        <xdr:cNvSpPr>
          <a:spLocks noChangeArrowheads="1"/>
        </xdr:cNvSpPr>
      </xdr:nvSpPr>
      <xdr:spPr bwMode="auto">
        <a:xfrm flipV="1">
          <a:off x="1" y="4423590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6</xdr:row>
      <xdr:rowOff>47875</xdr:rowOff>
    </xdr:from>
    <xdr:to>
      <xdr:col>4</xdr:col>
      <xdr:colOff>823438</xdr:colOff>
      <xdr:row>7</xdr:row>
      <xdr:rowOff>19151</xdr:rowOff>
    </xdr:to>
    <xdr:sp macro="[0]!PedContIV_ShowPickList" textlink="">
      <xdr:nvSpPr>
        <xdr:cNvPr id="167" name="Rectangle 115"/>
        <xdr:cNvSpPr>
          <a:spLocks noChangeArrowheads="1"/>
        </xdr:cNvSpPr>
      </xdr:nvSpPr>
      <xdr:spPr bwMode="auto">
        <a:xfrm flipV="1">
          <a:off x="1292607" y="1216009"/>
          <a:ext cx="813863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9525</xdr:colOff>
      <xdr:row>1</xdr:row>
      <xdr:rowOff>0</xdr:rowOff>
    </xdr:from>
    <xdr:to>
      <xdr:col>9</xdr:col>
      <xdr:colOff>1015365</xdr:colOff>
      <xdr:row>2</xdr:row>
      <xdr:rowOff>9525</xdr:rowOff>
    </xdr:to>
    <xdr:sp macro="[0]!Patient_EnterWeight" textlink="">
      <xdr:nvSpPr>
        <xdr:cNvPr id="170" name="Rectangle 113"/>
        <xdr:cNvSpPr>
          <a:spLocks noChangeArrowheads="1"/>
        </xdr:cNvSpPr>
      </xdr:nvSpPr>
      <xdr:spPr bwMode="auto">
        <a:xfrm>
          <a:off x="7172325" y="95250"/>
          <a:ext cx="100584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19050</xdr:rowOff>
        </xdr:from>
        <xdr:to>
          <xdr:col>6</xdr:col>
          <xdr:colOff>904875</xdr:colOff>
          <xdr:row>9</xdr:row>
          <xdr:rowOff>9525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19050</xdr:rowOff>
        </xdr:from>
        <xdr:to>
          <xdr:col>6</xdr:col>
          <xdr:colOff>904875</xdr:colOff>
          <xdr:row>10</xdr:row>
          <xdr:rowOff>9525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10</xdr:row>
          <xdr:rowOff>19050</xdr:rowOff>
        </xdr:from>
        <xdr:to>
          <xdr:col>6</xdr:col>
          <xdr:colOff>904875</xdr:colOff>
          <xdr:row>11</xdr:row>
          <xdr:rowOff>9525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19050</xdr:rowOff>
        </xdr:from>
        <xdr:to>
          <xdr:col>6</xdr:col>
          <xdr:colOff>904875</xdr:colOff>
          <xdr:row>12</xdr:row>
          <xdr:rowOff>9525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19050</xdr:rowOff>
        </xdr:from>
        <xdr:to>
          <xdr:col>6</xdr:col>
          <xdr:colOff>904875</xdr:colOff>
          <xdr:row>13</xdr:row>
          <xdr:rowOff>9525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19050</xdr:rowOff>
        </xdr:from>
        <xdr:to>
          <xdr:col>6</xdr:col>
          <xdr:colOff>904875</xdr:colOff>
          <xdr:row>14</xdr:row>
          <xdr:rowOff>9525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9525</xdr:colOff>
      <xdr:row>1</xdr:row>
      <xdr:rowOff>47625</xdr:rowOff>
    </xdr:from>
    <xdr:to>
      <xdr:col>7</xdr:col>
      <xdr:colOff>971550</xdr:colOff>
      <xdr:row>2</xdr:row>
      <xdr:rowOff>9525</xdr:rowOff>
    </xdr:to>
    <xdr:sp macro="[0]!Patient_EnterWeight" textlink="">
      <xdr:nvSpPr>
        <xdr:cNvPr id="11311" name="Rectangle 47"/>
        <xdr:cNvSpPr>
          <a:spLocks noChangeArrowheads="1"/>
        </xdr:cNvSpPr>
      </xdr:nvSpPr>
      <xdr:spPr bwMode="auto">
        <a:xfrm>
          <a:off x="5276850" y="142875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196985</xdr:colOff>
      <xdr:row>1</xdr:row>
      <xdr:rowOff>19147</xdr:rowOff>
    </xdr:from>
    <xdr:to>
      <xdr:col>6</xdr:col>
      <xdr:colOff>1190626</xdr:colOff>
      <xdr:row>3</xdr:row>
      <xdr:rowOff>205858</xdr:rowOff>
    </xdr:to>
    <xdr:sp macro="[0]!EnterPatientDetails" textlink="">
      <xdr:nvSpPr>
        <xdr:cNvPr id="11313" name="Rectangle 49"/>
        <xdr:cNvSpPr>
          <a:spLocks noChangeArrowheads="1"/>
        </xdr:cNvSpPr>
      </xdr:nvSpPr>
      <xdr:spPr bwMode="auto">
        <a:xfrm flipV="1">
          <a:off x="597035" y="114397"/>
          <a:ext cx="4622666" cy="6248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15</xdr:row>
      <xdr:rowOff>9525</xdr:rowOff>
    </xdr:from>
    <xdr:to>
      <xdr:col>8</xdr:col>
      <xdr:colOff>9525</xdr:colOff>
      <xdr:row>16</xdr:row>
      <xdr:rowOff>9525</xdr:rowOff>
    </xdr:to>
    <xdr:sp macro="[0]!PedLijnPM_EnterText" textlink="">
      <xdr:nvSpPr>
        <xdr:cNvPr id="11314" name="Rectangle 50"/>
        <xdr:cNvSpPr>
          <a:spLocks noChangeArrowheads="1"/>
        </xdr:cNvSpPr>
      </xdr:nvSpPr>
      <xdr:spPr bwMode="auto">
        <a:xfrm>
          <a:off x="723900" y="3086100"/>
          <a:ext cx="608647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290139</xdr:colOff>
      <xdr:row>6</xdr:row>
      <xdr:rowOff>18903</xdr:rowOff>
    </xdr:from>
    <xdr:to>
      <xdr:col>4</xdr:col>
      <xdr:colOff>148410</xdr:colOff>
      <xdr:row>6</xdr:row>
      <xdr:rowOff>215288</xdr:rowOff>
    </xdr:to>
    <xdr:sp macro="[0]!PedLijnPM_ShowPickList" textlink="">
      <xdr:nvSpPr>
        <xdr:cNvPr id="11317" name="Rectangle 53"/>
        <xdr:cNvSpPr>
          <a:spLocks noChangeArrowheads="1"/>
        </xdr:cNvSpPr>
      </xdr:nvSpPr>
      <xdr:spPr bwMode="auto">
        <a:xfrm>
          <a:off x="711433" y="1024264"/>
          <a:ext cx="134237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20</xdr:row>
          <xdr:rowOff>19050</xdr:rowOff>
        </xdr:from>
        <xdr:to>
          <xdr:col>5</xdr:col>
          <xdr:colOff>0</xdr:colOff>
          <xdr:row>21</xdr:row>
          <xdr:rowOff>9525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20</xdr:row>
          <xdr:rowOff>19050</xdr:rowOff>
        </xdr:from>
        <xdr:to>
          <xdr:col>8</xdr:col>
          <xdr:colOff>0</xdr:colOff>
          <xdr:row>21</xdr:row>
          <xdr:rowOff>9525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24</xdr:row>
          <xdr:rowOff>9525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25</xdr:row>
          <xdr:rowOff>19050</xdr:rowOff>
        </xdr:from>
        <xdr:to>
          <xdr:col>5</xdr:col>
          <xdr:colOff>0</xdr:colOff>
          <xdr:row>26</xdr:row>
          <xdr:rowOff>9525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27</xdr:row>
          <xdr:rowOff>0</xdr:rowOff>
        </xdr:from>
        <xdr:to>
          <xdr:col>5</xdr:col>
          <xdr:colOff>0</xdr:colOff>
          <xdr:row>27</xdr:row>
          <xdr:rowOff>238125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29</xdr:row>
          <xdr:rowOff>19050</xdr:rowOff>
        </xdr:from>
        <xdr:to>
          <xdr:col>5</xdr:col>
          <xdr:colOff>0</xdr:colOff>
          <xdr:row>30</xdr:row>
          <xdr:rowOff>9525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30</xdr:row>
          <xdr:rowOff>19050</xdr:rowOff>
        </xdr:from>
        <xdr:to>
          <xdr:col>5</xdr:col>
          <xdr:colOff>0</xdr:colOff>
          <xdr:row>31</xdr:row>
          <xdr:rowOff>9525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</xdr:col>
      <xdr:colOff>19150</xdr:colOff>
      <xdr:row>22</xdr:row>
      <xdr:rowOff>19148</xdr:rowOff>
    </xdr:from>
    <xdr:to>
      <xdr:col>1</xdr:col>
      <xdr:colOff>406932</xdr:colOff>
      <xdr:row>23</xdr:row>
      <xdr:rowOff>4788</xdr:rowOff>
    </xdr:to>
    <xdr:sp macro="[0]!PedLijnPM_PaceMaker" textlink="">
      <xdr:nvSpPr>
        <xdr:cNvPr id="25" name="Rectangle 50"/>
        <xdr:cNvSpPr>
          <a:spLocks noChangeArrowheads="1"/>
        </xdr:cNvSpPr>
      </xdr:nvSpPr>
      <xdr:spPr bwMode="auto">
        <a:xfrm>
          <a:off x="19150" y="4256028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9576</xdr:colOff>
      <xdr:row>8</xdr:row>
      <xdr:rowOff>0</xdr:rowOff>
    </xdr:from>
    <xdr:to>
      <xdr:col>2</xdr:col>
      <xdr:colOff>14364</xdr:colOff>
      <xdr:row>8</xdr:row>
      <xdr:rowOff>196385</xdr:rowOff>
    </xdr:to>
    <xdr:sp macro="[0]!PedLijnPM_Clear_1" textlink="">
      <xdr:nvSpPr>
        <xdr:cNvPr id="24" name="Rectangle 53"/>
        <xdr:cNvSpPr>
          <a:spLocks noChangeArrowheads="1"/>
        </xdr:cNvSpPr>
      </xdr:nvSpPr>
      <xdr:spPr bwMode="auto">
        <a:xfrm>
          <a:off x="9576" y="1335694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4787</xdr:rowOff>
    </xdr:from>
    <xdr:to>
      <xdr:col>2</xdr:col>
      <xdr:colOff>4788</xdr:colOff>
      <xdr:row>9</xdr:row>
      <xdr:rowOff>201172</xdr:rowOff>
    </xdr:to>
    <xdr:sp macro="[0]!PedLijnPM_Clear_2" textlink="">
      <xdr:nvSpPr>
        <xdr:cNvPr id="26" name="Rectangle 53"/>
        <xdr:cNvSpPr>
          <a:spLocks noChangeArrowheads="1"/>
        </xdr:cNvSpPr>
      </xdr:nvSpPr>
      <xdr:spPr bwMode="auto">
        <a:xfrm>
          <a:off x="0" y="155591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0</xdr:rowOff>
    </xdr:from>
    <xdr:to>
      <xdr:col>2</xdr:col>
      <xdr:colOff>4788</xdr:colOff>
      <xdr:row>10</xdr:row>
      <xdr:rowOff>196385</xdr:rowOff>
    </xdr:to>
    <xdr:sp macro="[0]!PedLijnPM_Clear_3" textlink="">
      <xdr:nvSpPr>
        <xdr:cNvPr id="27" name="Rectangle 53"/>
        <xdr:cNvSpPr>
          <a:spLocks noChangeArrowheads="1"/>
        </xdr:cNvSpPr>
      </xdr:nvSpPr>
      <xdr:spPr bwMode="auto">
        <a:xfrm>
          <a:off x="0" y="1766563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LijnPM_Clear_4" textlink="">
      <xdr:nvSpPr>
        <xdr:cNvPr id="28" name="Rectangle 53"/>
        <xdr:cNvSpPr>
          <a:spLocks noChangeArrowheads="1"/>
        </xdr:cNvSpPr>
      </xdr:nvSpPr>
      <xdr:spPr bwMode="auto">
        <a:xfrm>
          <a:off x="0" y="1981998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0</xdr:rowOff>
    </xdr:from>
    <xdr:to>
      <xdr:col>2</xdr:col>
      <xdr:colOff>4788</xdr:colOff>
      <xdr:row>12</xdr:row>
      <xdr:rowOff>196385</xdr:rowOff>
    </xdr:to>
    <xdr:sp macro="[0]!PedLijnPM_Clear_5" textlink="">
      <xdr:nvSpPr>
        <xdr:cNvPr id="29" name="Rectangle 53"/>
        <xdr:cNvSpPr>
          <a:spLocks noChangeArrowheads="1"/>
        </xdr:cNvSpPr>
      </xdr:nvSpPr>
      <xdr:spPr bwMode="auto">
        <a:xfrm>
          <a:off x="0" y="2197432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LijnPM_Clear_6" textlink="">
      <xdr:nvSpPr>
        <xdr:cNvPr id="30" name="Rectangle 53"/>
        <xdr:cNvSpPr>
          <a:spLocks noChangeArrowheads="1"/>
        </xdr:cNvSpPr>
      </xdr:nvSpPr>
      <xdr:spPr bwMode="auto">
        <a:xfrm>
          <a:off x="0" y="2412867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LijnPM_Clear_Opm" textlink="">
      <xdr:nvSpPr>
        <xdr:cNvPr id="31" name="Rectangle 53"/>
        <xdr:cNvSpPr>
          <a:spLocks noChangeArrowheads="1"/>
        </xdr:cNvSpPr>
      </xdr:nvSpPr>
      <xdr:spPr bwMode="auto">
        <a:xfrm>
          <a:off x="0" y="284373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33512</xdr:rowOff>
    </xdr:from>
    <xdr:to>
      <xdr:col>1</xdr:col>
      <xdr:colOff>387782</xdr:colOff>
      <xdr:row>18</xdr:row>
      <xdr:rowOff>234586</xdr:rowOff>
    </xdr:to>
    <xdr:sp macro="[0]!PedLijnPM_ClearPM" textlink="">
      <xdr:nvSpPr>
        <xdr:cNvPr id="32" name="Rectangle 50"/>
        <xdr:cNvSpPr>
          <a:spLocks noChangeArrowheads="1"/>
        </xdr:cNvSpPr>
      </xdr:nvSpPr>
      <xdr:spPr bwMode="auto">
        <a:xfrm>
          <a:off x="0" y="3561851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19050</xdr:colOff>
      <xdr:row>2</xdr:row>
      <xdr:rowOff>38100</xdr:rowOff>
    </xdr:from>
    <xdr:to>
      <xdr:col>7</xdr:col>
      <xdr:colOff>990600</xdr:colOff>
      <xdr:row>3</xdr:row>
      <xdr:rowOff>0</xdr:rowOff>
    </xdr:to>
    <xdr:sp macro="[0]!Patient_EnterLength" textlink="">
      <xdr:nvSpPr>
        <xdr:cNvPr id="33" name="Rectangle 47"/>
        <xdr:cNvSpPr>
          <a:spLocks noChangeArrowheads="1"/>
        </xdr:cNvSpPr>
      </xdr:nvSpPr>
      <xdr:spPr bwMode="auto">
        <a:xfrm>
          <a:off x="6505575" y="352425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11</xdr:row>
          <xdr:rowOff>0</xdr:rowOff>
        </xdr:from>
        <xdr:to>
          <xdr:col>3</xdr:col>
          <xdr:colOff>942975</xdr:colOff>
          <xdr:row>11</xdr:row>
          <xdr:rowOff>238125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819150</xdr:colOff>
          <xdr:row>11</xdr:row>
          <xdr:rowOff>0</xdr:rowOff>
        </xdr:from>
        <xdr:to>
          <xdr:col>5</xdr:col>
          <xdr:colOff>9525</xdr:colOff>
          <xdr:row>11</xdr:row>
          <xdr:rowOff>238125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0</xdr:rowOff>
        </xdr:from>
        <xdr:to>
          <xdr:col>7</xdr:col>
          <xdr:colOff>0</xdr:colOff>
          <xdr:row>11</xdr:row>
          <xdr:rowOff>238125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21</xdr:row>
          <xdr:rowOff>0</xdr:rowOff>
        </xdr:from>
        <xdr:to>
          <xdr:col>5</xdr:col>
          <xdr:colOff>142875</xdr:colOff>
          <xdr:row>21</xdr:row>
          <xdr:rowOff>238125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638175</xdr:colOff>
          <xdr:row>24</xdr:row>
          <xdr:rowOff>238125</xdr:rowOff>
        </xdr:from>
        <xdr:to>
          <xdr:col>5</xdr:col>
          <xdr:colOff>781050</xdr:colOff>
          <xdr:row>25</xdr:row>
          <xdr:rowOff>228600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638175</xdr:colOff>
          <xdr:row>25</xdr:row>
          <xdr:rowOff>238125</xdr:rowOff>
        </xdr:from>
        <xdr:to>
          <xdr:col>5</xdr:col>
          <xdr:colOff>781050</xdr:colOff>
          <xdr:row>26</xdr:row>
          <xdr:rowOff>238125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638175</xdr:colOff>
          <xdr:row>28</xdr:row>
          <xdr:rowOff>0</xdr:rowOff>
        </xdr:from>
        <xdr:to>
          <xdr:col>5</xdr:col>
          <xdr:colOff>781050</xdr:colOff>
          <xdr:row>28</xdr:row>
          <xdr:rowOff>238125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33</xdr:row>
          <xdr:rowOff>0</xdr:rowOff>
        </xdr:from>
        <xdr:to>
          <xdr:col>5</xdr:col>
          <xdr:colOff>142875</xdr:colOff>
          <xdr:row>33</xdr:row>
          <xdr:rowOff>238125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638175</xdr:colOff>
          <xdr:row>35</xdr:row>
          <xdr:rowOff>0</xdr:rowOff>
        </xdr:from>
        <xdr:to>
          <xdr:col>5</xdr:col>
          <xdr:colOff>781050</xdr:colOff>
          <xdr:row>35</xdr:row>
          <xdr:rowOff>238125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638175</xdr:colOff>
          <xdr:row>36</xdr:row>
          <xdr:rowOff>0</xdr:rowOff>
        </xdr:from>
        <xdr:to>
          <xdr:col>5</xdr:col>
          <xdr:colOff>781050</xdr:colOff>
          <xdr:row>36</xdr:row>
          <xdr:rowOff>238125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9525</xdr:rowOff>
        </xdr:from>
        <xdr:to>
          <xdr:col>6</xdr:col>
          <xdr:colOff>19050</xdr:colOff>
          <xdr:row>9</xdr:row>
          <xdr:rowOff>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25</xdr:row>
          <xdr:rowOff>19050</xdr:rowOff>
        </xdr:from>
        <xdr:to>
          <xdr:col>3</xdr:col>
          <xdr:colOff>114300</xdr:colOff>
          <xdr:row>25</xdr:row>
          <xdr:rowOff>238125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26</xdr:row>
          <xdr:rowOff>19050</xdr:rowOff>
        </xdr:from>
        <xdr:to>
          <xdr:col>3</xdr:col>
          <xdr:colOff>114300</xdr:colOff>
          <xdr:row>26</xdr:row>
          <xdr:rowOff>238125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28</xdr:row>
          <xdr:rowOff>19050</xdr:rowOff>
        </xdr:from>
        <xdr:to>
          <xdr:col>3</xdr:col>
          <xdr:colOff>114300</xdr:colOff>
          <xdr:row>28</xdr:row>
          <xdr:rowOff>238125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35</xdr:row>
          <xdr:rowOff>19050</xdr:rowOff>
        </xdr:from>
        <xdr:to>
          <xdr:col>3</xdr:col>
          <xdr:colOff>114300</xdr:colOff>
          <xdr:row>35</xdr:row>
          <xdr:rowOff>238125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36</xdr:row>
          <xdr:rowOff>57150</xdr:rowOff>
        </xdr:from>
        <xdr:to>
          <xdr:col>3</xdr:col>
          <xdr:colOff>114300</xdr:colOff>
          <xdr:row>37</xdr:row>
          <xdr:rowOff>28575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29</xdr:row>
          <xdr:rowOff>19050</xdr:rowOff>
        </xdr:from>
        <xdr:to>
          <xdr:col>3</xdr:col>
          <xdr:colOff>114300</xdr:colOff>
          <xdr:row>29</xdr:row>
          <xdr:rowOff>238125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31</xdr:row>
          <xdr:rowOff>19050</xdr:rowOff>
        </xdr:from>
        <xdr:to>
          <xdr:col>3</xdr:col>
          <xdr:colOff>114300</xdr:colOff>
          <xdr:row>31</xdr:row>
          <xdr:rowOff>238125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638175</xdr:colOff>
          <xdr:row>29</xdr:row>
          <xdr:rowOff>0</xdr:rowOff>
        </xdr:from>
        <xdr:to>
          <xdr:col>5</xdr:col>
          <xdr:colOff>781050</xdr:colOff>
          <xdr:row>29</xdr:row>
          <xdr:rowOff>238125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638175</xdr:colOff>
          <xdr:row>31</xdr:row>
          <xdr:rowOff>9525</xdr:rowOff>
        </xdr:from>
        <xdr:to>
          <xdr:col>5</xdr:col>
          <xdr:colOff>781050</xdr:colOff>
          <xdr:row>32</xdr:row>
          <xdr:rowOff>0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21</xdr:row>
          <xdr:rowOff>238125</xdr:rowOff>
        </xdr:from>
        <xdr:to>
          <xdr:col>4</xdr:col>
          <xdr:colOff>838200</xdr:colOff>
          <xdr:row>22</xdr:row>
          <xdr:rowOff>228600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24</xdr:row>
          <xdr:rowOff>0</xdr:rowOff>
        </xdr:from>
        <xdr:to>
          <xdr:col>4</xdr:col>
          <xdr:colOff>838200</xdr:colOff>
          <xdr:row>24</xdr:row>
          <xdr:rowOff>238125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638175</xdr:colOff>
          <xdr:row>21</xdr:row>
          <xdr:rowOff>238125</xdr:rowOff>
        </xdr:from>
        <xdr:to>
          <xdr:col>5</xdr:col>
          <xdr:colOff>781050</xdr:colOff>
          <xdr:row>22</xdr:row>
          <xdr:rowOff>228600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13</xdr:row>
          <xdr:rowOff>0</xdr:rowOff>
        </xdr:from>
        <xdr:to>
          <xdr:col>4</xdr:col>
          <xdr:colOff>0</xdr:colOff>
          <xdr:row>13</xdr:row>
          <xdr:rowOff>238125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819150</xdr:colOff>
          <xdr:row>13</xdr:row>
          <xdr:rowOff>0</xdr:rowOff>
        </xdr:from>
        <xdr:to>
          <xdr:col>5</xdr:col>
          <xdr:colOff>9525</xdr:colOff>
          <xdr:row>13</xdr:row>
          <xdr:rowOff>238125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0</xdr:rowOff>
        </xdr:from>
        <xdr:to>
          <xdr:col>7</xdr:col>
          <xdr:colOff>0</xdr:colOff>
          <xdr:row>13</xdr:row>
          <xdr:rowOff>238125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638175</xdr:colOff>
          <xdr:row>23</xdr:row>
          <xdr:rowOff>9525</xdr:rowOff>
        </xdr:from>
        <xdr:to>
          <xdr:col>5</xdr:col>
          <xdr:colOff>781050</xdr:colOff>
          <xdr:row>24</xdr:row>
          <xdr:rowOff>0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5</xdr:col>
      <xdr:colOff>9575</xdr:colOff>
      <xdr:row>22</xdr:row>
      <xdr:rowOff>19151</xdr:rowOff>
    </xdr:from>
    <xdr:to>
      <xdr:col>5</xdr:col>
      <xdr:colOff>558215</xdr:colOff>
      <xdr:row>22</xdr:row>
      <xdr:rowOff>238607</xdr:rowOff>
    </xdr:to>
    <xdr:sp macro="[0]!PedEntTPN_TPN" textlink="">
      <xdr:nvSpPr>
        <xdr:cNvPr id="8251" name="Rectangle 59"/>
        <xdr:cNvSpPr>
          <a:spLocks noChangeArrowheads="1"/>
        </xdr:cNvSpPr>
      </xdr:nvSpPr>
      <xdr:spPr bwMode="auto">
        <a:xfrm>
          <a:off x="2533700" y="4295876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14</xdr:row>
          <xdr:rowOff>0</xdr:rowOff>
        </xdr:from>
        <xdr:to>
          <xdr:col>4</xdr:col>
          <xdr:colOff>0</xdr:colOff>
          <xdr:row>14</xdr:row>
          <xdr:rowOff>238125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819150</xdr:colOff>
          <xdr:row>14</xdr:row>
          <xdr:rowOff>0</xdr:rowOff>
        </xdr:from>
        <xdr:to>
          <xdr:col>5</xdr:col>
          <xdr:colOff>9525</xdr:colOff>
          <xdr:row>14</xdr:row>
          <xdr:rowOff>238125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0</xdr:rowOff>
        </xdr:from>
        <xdr:to>
          <xdr:col>7</xdr:col>
          <xdr:colOff>0</xdr:colOff>
          <xdr:row>14</xdr:row>
          <xdr:rowOff>238125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15</xdr:row>
          <xdr:rowOff>0</xdr:rowOff>
        </xdr:from>
        <xdr:to>
          <xdr:col>4</xdr:col>
          <xdr:colOff>0</xdr:colOff>
          <xdr:row>15</xdr:row>
          <xdr:rowOff>238125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819150</xdr:colOff>
          <xdr:row>15</xdr:row>
          <xdr:rowOff>0</xdr:rowOff>
        </xdr:from>
        <xdr:to>
          <xdr:col>5</xdr:col>
          <xdr:colOff>9525</xdr:colOff>
          <xdr:row>15</xdr:row>
          <xdr:rowOff>238125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0</xdr:rowOff>
        </xdr:from>
        <xdr:to>
          <xdr:col>7</xdr:col>
          <xdr:colOff>0</xdr:colOff>
          <xdr:row>15</xdr:row>
          <xdr:rowOff>238125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828675</xdr:colOff>
          <xdr:row>21</xdr:row>
          <xdr:rowOff>0</xdr:rowOff>
        </xdr:from>
        <xdr:to>
          <xdr:col>9</xdr:col>
          <xdr:colOff>981075</xdr:colOff>
          <xdr:row>21</xdr:row>
          <xdr:rowOff>238125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828675</xdr:colOff>
          <xdr:row>25</xdr:row>
          <xdr:rowOff>0</xdr:rowOff>
        </xdr:from>
        <xdr:to>
          <xdr:col>9</xdr:col>
          <xdr:colOff>981075</xdr:colOff>
          <xdr:row>25</xdr:row>
          <xdr:rowOff>238125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828675</xdr:colOff>
          <xdr:row>26</xdr:row>
          <xdr:rowOff>0</xdr:rowOff>
        </xdr:from>
        <xdr:to>
          <xdr:col>9</xdr:col>
          <xdr:colOff>981075</xdr:colOff>
          <xdr:row>27</xdr:row>
          <xdr:rowOff>0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25</xdr:row>
          <xdr:rowOff>19050</xdr:rowOff>
        </xdr:from>
        <xdr:to>
          <xdr:col>8</xdr:col>
          <xdr:colOff>314325</xdr:colOff>
          <xdr:row>25</xdr:row>
          <xdr:rowOff>238125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26</xdr:row>
          <xdr:rowOff>19050</xdr:rowOff>
        </xdr:from>
        <xdr:to>
          <xdr:col>8</xdr:col>
          <xdr:colOff>314325</xdr:colOff>
          <xdr:row>26</xdr:row>
          <xdr:rowOff>238125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24</xdr:row>
          <xdr:rowOff>0</xdr:rowOff>
        </xdr:from>
        <xdr:to>
          <xdr:col>9</xdr:col>
          <xdr:colOff>981075</xdr:colOff>
          <xdr:row>24</xdr:row>
          <xdr:rowOff>238125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9</xdr:col>
      <xdr:colOff>9574</xdr:colOff>
      <xdr:row>8</xdr:row>
      <xdr:rowOff>8479</xdr:rowOff>
    </xdr:from>
    <xdr:to>
      <xdr:col>11</xdr:col>
      <xdr:colOff>646303</xdr:colOff>
      <xdr:row>18</xdr:row>
      <xdr:rowOff>0</xdr:rowOff>
    </xdr:to>
    <xdr:sp macro="[0]!PedEntTPN_SpecVoed" textlink="">
      <xdr:nvSpPr>
        <xdr:cNvPr id="8264" name="Rectangle 72"/>
        <xdr:cNvSpPr>
          <a:spLocks noChangeArrowheads="1"/>
        </xdr:cNvSpPr>
      </xdr:nvSpPr>
      <xdr:spPr bwMode="auto">
        <a:xfrm>
          <a:off x="7578508" y="1262787"/>
          <a:ext cx="2379355" cy="237566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9575</xdr:colOff>
      <xdr:row>25</xdr:row>
      <xdr:rowOff>23543</xdr:rowOff>
    </xdr:from>
    <xdr:to>
      <xdr:col>5</xdr:col>
      <xdr:colOff>558215</xdr:colOff>
      <xdr:row>25</xdr:row>
      <xdr:rowOff>242999</xdr:rowOff>
    </xdr:to>
    <xdr:sp macro="[0]!PedEntTPN_NaCL1" textlink="">
      <xdr:nvSpPr>
        <xdr:cNvPr id="8265" name="Rectangle 73"/>
        <xdr:cNvSpPr>
          <a:spLocks noChangeArrowheads="1"/>
        </xdr:cNvSpPr>
      </xdr:nvSpPr>
      <xdr:spPr bwMode="auto">
        <a:xfrm>
          <a:off x="2533700" y="504321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9575</xdr:colOff>
      <xdr:row>26</xdr:row>
      <xdr:rowOff>58684</xdr:rowOff>
    </xdr:from>
    <xdr:to>
      <xdr:col>5</xdr:col>
      <xdr:colOff>558215</xdr:colOff>
      <xdr:row>27</xdr:row>
      <xdr:rowOff>30490</xdr:rowOff>
    </xdr:to>
    <xdr:sp macro="[0]!PedEntTPN_KCl1" textlink="">
      <xdr:nvSpPr>
        <xdr:cNvPr id="8266" name="Rectangle 74"/>
        <xdr:cNvSpPr>
          <a:spLocks noChangeArrowheads="1"/>
        </xdr:cNvSpPr>
      </xdr:nvSpPr>
      <xdr:spPr bwMode="auto">
        <a:xfrm>
          <a:off x="2533700" y="5326009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19044</xdr:colOff>
      <xdr:row>1</xdr:row>
      <xdr:rowOff>27633</xdr:rowOff>
    </xdr:from>
    <xdr:to>
      <xdr:col>9</xdr:col>
      <xdr:colOff>5709</xdr:colOff>
      <xdr:row>1</xdr:row>
      <xdr:rowOff>146538</xdr:rowOff>
    </xdr:to>
    <xdr:sp macro="[0]!Patient_EnterWeight" textlink="">
      <xdr:nvSpPr>
        <xdr:cNvPr id="8269" name="Rectangle 77"/>
        <xdr:cNvSpPr>
          <a:spLocks noChangeArrowheads="1"/>
        </xdr:cNvSpPr>
      </xdr:nvSpPr>
      <xdr:spPr bwMode="auto">
        <a:xfrm>
          <a:off x="6038844" y="122883"/>
          <a:ext cx="1005840" cy="1189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29517</xdr:rowOff>
    </xdr:from>
    <xdr:to>
      <xdr:col>9</xdr:col>
      <xdr:colOff>15240</xdr:colOff>
      <xdr:row>3</xdr:row>
      <xdr:rowOff>10466</xdr:rowOff>
    </xdr:to>
    <xdr:sp macro="[0]!Patient_EnterLength" textlink="">
      <xdr:nvSpPr>
        <xdr:cNvPr id="8270" name="Rectangle 78"/>
        <xdr:cNvSpPr>
          <a:spLocks noChangeArrowheads="1"/>
        </xdr:cNvSpPr>
      </xdr:nvSpPr>
      <xdr:spPr bwMode="auto">
        <a:xfrm>
          <a:off x="6048375" y="286692"/>
          <a:ext cx="1005840" cy="1428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9575</xdr:colOff>
      <xdr:row>0</xdr:row>
      <xdr:rowOff>153197</xdr:rowOff>
    </xdr:from>
    <xdr:to>
      <xdr:col>8</xdr:col>
      <xdr:colOff>14362</xdr:colOff>
      <xdr:row>4</xdr:row>
      <xdr:rowOff>129260</xdr:rowOff>
    </xdr:to>
    <xdr:sp macro="[0]!EnterPatientDetails" textlink="">
      <xdr:nvSpPr>
        <xdr:cNvPr id="8271" name="Rectangle 79"/>
        <xdr:cNvSpPr>
          <a:spLocks noChangeArrowheads="1"/>
        </xdr:cNvSpPr>
      </xdr:nvSpPr>
      <xdr:spPr bwMode="auto">
        <a:xfrm flipV="1">
          <a:off x="660666" y="153197"/>
          <a:ext cx="5826308" cy="6463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17</xdr:row>
      <xdr:rowOff>28575</xdr:rowOff>
    </xdr:from>
    <xdr:to>
      <xdr:col>7</xdr:col>
      <xdr:colOff>919487</xdr:colOff>
      <xdr:row>17</xdr:row>
      <xdr:rowOff>228600</xdr:rowOff>
    </xdr:to>
    <xdr:sp macro="[0]!PedEntTPN_EntText" textlink="">
      <xdr:nvSpPr>
        <xdr:cNvPr id="8273" name="Rectangle 81"/>
        <xdr:cNvSpPr>
          <a:spLocks noChangeArrowheads="1"/>
        </xdr:cNvSpPr>
      </xdr:nvSpPr>
      <xdr:spPr bwMode="auto">
        <a:xfrm>
          <a:off x="400050" y="3371850"/>
          <a:ext cx="5615312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390525</xdr:colOff>
      <xdr:row>38</xdr:row>
      <xdr:rowOff>9525</xdr:rowOff>
    </xdr:from>
    <xdr:to>
      <xdr:col>8</xdr:col>
      <xdr:colOff>38101</xdr:colOff>
      <xdr:row>39</xdr:row>
      <xdr:rowOff>0</xdr:rowOff>
    </xdr:to>
    <xdr:sp macro="[0]!PedEntTPN_TPNText" textlink="">
      <xdr:nvSpPr>
        <xdr:cNvPr id="8274" name="Rectangle 82"/>
        <xdr:cNvSpPr>
          <a:spLocks noChangeArrowheads="1"/>
        </xdr:cNvSpPr>
      </xdr:nvSpPr>
      <xdr:spPr bwMode="auto">
        <a:xfrm>
          <a:off x="390525" y="7724775"/>
          <a:ext cx="5667376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9575</xdr:colOff>
      <xdr:row>28</xdr:row>
      <xdr:rowOff>22008</xdr:rowOff>
    </xdr:from>
    <xdr:to>
      <xdr:col>5</xdr:col>
      <xdr:colOff>558215</xdr:colOff>
      <xdr:row>28</xdr:row>
      <xdr:rowOff>241464</xdr:rowOff>
    </xdr:to>
    <xdr:sp macro="[0]!PedEntTPN_CaGlucVol" textlink="">
      <xdr:nvSpPr>
        <xdr:cNvPr id="8275" name="Rectangle 83"/>
        <xdr:cNvSpPr>
          <a:spLocks noChangeArrowheads="1"/>
        </xdr:cNvSpPr>
      </xdr:nvSpPr>
      <xdr:spPr bwMode="auto">
        <a:xfrm>
          <a:off x="2533700" y="566080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9575</xdr:colOff>
      <xdr:row>29</xdr:row>
      <xdr:rowOff>57150</xdr:rowOff>
    </xdr:from>
    <xdr:to>
      <xdr:col>5</xdr:col>
      <xdr:colOff>558215</xdr:colOff>
      <xdr:row>30</xdr:row>
      <xdr:rowOff>28956</xdr:rowOff>
    </xdr:to>
    <xdr:sp macro="[0]!PedEntTPN_MgCl" textlink="">
      <xdr:nvSpPr>
        <xdr:cNvPr id="8276" name="Rectangle 84"/>
        <xdr:cNvSpPr>
          <a:spLocks noChangeArrowheads="1"/>
        </xdr:cNvSpPr>
      </xdr:nvSpPr>
      <xdr:spPr bwMode="auto">
        <a:xfrm>
          <a:off x="2533700" y="5943600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19049</xdr:colOff>
      <xdr:row>10</xdr:row>
      <xdr:rowOff>14362</xdr:rowOff>
    </xdr:from>
    <xdr:to>
      <xdr:col>3</xdr:col>
      <xdr:colOff>990998</xdr:colOff>
      <xdr:row>11</xdr:row>
      <xdr:rowOff>1</xdr:rowOff>
    </xdr:to>
    <xdr:sp macro="[0]!PedEntTPN_ShowVoedingPickList" textlink="">
      <xdr:nvSpPr>
        <xdr:cNvPr id="8277" name="Rectangle 85"/>
        <xdr:cNvSpPr>
          <a:spLocks noChangeArrowheads="1"/>
        </xdr:cNvSpPr>
      </xdr:nvSpPr>
      <xdr:spPr bwMode="auto">
        <a:xfrm>
          <a:off x="670140" y="1699539"/>
          <a:ext cx="971949" cy="2297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19</xdr:row>
      <xdr:rowOff>123825</xdr:rowOff>
    </xdr:from>
    <xdr:to>
      <xdr:col>3</xdr:col>
      <xdr:colOff>476250</xdr:colOff>
      <xdr:row>21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803442</xdr:colOff>
      <xdr:row>25</xdr:row>
      <xdr:rowOff>51470</xdr:rowOff>
    </xdr:from>
    <xdr:to>
      <xdr:col>9</xdr:col>
      <xdr:colOff>631094</xdr:colOff>
      <xdr:row>25</xdr:row>
      <xdr:rowOff>234350</xdr:rowOff>
    </xdr:to>
    <xdr:sp macro="[0]!PedEntTPN_NaCL2" textlink="">
      <xdr:nvSpPr>
        <xdr:cNvPr id="58" name="Rectangle 73"/>
        <xdr:cNvSpPr>
          <a:spLocks noChangeArrowheads="1"/>
        </xdr:cNvSpPr>
      </xdr:nvSpPr>
      <xdr:spPr bwMode="auto">
        <a:xfrm>
          <a:off x="8109067" y="43697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803442</xdr:colOff>
      <xdr:row>26</xdr:row>
      <xdr:rowOff>86611</xdr:rowOff>
    </xdr:from>
    <xdr:to>
      <xdr:col>9</xdr:col>
      <xdr:colOff>631094</xdr:colOff>
      <xdr:row>27</xdr:row>
      <xdr:rowOff>25332</xdr:rowOff>
    </xdr:to>
    <xdr:sp macro="[0]!PedEntTPN_KCL2" textlink="">
      <xdr:nvSpPr>
        <xdr:cNvPr id="59" name="Rectangle 74"/>
        <xdr:cNvSpPr>
          <a:spLocks noChangeArrowheads="1"/>
        </xdr:cNvSpPr>
      </xdr:nvSpPr>
      <xdr:spPr bwMode="auto">
        <a:xfrm>
          <a:off x="8109067" y="46490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0</xdr:rowOff>
    </xdr:from>
    <xdr:to>
      <xdr:col>2</xdr:col>
      <xdr:colOff>4788</xdr:colOff>
      <xdr:row>8</xdr:row>
      <xdr:rowOff>196385</xdr:rowOff>
    </xdr:to>
    <xdr:sp macro="[0]!PedEntTPN_ClearSonde" textlink="">
      <xdr:nvSpPr>
        <xdr:cNvPr id="57" name="Rectangle 53"/>
        <xdr:cNvSpPr>
          <a:spLocks noChangeArrowheads="1"/>
        </xdr:cNvSpPr>
      </xdr:nvSpPr>
      <xdr:spPr bwMode="auto">
        <a:xfrm>
          <a:off x="0" y="1254308"/>
          <a:ext cx="43087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28724</xdr:rowOff>
    </xdr:from>
    <xdr:to>
      <xdr:col>2</xdr:col>
      <xdr:colOff>4788</xdr:colOff>
      <xdr:row>11</xdr:row>
      <xdr:rowOff>225109</xdr:rowOff>
    </xdr:to>
    <xdr:sp macro="[0]!PedEntTPN_ClearVoeding_1" textlink="">
      <xdr:nvSpPr>
        <xdr:cNvPr id="60" name="Rectangle 53"/>
        <xdr:cNvSpPr>
          <a:spLocks noChangeArrowheads="1"/>
        </xdr:cNvSpPr>
      </xdr:nvSpPr>
      <xdr:spPr bwMode="auto">
        <a:xfrm>
          <a:off x="0" y="1958060"/>
          <a:ext cx="43087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33509</xdr:rowOff>
    </xdr:from>
    <xdr:to>
      <xdr:col>2</xdr:col>
      <xdr:colOff>4788</xdr:colOff>
      <xdr:row>13</xdr:row>
      <xdr:rowOff>229894</xdr:rowOff>
    </xdr:to>
    <xdr:sp macro="[0]!PedEntTPN_ClearVoeding_2" textlink="">
      <xdr:nvSpPr>
        <xdr:cNvPr id="61" name="Rectangle 53"/>
        <xdr:cNvSpPr>
          <a:spLocks noChangeArrowheads="1"/>
        </xdr:cNvSpPr>
      </xdr:nvSpPr>
      <xdr:spPr bwMode="auto">
        <a:xfrm>
          <a:off x="0" y="2451163"/>
          <a:ext cx="43087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14</xdr:row>
      <xdr:rowOff>28722</xdr:rowOff>
    </xdr:from>
    <xdr:to>
      <xdr:col>2</xdr:col>
      <xdr:colOff>4788</xdr:colOff>
      <xdr:row>14</xdr:row>
      <xdr:rowOff>225107</xdr:rowOff>
    </xdr:to>
    <xdr:sp macro="[0]!PedEntTPN_ClearVoeding_3" textlink="">
      <xdr:nvSpPr>
        <xdr:cNvPr id="62" name="Rectangle 53"/>
        <xdr:cNvSpPr>
          <a:spLocks noChangeArrowheads="1"/>
        </xdr:cNvSpPr>
      </xdr:nvSpPr>
      <xdr:spPr bwMode="auto">
        <a:xfrm>
          <a:off x="0" y="2690536"/>
          <a:ext cx="43087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33509</xdr:rowOff>
    </xdr:from>
    <xdr:to>
      <xdr:col>2</xdr:col>
      <xdr:colOff>4788</xdr:colOff>
      <xdr:row>15</xdr:row>
      <xdr:rowOff>229894</xdr:rowOff>
    </xdr:to>
    <xdr:sp macro="[0]!PedEntTPN_ClearVoeding_4" textlink="">
      <xdr:nvSpPr>
        <xdr:cNvPr id="63" name="Rectangle 53"/>
        <xdr:cNvSpPr>
          <a:spLocks noChangeArrowheads="1"/>
        </xdr:cNvSpPr>
      </xdr:nvSpPr>
      <xdr:spPr bwMode="auto">
        <a:xfrm>
          <a:off x="0" y="2939482"/>
          <a:ext cx="43087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38299</xdr:rowOff>
    </xdr:from>
    <xdr:to>
      <xdr:col>2</xdr:col>
      <xdr:colOff>4788</xdr:colOff>
      <xdr:row>17</xdr:row>
      <xdr:rowOff>234684</xdr:rowOff>
    </xdr:to>
    <xdr:sp macro="[0]!PedEntTPN_ClearOpm" textlink="">
      <xdr:nvSpPr>
        <xdr:cNvPr id="64" name="Rectangle 53"/>
        <xdr:cNvSpPr>
          <a:spLocks noChangeArrowheads="1"/>
        </xdr:cNvSpPr>
      </xdr:nvSpPr>
      <xdr:spPr bwMode="auto">
        <a:xfrm>
          <a:off x="0" y="3381574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21</xdr:row>
      <xdr:rowOff>47625</xdr:rowOff>
    </xdr:from>
    <xdr:to>
      <xdr:col>2</xdr:col>
      <xdr:colOff>4788</xdr:colOff>
      <xdr:row>21</xdr:row>
      <xdr:rowOff>244010</xdr:rowOff>
    </xdr:to>
    <xdr:sp macro="[0]!PedEntTPN_ClearSSt" textlink="">
      <xdr:nvSpPr>
        <xdr:cNvPr id="65" name="Rectangle 53"/>
        <xdr:cNvSpPr>
          <a:spLocks noChangeArrowheads="1"/>
        </xdr:cNvSpPr>
      </xdr:nvSpPr>
      <xdr:spPr bwMode="auto">
        <a:xfrm>
          <a:off x="0" y="407670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47625</xdr:rowOff>
    </xdr:from>
    <xdr:to>
      <xdr:col>2</xdr:col>
      <xdr:colOff>4788</xdr:colOff>
      <xdr:row>28</xdr:row>
      <xdr:rowOff>244010</xdr:rowOff>
    </xdr:to>
    <xdr:sp macro="[0]!PedEntTPN_ClearCaGluc" textlink="">
      <xdr:nvSpPr>
        <xdr:cNvPr id="66" name="Rectangle 53"/>
        <xdr:cNvSpPr>
          <a:spLocks noChangeArrowheads="1"/>
        </xdr:cNvSpPr>
      </xdr:nvSpPr>
      <xdr:spPr bwMode="auto">
        <a:xfrm>
          <a:off x="0" y="56864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47625</xdr:rowOff>
    </xdr:from>
    <xdr:to>
      <xdr:col>2</xdr:col>
      <xdr:colOff>4788</xdr:colOff>
      <xdr:row>31</xdr:row>
      <xdr:rowOff>244010</xdr:rowOff>
    </xdr:to>
    <xdr:sp macro="[0]!ModPedEntTPN.PedEntTPN_ClearKNAP" textlink="">
      <xdr:nvSpPr>
        <xdr:cNvPr id="67" name="Rectangle 53"/>
        <xdr:cNvSpPr>
          <a:spLocks noChangeArrowheads="1"/>
        </xdr:cNvSpPr>
      </xdr:nvSpPr>
      <xdr:spPr bwMode="auto">
        <a:xfrm>
          <a:off x="0" y="63055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47625</xdr:rowOff>
    </xdr:from>
    <xdr:to>
      <xdr:col>2</xdr:col>
      <xdr:colOff>4788</xdr:colOff>
      <xdr:row>33</xdr:row>
      <xdr:rowOff>244010</xdr:rowOff>
    </xdr:to>
    <xdr:sp macro="[0]!PedEntTPN_ClearLipid" textlink="">
      <xdr:nvSpPr>
        <xdr:cNvPr id="68" name="Rectangle 53"/>
        <xdr:cNvSpPr>
          <a:spLocks noChangeArrowheads="1"/>
        </xdr:cNvSpPr>
      </xdr:nvSpPr>
      <xdr:spPr bwMode="auto">
        <a:xfrm>
          <a:off x="0" y="66484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0</xdr:rowOff>
    </xdr:from>
    <xdr:to>
      <xdr:col>2</xdr:col>
      <xdr:colOff>4788</xdr:colOff>
      <xdr:row>23</xdr:row>
      <xdr:rowOff>196385</xdr:rowOff>
    </xdr:to>
    <xdr:sp macro="[0]!PedEntTPN_clearPeditrace" textlink="">
      <xdr:nvSpPr>
        <xdr:cNvPr id="69" name="Rectangle 53"/>
        <xdr:cNvSpPr>
          <a:spLocks noChangeArrowheads="1"/>
        </xdr:cNvSpPr>
      </xdr:nvSpPr>
      <xdr:spPr bwMode="auto">
        <a:xfrm>
          <a:off x="0" y="452437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38</xdr:row>
      <xdr:rowOff>47625</xdr:rowOff>
    </xdr:from>
    <xdr:to>
      <xdr:col>2</xdr:col>
      <xdr:colOff>4788</xdr:colOff>
      <xdr:row>38</xdr:row>
      <xdr:rowOff>244010</xdr:rowOff>
    </xdr:to>
    <xdr:sp macro="[0]!PedEntTPN_ClearOpmTPN" textlink="">
      <xdr:nvSpPr>
        <xdr:cNvPr id="70" name="Rectangle 53"/>
        <xdr:cNvSpPr>
          <a:spLocks noChangeArrowheads="1"/>
        </xdr:cNvSpPr>
      </xdr:nvSpPr>
      <xdr:spPr bwMode="auto">
        <a:xfrm>
          <a:off x="0" y="66484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</xdr:row>
          <xdr:rowOff>0</xdr:rowOff>
        </xdr:from>
        <xdr:to>
          <xdr:col>2</xdr:col>
          <xdr:colOff>628650</xdr:colOff>
          <xdr:row>9</xdr:row>
          <xdr:rowOff>228600</xdr:rowOff>
        </xdr:to>
        <xdr:sp macro="" textlink="">
          <xdr:nvSpPr>
            <xdr:cNvPr id="114689" name="Check Box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10</xdr:row>
          <xdr:rowOff>0</xdr:rowOff>
        </xdr:from>
        <xdr:to>
          <xdr:col>2</xdr:col>
          <xdr:colOff>628650</xdr:colOff>
          <xdr:row>10</xdr:row>
          <xdr:rowOff>219075</xdr:rowOff>
        </xdr:to>
        <xdr:sp macro="" textlink="">
          <xdr:nvSpPr>
            <xdr:cNvPr id="114690" name="Check Box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</xdr:row>
          <xdr:rowOff>0</xdr:rowOff>
        </xdr:from>
        <xdr:to>
          <xdr:col>2</xdr:col>
          <xdr:colOff>628650</xdr:colOff>
          <xdr:row>12</xdr:row>
          <xdr:rowOff>219075</xdr:rowOff>
        </xdr:to>
        <xdr:sp macro="" textlink="">
          <xdr:nvSpPr>
            <xdr:cNvPr id="114691" name="Check Box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0</xdr:rowOff>
        </xdr:from>
        <xdr:to>
          <xdr:col>2</xdr:col>
          <xdr:colOff>628650</xdr:colOff>
          <xdr:row>13</xdr:row>
          <xdr:rowOff>219075</xdr:rowOff>
        </xdr:to>
        <xdr:sp macro="" textlink="">
          <xdr:nvSpPr>
            <xdr:cNvPr id="114692" name="Check Box 4" hidden="1">
              <a:extLst>
                <a:ext uri="{63B3BB69-23CF-44E3-9099-C40C66FF867C}">
                  <a14:compatExt spid="_x0000_s114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18</xdr:row>
          <xdr:rowOff>0</xdr:rowOff>
        </xdr:from>
        <xdr:to>
          <xdr:col>2</xdr:col>
          <xdr:colOff>619125</xdr:colOff>
          <xdr:row>18</xdr:row>
          <xdr:rowOff>219075</xdr:rowOff>
        </xdr:to>
        <xdr:sp macro="" textlink="">
          <xdr:nvSpPr>
            <xdr:cNvPr id="114693" name="Check Box 5" hidden="1">
              <a:extLst>
                <a:ext uri="{63B3BB69-23CF-44E3-9099-C40C66FF867C}">
                  <a14:compatExt spid="_x0000_s114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0</xdr:rowOff>
        </xdr:from>
        <xdr:to>
          <xdr:col>2</xdr:col>
          <xdr:colOff>628650</xdr:colOff>
          <xdr:row>17</xdr:row>
          <xdr:rowOff>219075</xdr:rowOff>
        </xdr:to>
        <xdr:sp macro="" textlink="">
          <xdr:nvSpPr>
            <xdr:cNvPr id="114694" name="Check Box 6" hidden="1">
              <a:extLst>
                <a:ext uri="{63B3BB69-23CF-44E3-9099-C40C66FF867C}">
                  <a14:compatExt spid="_x0000_s114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</xdr:row>
          <xdr:rowOff>0</xdr:rowOff>
        </xdr:from>
        <xdr:to>
          <xdr:col>2</xdr:col>
          <xdr:colOff>628650</xdr:colOff>
          <xdr:row>35</xdr:row>
          <xdr:rowOff>228600</xdr:rowOff>
        </xdr:to>
        <xdr:sp macro="" textlink="">
          <xdr:nvSpPr>
            <xdr:cNvPr id="114695" name="Check Box 7" hidden="1">
              <a:extLst>
                <a:ext uri="{63B3BB69-23CF-44E3-9099-C40C66FF867C}">
                  <a14:compatExt spid="_x0000_s114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20</xdr:row>
          <xdr:rowOff>0</xdr:rowOff>
        </xdr:from>
        <xdr:to>
          <xdr:col>2</xdr:col>
          <xdr:colOff>628650</xdr:colOff>
          <xdr:row>20</xdr:row>
          <xdr:rowOff>219075</xdr:rowOff>
        </xdr:to>
        <xdr:sp macro="" textlink="">
          <xdr:nvSpPr>
            <xdr:cNvPr id="114696" name="Check Box 8" hidden="1">
              <a:extLst>
                <a:ext uri="{63B3BB69-23CF-44E3-9099-C40C66FF867C}">
                  <a14:compatExt spid="_x0000_s114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23</xdr:row>
          <xdr:rowOff>0</xdr:rowOff>
        </xdr:from>
        <xdr:to>
          <xdr:col>2</xdr:col>
          <xdr:colOff>628650</xdr:colOff>
          <xdr:row>23</xdr:row>
          <xdr:rowOff>228600</xdr:rowOff>
        </xdr:to>
        <xdr:sp macro="" textlink="">
          <xdr:nvSpPr>
            <xdr:cNvPr id="114697" name="Check Box 9" hidden="1">
              <a:extLst>
                <a:ext uri="{63B3BB69-23CF-44E3-9099-C40C66FF867C}">
                  <a14:compatExt spid="_x0000_s114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24</xdr:row>
          <xdr:rowOff>0</xdr:rowOff>
        </xdr:from>
        <xdr:to>
          <xdr:col>2</xdr:col>
          <xdr:colOff>628650</xdr:colOff>
          <xdr:row>24</xdr:row>
          <xdr:rowOff>228600</xdr:rowOff>
        </xdr:to>
        <xdr:sp macro="" textlink="">
          <xdr:nvSpPr>
            <xdr:cNvPr id="114698" name="Check Box 10" hidden="1">
              <a:extLst>
                <a:ext uri="{63B3BB69-23CF-44E3-9099-C40C66FF867C}">
                  <a14:compatExt spid="_x0000_s114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25</xdr:row>
          <xdr:rowOff>0</xdr:rowOff>
        </xdr:from>
        <xdr:to>
          <xdr:col>2</xdr:col>
          <xdr:colOff>628650</xdr:colOff>
          <xdr:row>25</xdr:row>
          <xdr:rowOff>228600</xdr:rowOff>
        </xdr:to>
        <xdr:sp macro="" textlink="">
          <xdr:nvSpPr>
            <xdr:cNvPr id="114699" name="Check Box 11" hidden="1">
              <a:extLst>
                <a:ext uri="{63B3BB69-23CF-44E3-9099-C40C66FF867C}">
                  <a14:compatExt spid="_x0000_s114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16</xdr:row>
          <xdr:rowOff>0</xdr:rowOff>
        </xdr:from>
        <xdr:to>
          <xdr:col>2</xdr:col>
          <xdr:colOff>619125</xdr:colOff>
          <xdr:row>16</xdr:row>
          <xdr:rowOff>219075</xdr:rowOff>
        </xdr:to>
        <xdr:sp macro="" textlink="">
          <xdr:nvSpPr>
            <xdr:cNvPr id="114700" name="Check Box 12" hidden="1">
              <a:extLst>
                <a:ext uri="{63B3BB69-23CF-44E3-9099-C40C66FF867C}">
                  <a14:compatExt spid="_x0000_s114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</xdr:row>
          <xdr:rowOff>19050</xdr:rowOff>
        </xdr:from>
        <xdr:to>
          <xdr:col>2</xdr:col>
          <xdr:colOff>628650</xdr:colOff>
          <xdr:row>33</xdr:row>
          <xdr:rowOff>238125</xdr:rowOff>
        </xdr:to>
        <xdr:sp macro="" textlink="">
          <xdr:nvSpPr>
            <xdr:cNvPr id="114701" name="Check Box 13" hidden="1">
              <a:extLst>
                <a:ext uri="{63B3BB69-23CF-44E3-9099-C40C66FF867C}">
                  <a14:compatExt spid="_x0000_s114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9</xdr:row>
          <xdr:rowOff>0</xdr:rowOff>
        </xdr:from>
        <xdr:to>
          <xdr:col>6</xdr:col>
          <xdr:colOff>628650</xdr:colOff>
          <xdr:row>9</xdr:row>
          <xdr:rowOff>228600</xdr:rowOff>
        </xdr:to>
        <xdr:sp macro="" textlink="">
          <xdr:nvSpPr>
            <xdr:cNvPr id="114702" name="Check Box 14" hidden="1">
              <a:extLst>
                <a:ext uri="{63B3BB69-23CF-44E3-9099-C40C66FF867C}">
                  <a14:compatExt spid="_x0000_s114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0</xdr:rowOff>
        </xdr:from>
        <xdr:to>
          <xdr:col>6</xdr:col>
          <xdr:colOff>628650</xdr:colOff>
          <xdr:row>10</xdr:row>
          <xdr:rowOff>219075</xdr:rowOff>
        </xdr:to>
        <xdr:sp macro="" textlink="">
          <xdr:nvSpPr>
            <xdr:cNvPr id="114703" name="Check Box 15" hidden="1">
              <a:extLst>
                <a:ext uri="{63B3BB69-23CF-44E3-9099-C40C66FF867C}">
                  <a14:compatExt spid="_x0000_s114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12</xdr:row>
          <xdr:rowOff>0</xdr:rowOff>
        </xdr:from>
        <xdr:to>
          <xdr:col>6</xdr:col>
          <xdr:colOff>628650</xdr:colOff>
          <xdr:row>12</xdr:row>
          <xdr:rowOff>219075</xdr:rowOff>
        </xdr:to>
        <xdr:sp macro="" textlink="">
          <xdr:nvSpPr>
            <xdr:cNvPr id="114704" name="Check Box 16" hidden="1">
              <a:extLst>
                <a:ext uri="{63B3BB69-23CF-44E3-9099-C40C66FF867C}">
                  <a14:compatExt spid="_x0000_s114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0</xdr:rowOff>
        </xdr:from>
        <xdr:to>
          <xdr:col>6</xdr:col>
          <xdr:colOff>628650</xdr:colOff>
          <xdr:row>13</xdr:row>
          <xdr:rowOff>219075</xdr:rowOff>
        </xdr:to>
        <xdr:sp macro="" textlink="">
          <xdr:nvSpPr>
            <xdr:cNvPr id="114705" name="Check Box 17" hidden="1">
              <a:extLst>
                <a:ext uri="{63B3BB69-23CF-44E3-9099-C40C66FF867C}">
                  <a14:compatExt spid="_x0000_s114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18</xdr:row>
          <xdr:rowOff>0</xdr:rowOff>
        </xdr:from>
        <xdr:to>
          <xdr:col>6</xdr:col>
          <xdr:colOff>619125</xdr:colOff>
          <xdr:row>18</xdr:row>
          <xdr:rowOff>219075</xdr:rowOff>
        </xdr:to>
        <xdr:sp macro="" textlink="">
          <xdr:nvSpPr>
            <xdr:cNvPr id="114706" name="Check Box 18" hidden="1">
              <a:extLst>
                <a:ext uri="{63B3BB69-23CF-44E3-9099-C40C66FF867C}">
                  <a14:compatExt spid="_x0000_s114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17</xdr:row>
          <xdr:rowOff>0</xdr:rowOff>
        </xdr:from>
        <xdr:to>
          <xdr:col>6</xdr:col>
          <xdr:colOff>628650</xdr:colOff>
          <xdr:row>17</xdr:row>
          <xdr:rowOff>219075</xdr:rowOff>
        </xdr:to>
        <xdr:sp macro="" textlink="">
          <xdr:nvSpPr>
            <xdr:cNvPr id="114707" name="Check Box 19" hidden="1">
              <a:extLst>
                <a:ext uri="{63B3BB69-23CF-44E3-9099-C40C66FF867C}">
                  <a14:compatExt spid="_x0000_s114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35</xdr:row>
          <xdr:rowOff>0</xdr:rowOff>
        </xdr:from>
        <xdr:to>
          <xdr:col>6</xdr:col>
          <xdr:colOff>628650</xdr:colOff>
          <xdr:row>35</xdr:row>
          <xdr:rowOff>228600</xdr:rowOff>
        </xdr:to>
        <xdr:sp macro="" textlink="">
          <xdr:nvSpPr>
            <xdr:cNvPr id="114708" name="Check Box 20" hidden="1">
              <a:extLst>
                <a:ext uri="{63B3BB69-23CF-44E3-9099-C40C66FF867C}">
                  <a14:compatExt spid="_x0000_s114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0</xdr:rowOff>
        </xdr:from>
        <xdr:to>
          <xdr:col>6</xdr:col>
          <xdr:colOff>628650</xdr:colOff>
          <xdr:row>20</xdr:row>
          <xdr:rowOff>219075</xdr:rowOff>
        </xdr:to>
        <xdr:sp macro="" textlink="">
          <xdr:nvSpPr>
            <xdr:cNvPr id="114709" name="Check Box 21" hidden="1">
              <a:extLst>
                <a:ext uri="{63B3BB69-23CF-44E3-9099-C40C66FF867C}">
                  <a14:compatExt spid="_x0000_s114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23</xdr:row>
          <xdr:rowOff>0</xdr:rowOff>
        </xdr:from>
        <xdr:to>
          <xdr:col>6</xdr:col>
          <xdr:colOff>628650</xdr:colOff>
          <xdr:row>23</xdr:row>
          <xdr:rowOff>228600</xdr:rowOff>
        </xdr:to>
        <xdr:sp macro="" textlink="">
          <xdr:nvSpPr>
            <xdr:cNvPr id="114710" name="Check Box 22" hidden="1">
              <a:extLst>
                <a:ext uri="{63B3BB69-23CF-44E3-9099-C40C66FF867C}">
                  <a14:compatExt spid="_x0000_s114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24</xdr:row>
          <xdr:rowOff>0</xdr:rowOff>
        </xdr:from>
        <xdr:to>
          <xdr:col>6</xdr:col>
          <xdr:colOff>628650</xdr:colOff>
          <xdr:row>24</xdr:row>
          <xdr:rowOff>228600</xdr:rowOff>
        </xdr:to>
        <xdr:sp macro="" textlink="">
          <xdr:nvSpPr>
            <xdr:cNvPr id="114711" name="Check Box 23" hidden="1">
              <a:extLst>
                <a:ext uri="{63B3BB69-23CF-44E3-9099-C40C66FF867C}">
                  <a14:compatExt spid="_x0000_s114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0</xdr:rowOff>
        </xdr:from>
        <xdr:to>
          <xdr:col>6</xdr:col>
          <xdr:colOff>628650</xdr:colOff>
          <xdr:row>25</xdr:row>
          <xdr:rowOff>228600</xdr:rowOff>
        </xdr:to>
        <xdr:sp macro="" textlink="">
          <xdr:nvSpPr>
            <xdr:cNvPr id="114712" name="Check Box 24" hidden="1">
              <a:extLst>
                <a:ext uri="{63B3BB69-23CF-44E3-9099-C40C66FF867C}">
                  <a14:compatExt spid="_x0000_s114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16</xdr:row>
          <xdr:rowOff>0</xdr:rowOff>
        </xdr:from>
        <xdr:to>
          <xdr:col>6</xdr:col>
          <xdr:colOff>619125</xdr:colOff>
          <xdr:row>16</xdr:row>
          <xdr:rowOff>219075</xdr:rowOff>
        </xdr:to>
        <xdr:sp macro="" textlink="">
          <xdr:nvSpPr>
            <xdr:cNvPr id="114713" name="Check Box 25" hidden="1">
              <a:extLst>
                <a:ext uri="{63B3BB69-23CF-44E3-9099-C40C66FF867C}">
                  <a14:compatExt spid="_x0000_s114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33</xdr:row>
          <xdr:rowOff>19050</xdr:rowOff>
        </xdr:from>
        <xdr:to>
          <xdr:col>6</xdr:col>
          <xdr:colOff>628650</xdr:colOff>
          <xdr:row>33</xdr:row>
          <xdr:rowOff>238125</xdr:rowOff>
        </xdr:to>
        <xdr:sp macro="" textlink="">
          <xdr:nvSpPr>
            <xdr:cNvPr id="114714" name="Check Box 26" hidden="1">
              <a:extLst>
                <a:ext uri="{63B3BB69-23CF-44E3-9099-C40C66FF867C}">
                  <a14:compatExt spid="_x0000_s114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9</xdr:row>
          <xdr:rowOff>0</xdr:rowOff>
        </xdr:from>
        <xdr:to>
          <xdr:col>8</xdr:col>
          <xdr:colOff>628650</xdr:colOff>
          <xdr:row>9</xdr:row>
          <xdr:rowOff>228600</xdr:rowOff>
        </xdr:to>
        <xdr:sp macro="" textlink="">
          <xdr:nvSpPr>
            <xdr:cNvPr id="114715" name="Check Box 27" hidden="1">
              <a:extLst>
                <a:ext uri="{63B3BB69-23CF-44E3-9099-C40C66FF867C}">
                  <a14:compatExt spid="_x0000_s114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10</xdr:row>
          <xdr:rowOff>0</xdr:rowOff>
        </xdr:from>
        <xdr:to>
          <xdr:col>8</xdr:col>
          <xdr:colOff>628650</xdr:colOff>
          <xdr:row>10</xdr:row>
          <xdr:rowOff>219075</xdr:rowOff>
        </xdr:to>
        <xdr:sp macro="" textlink="">
          <xdr:nvSpPr>
            <xdr:cNvPr id="114716" name="Check Box 28" hidden="1">
              <a:extLst>
                <a:ext uri="{63B3BB69-23CF-44E3-9099-C40C66FF867C}">
                  <a14:compatExt spid="_x0000_s114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12</xdr:row>
          <xdr:rowOff>0</xdr:rowOff>
        </xdr:from>
        <xdr:to>
          <xdr:col>8</xdr:col>
          <xdr:colOff>628650</xdr:colOff>
          <xdr:row>12</xdr:row>
          <xdr:rowOff>219075</xdr:rowOff>
        </xdr:to>
        <xdr:sp macro="" textlink="">
          <xdr:nvSpPr>
            <xdr:cNvPr id="114717" name="Check Box 29" hidden="1">
              <a:extLst>
                <a:ext uri="{63B3BB69-23CF-44E3-9099-C40C66FF867C}">
                  <a14:compatExt spid="_x0000_s114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13</xdr:row>
          <xdr:rowOff>0</xdr:rowOff>
        </xdr:from>
        <xdr:to>
          <xdr:col>8</xdr:col>
          <xdr:colOff>628650</xdr:colOff>
          <xdr:row>13</xdr:row>
          <xdr:rowOff>219075</xdr:rowOff>
        </xdr:to>
        <xdr:sp macro="" textlink="">
          <xdr:nvSpPr>
            <xdr:cNvPr id="114718" name="Check Box 30" hidden="1">
              <a:extLst>
                <a:ext uri="{63B3BB69-23CF-44E3-9099-C40C66FF867C}">
                  <a14:compatExt spid="_x0000_s114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18</xdr:row>
          <xdr:rowOff>0</xdr:rowOff>
        </xdr:from>
        <xdr:to>
          <xdr:col>8</xdr:col>
          <xdr:colOff>619125</xdr:colOff>
          <xdr:row>18</xdr:row>
          <xdr:rowOff>219075</xdr:rowOff>
        </xdr:to>
        <xdr:sp macro="" textlink="">
          <xdr:nvSpPr>
            <xdr:cNvPr id="114719" name="Check Box 31" hidden="1">
              <a:extLst>
                <a:ext uri="{63B3BB69-23CF-44E3-9099-C40C66FF867C}">
                  <a14:compatExt spid="_x0000_s114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17</xdr:row>
          <xdr:rowOff>0</xdr:rowOff>
        </xdr:from>
        <xdr:to>
          <xdr:col>8</xdr:col>
          <xdr:colOff>628650</xdr:colOff>
          <xdr:row>17</xdr:row>
          <xdr:rowOff>219075</xdr:rowOff>
        </xdr:to>
        <xdr:sp macro="" textlink="">
          <xdr:nvSpPr>
            <xdr:cNvPr id="114720" name="Check Box 32" hidden="1">
              <a:extLst>
                <a:ext uri="{63B3BB69-23CF-44E3-9099-C40C66FF867C}">
                  <a14:compatExt spid="_x0000_s114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35</xdr:row>
          <xdr:rowOff>0</xdr:rowOff>
        </xdr:from>
        <xdr:to>
          <xdr:col>8</xdr:col>
          <xdr:colOff>628650</xdr:colOff>
          <xdr:row>35</xdr:row>
          <xdr:rowOff>228600</xdr:rowOff>
        </xdr:to>
        <xdr:sp macro="" textlink="">
          <xdr:nvSpPr>
            <xdr:cNvPr id="114721" name="Check Box 33" hidden="1">
              <a:extLst>
                <a:ext uri="{63B3BB69-23CF-44E3-9099-C40C66FF867C}">
                  <a14:compatExt spid="_x0000_s114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20</xdr:row>
          <xdr:rowOff>0</xdr:rowOff>
        </xdr:from>
        <xdr:to>
          <xdr:col>8</xdr:col>
          <xdr:colOff>628650</xdr:colOff>
          <xdr:row>20</xdr:row>
          <xdr:rowOff>219075</xdr:rowOff>
        </xdr:to>
        <xdr:sp macro="" textlink="">
          <xdr:nvSpPr>
            <xdr:cNvPr id="114722" name="Check Box 34" hidden="1">
              <a:extLst>
                <a:ext uri="{63B3BB69-23CF-44E3-9099-C40C66FF867C}">
                  <a14:compatExt spid="_x0000_s114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23</xdr:row>
          <xdr:rowOff>0</xdr:rowOff>
        </xdr:from>
        <xdr:to>
          <xdr:col>8</xdr:col>
          <xdr:colOff>628650</xdr:colOff>
          <xdr:row>23</xdr:row>
          <xdr:rowOff>228600</xdr:rowOff>
        </xdr:to>
        <xdr:sp macro="" textlink="">
          <xdr:nvSpPr>
            <xdr:cNvPr id="114723" name="Check Box 35" hidden="1">
              <a:extLst>
                <a:ext uri="{63B3BB69-23CF-44E3-9099-C40C66FF867C}">
                  <a14:compatExt spid="_x0000_s114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24</xdr:row>
          <xdr:rowOff>0</xdr:rowOff>
        </xdr:from>
        <xdr:to>
          <xdr:col>8</xdr:col>
          <xdr:colOff>628650</xdr:colOff>
          <xdr:row>24</xdr:row>
          <xdr:rowOff>228600</xdr:rowOff>
        </xdr:to>
        <xdr:sp macro="" textlink="">
          <xdr:nvSpPr>
            <xdr:cNvPr id="114724" name="Check Box 36" hidden="1">
              <a:extLst>
                <a:ext uri="{63B3BB69-23CF-44E3-9099-C40C66FF867C}">
                  <a14:compatExt spid="_x0000_s114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25</xdr:row>
          <xdr:rowOff>0</xdr:rowOff>
        </xdr:from>
        <xdr:to>
          <xdr:col>8</xdr:col>
          <xdr:colOff>628650</xdr:colOff>
          <xdr:row>25</xdr:row>
          <xdr:rowOff>228600</xdr:rowOff>
        </xdr:to>
        <xdr:sp macro="" textlink="">
          <xdr:nvSpPr>
            <xdr:cNvPr id="114725" name="Check Box 37" hidden="1">
              <a:extLst>
                <a:ext uri="{63B3BB69-23CF-44E3-9099-C40C66FF867C}">
                  <a14:compatExt spid="_x0000_s114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16</xdr:row>
          <xdr:rowOff>0</xdr:rowOff>
        </xdr:from>
        <xdr:to>
          <xdr:col>8</xdr:col>
          <xdr:colOff>619125</xdr:colOff>
          <xdr:row>16</xdr:row>
          <xdr:rowOff>219075</xdr:rowOff>
        </xdr:to>
        <xdr:sp macro="" textlink="">
          <xdr:nvSpPr>
            <xdr:cNvPr id="114726" name="Check Box 38" hidden="1">
              <a:extLst>
                <a:ext uri="{63B3BB69-23CF-44E3-9099-C40C66FF867C}">
                  <a14:compatExt spid="_x0000_s114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33</xdr:row>
          <xdr:rowOff>19050</xdr:rowOff>
        </xdr:from>
        <xdr:to>
          <xdr:col>8</xdr:col>
          <xdr:colOff>628650</xdr:colOff>
          <xdr:row>33</xdr:row>
          <xdr:rowOff>238125</xdr:rowOff>
        </xdr:to>
        <xdr:sp macro="" textlink="">
          <xdr:nvSpPr>
            <xdr:cNvPr id="114727" name="Check Box 39" hidden="1">
              <a:extLst>
                <a:ext uri="{63B3BB69-23CF-44E3-9099-C40C66FF867C}">
                  <a14:compatExt spid="_x0000_s114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9</xdr:row>
          <xdr:rowOff>0</xdr:rowOff>
        </xdr:from>
        <xdr:to>
          <xdr:col>11</xdr:col>
          <xdr:colOff>628650</xdr:colOff>
          <xdr:row>9</xdr:row>
          <xdr:rowOff>228600</xdr:rowOff>
        </xdr:to>
        <xdr:sp macro="" textlink="">
          <xdr:nvSpPr>
            <xdr:cNvPr id="114728" name="Check Box 40" hidden="1">
              <a:extLst>
                <a:ext uri="{63B3BB69-23CF-44E3-9099-C40C66FF867C}">
                  <a14:compatExt spid="_x0000_s114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10</xdr:row>
          <xdr:rowOff>0</xdr:rowOff>
        </xdr:from>
        <xdr:to>
          <xdr:col>11</xdr:col>
          <xdr:colOff>628650</xdr:colOff>
          <xdr:row>10</xdr:row>
          <xdr:rowOff>219075</xdr:rowOff>
        </xdr:to>
        <xdr:sp macro="" textlink="">
          <xdr:nvSpPr>
            <xdr:cNvPr id="114729" name="Check Box 41" hidden="1">
              <a:extLst>
                <a:ext uri="{63B3BB69-23CF-44E3-9099-C40C66FF867C}">
                  <a14:compatExt spid="_x0000_s114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12</xdr:row>
          <xdr:rowOff>0</xdr:rowOff>
        </xdr:from>
        <xdr:to>
          <xdr:col>11</xdr:col>
          <xdr:colOff>628650</xdr:colOff>
          <xdr:row>12</xdr:row>
          <xdr:rowOff>219075</xdr:rowOff>
        </xdr:to>
        <xdr:sp macro="" textlink="">
          <xdr:nvSpPr>
            <xdr:cNvPr id="114730" name="Check Box 42" hidden="1">
              <a:extLst>
                <a:ext uri="{63B3BB69-23CF-44E3-9099-C40C66FF867C}">
                  <a14:compatExt spid="_x0000_s114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13</xdr:row>
          <xdr:rowOff>0</xdr:rowOff>
        </xdr:from>
        <xdr:to>
          <xdr:col>11</xdr:col>
          <xdr:colOff>628650</xdr:colOff>
          <xdr:row>13</xdr:row>
          <xdr:rowOff>219075</xdr:rowOff>
        </xdr:to>
        <xdr:sp macro="" textlink="">
          <xdr:nvSpPr>
            <xdr:cNvPr id="114731" name="Check Box 43" hidden="1">
              <a:extLst>
                <a:ext uri="{63B3BB69-23CF-44E3-9099-C40C66FF867C}">
                  <a14:compatExt spid="_x0000_s114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18</xdr:row>
          <xdr:rowOff>0</xdr:rowOff>
        </xdr:from>
        <xdr:to>
          <xdr:col>11</xdr:col>
          <xdr:colOff>619125</xdr:colOff>
          <xdr:row>18</xdr:row>
          <xdr:rowOff>219075</xdr:rowOff>
        </xdr:to>
        <xdr:sp macro="" textlink="">
          <xdr:nvSpPr>
            <xdr:cNvPr id="114732" name="Check Box 44" hidden="1">
              <a:extLst>
                <a:ext uri="{63B3BB69-23CF-44E3-9099-C40C66FF867C}">
                  <a14:compatExt spid="_x0000_s114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17</xdr:row>
          <xdr:rowOff>0</xdr:rowOff>
        </xdr:from>
        <xdr:to>
          <xdr:col>11</xdr:col>
          <xdr:colOff>628650</xdr:colOff>
          <xdr:row>17</xdr:row>
          <xdr:rowOff>219075</xdr:rowOff>
        </xdr:to>
        <xdr:sp macro="" textlink="">
          <xdr:nvSpPr>
            <xdr:cNvPr id="114733" name="Check Box 45" hidden="1">
              <a:extLst>
                <a:ext uri="{63B3BB69-23CF-44E3-9099-C40C66FF867C}">
                  <a14:compatExt spid="_x0000_s114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35</xdr:row>
          <xdr:rowOff>0</xdr:rowOff>
        </xdr:from>
        <xdr:to>
          <xdr:col>11</xdr:col>
          <xdr:colOff>628650</xdr:colOff>
          <xdr:row>35</xdr:row>
          <xdr:rowOff>228600</xdr:rowOff>
        </xdr:to>
        <xdr:sp macro="" textlink="">
          <xdr:nvSpPr>
            <xdr:cNvPr id="114734" name="Check Box 46" hidden="1">
              <a:extLst>
                <a:ext uri="{63B3BB69-23CF-44E3-9099-C40C66FF867C}">
                  <a14:compatExt spid="_x0000_s114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20</xdr:row>
          <xdr:rowOff>0</xdr:rowOff>
        </xdr:from>
        <xdr:to>
          <xdr:col>11</xdr:col>
          <xdr:colOff>628650</xdr:colOff>
          <xdr:row>20</xdr:row>
          <xdr:rowOff>219075</xdr:rowOff>
        </xdr:to>
        <xdr:sp macro="" textlink="">
          <xdr:nvSpPr>
            <xdr:cNvPr id="114735" name="Check Box 47" hidden="1">
              <a:extLst>
                <a:ext uri="{63B3BB69-23CF-44E3-9099-C40C66FF867C}">
                  <a14:compatExt spid="_x0000_s114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23</xdr:row>
          <xdr:rowOff>0</xdr:rowOff>
        </xdr:from>
        <xdr:to>
          <xdr:col>11</xdr:col>
          <xdr:colOff>628650</xdr:colOff>
          <xdr:row>23</xdr:row>
          <xdr:rowOff>228600</xdr:rowOff>
        </xdr:to>
        <xdr:sp macro="" textlink="">
          <xdr:nvSpPr>
            <xdr:cNvPr id="114736" name="Check Box 48" hidden="1">
              <a:extLst>
                <a:ext uri="{63B3BB69-23CF-44E3-9099-C40C66FF867C}">
                  <a14:compatExt spid="_x0000_s114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24</xdr:row>
          <xdr:rowOff>0</xdr:rowOff>
        </xdr:from>
        <xdr:to>
          <xdr:col>11</xdr:col>
          <xdr:colOff>628650</xdr:colOff>
          <xdr:row>24</xdr:row>
          <xdr:rowOff>228600</xdr:rowOff>
        </xdr:to>
        <xdr:sp macro="" textlink="">
          <xdr:nvSpPr>
            <xdr:cNvPr id="114737" name="Check Box 49" hidden="1">
              <a:extLst>
                <a:ext uri="{63B3BB69-23CF-44E3-9099-C40C66FF867C}">
                  <a14:compatExt spid="_x0000_s114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25</xdr:row>
          <xdr:rowOff>0</xdr:rowOff>
        </xdr:from>
        <xdr:to>
          <xdr:col>11</xdr:col>
          <xdr:colOff>628650</xdr:colOff>
          <xdr:row>25</xdr:row>
          <xdr:rowOff>228600</xdr:rowOff>
        </xdr:to>
        <xdr:sp macro="" textlink="">
          <xdr:nvSpPr>
            <xdr:cNvPr id="114738" name="Check Box 50" hidden="1">
              <a:extLst>
                <a:ext uri="{63B3BB69-23CF-44E3-9099-C40C66FF867C}">
                  <a14:compatExt spid="_x0000_s114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16</xdr:row>
          <xdr:rowOff>0</xdr:rowOff>
        </xdr:from>
        <xdr:to>
          <xdr:col>11</xdr:col>
          <xdr:colOff>619125</xdr:colOff>
          <xdr:row>16</xdr:row>
          <xdr:rowOff>219075</xdr:rowOff>
        </xdr:to>
        <xdr:sp macro="" textlink="">
          <xdr:nvSpPr>
            <xdr:cNvPr id="114739" name="Check Box 51" hidden="1">
              <a:extLst>
                <a:ext uri="{63B3BB69-23CF-44E3-9099-C40C66FF867C}">
                  <a14:compatExt spid="_x0000_s114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33</xdr:row>
          <xdr:rowOff>19050</xdr:rowOff>
        </xdr:from>
        <xdr:to>
          <xdr:col>11</xdr:col>
          <xdr:colOff>628650</xdr:colOff>
          <xdr:row>33</xdr:row>
          <xdr:rowOff>238125</xdr:rowOff>
        </xdr:to>
        <xdr:sp macro="" textlink="">
          <xdr:nvSpPr>
            <xdr:cNvPr id="114740" name="Check Box 52" hidden="1">
              <a:extLst>
                <a:ext uri="{63B3BB69-23CF-44E3-9099-C40C66FF867C}">
                  <a14:compatExt spid="_x0000_s114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19050</xdr:rowOff>
        </xdr:from>
        <xdr:to>
          <xdr:col>2</xdr:col>
          <xdr:colOff>628650</xdr:colOff>
          <xdr:row>32</xdr:row>
          <xdr:rowOff>238125</xdr:rowOff>
        </xdr:to>
        <xdr:sp macro="" textlink="">
          <xdr:nvSpPr>
            <xdr:cNvPr id="114741" name="Check Box 53" hidden="1">
              <a:extLst>
                <a:ext uri="{63B3BB69-23CF-44E3-9099-C40C66FF867C}">
                  <a14:compatExt spid="_x0000_s114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32</xdr:row>
          <xdr:rowOff>19050</xdr:rowOff>
        </xdr:from>
        <xdr:to>
          <xdr:col>6</xdr:col>
          <xdr:colOff>628650</xdr:colOff>
          <xdr:row>32</xdr:row>
          <xdr:rowOff>238125</xdr:rowOff>
        </xdr:to>
        <xdr:sp macro="" textlink="">
          <xdr:nvSpPr>
            <xdr:cNvPr id="114742" name="Check Box 54" hidden="1">
              <a:extLst>
                <a:ext uri="{63B3BB69-23CF-44E3-9099-C40C66FF867C}">
                  <a14:compatExt spid="_x0000_s114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32</xdr:row>
          <xdr:rowOff>19050</xdr:rowOff>
        </xdr:from>
        <xdr:to>
          <xdr:col>8</xdr:col>
          <xdr:colOff>628650</xdr:colOff>
          <xdr:row>32</xdr:row>
          <xdr:rowOff>238125</xdr:rowOff>
        </xdr:to>
        <xdr:sp macro="" textlink="">
          <xdr:nvSpPr>
            <xdr:cNvPr id="114743" name="Check Box 55" hidden="1">
              <a:extLst>
                <a:ext uri="{63B3BB69-23CF-44E3-9099-C40C66FF867C}">
                  <a14:compatExt spid="_x0000_s114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32</xdr:row>
          <xdr:rowOff>19050</xdr:rowOff>
        </xdr:from>
        <xdr:to>
          <xdr:col>11</xdr:col>
          <xdr:colOff>628650</xdr:colOff>
          <xdr:row>32</xdr:row>
          <xdr:rowOff>238125</xdr:rowOff>
        </xdr:to>
        <xdr:sp macro="" textlink="">
          <xdr:nvSpPr>
            <xdr:cNvPr id="114744" name="Check Box 56" hidden="1">
              <a:extLst>
                <a:ext uri="{63B3BB69-23CF-44E3-9099-C40C66FF867C}">
                  <a14:compatExt spid="_x0000_s114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0</xdr:rowOff>
        </xdr:from>
        <xdr:to>
          <xdr:col>2</xdr:col>
          <xdr:colOff>628650</xdr:colOff>
          <xdr:row>11</xdr:row>
          <xdr:rowOff>219075</xdr:rowOff>
        </xdr:to>
        <xdr:sp macro="" textlink="">
          <xdr:nvSpPr>
            <xdr:cNvPr id="114745" name="Check Box 57" hidden="1">
              <a:extLst>
                <a:ext uri="{63B3BB69-23CF-44E3-9099-C40C66FF867C}">
                  <a14:compatExt spid="_x0000_s114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0</xdr:rowOff>
        </xdr:from>
        <xdr:to>
          <xdr:col>6</xdr:col>
          <xdr:colOff>628650</xdr:colOff>
          <xdr:row>11</xdr:row>
          <xdr:rowOff>219075</xdr:rowOff>
        </xdr:to>
        <xdr:sp macro="" textlink="">
          <xdr:nvSpPr>
            <xdr:cNvPr id="114746" name="Check Box 58" hidden="1">
              <a:extLst>
                <a:ext uri="{63B3BB69-23CF-44E3-9099-C40C66FF867C}">
                  <a14:compatExt spid="_x0000_s114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11</xdr:row>
          <xdr:rowOff>0</xdr:rowOff>
        </xdr:from>
        <xdr:to>
          <xdr:col>8</xdr:col>
          <xdr:colOff>628650</xdr:colOff>
          <xdr:row>11</xdr:row>
          <xdr:rowOff>219075</xdr:rowOff>
        </xdr:to>
        <xdr:sp macro="" textlink="">
          <xdr:nvSpPr>
            <xdr:cNvPr id="114747" name="Check Box 59" hidden="1">
              <a:extLst>
                <a:ext uri="{63B3BB69-23CF-44E3-9099-C40C66FF867C}">
                  <a14:compatExt spid="_x0000_s114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11</xdr:row>
          <xdr:rowOff>0</xdr:rowOff>
        </xdr:from>
        <xdr:to>
          <xdr:col>11</xdr:col>
          <xdr:colOff>628650</xdr:colOff>
          <xdr:row>11</xdr:row>
          <xdr:rowOff>219075</xdr:rowOff>
        </xdr:to>
        <xdr:sp macro="" textlink="">
          <xdr:nvSpPr>
            <xdr:cNvPr id="114748" name="Check Box 60" hidden="1">
              <a:extLst>
                <a:ext uri="{63B3BB69-23CF-44E3-9099-C40C66FF867C}">
                  <a14:compatExt spid="_x0000_s114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21</xdr:row>
          <xdr:rowOff>0</xdr:rowOff>
        </xdr:from>
        <xdr:to>
          <xdr:col>2</xdr:col>
          <xdr:colOff>628650</xdr:colOff>
          <xdr:row>21</xdr:row>
          <xdr:rowOff>219075</xdr:rowOff>
        </xdr:to>
        <xdr:sp macro="" textlink="">
          <xdr:nvSpPr>
            <xdr:cNvPr id="114749" name="Check Box 61" hidden="1">
              <a:extLst>
                <a:ext uri="{63B3BB69-23CF-44E3-9099-C40C66FF867C}">
                  <a14:compatExt spid="_x0000_s114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21</xdr:row>
          <xdr:rowOff>0</xdr:rowOff>
        </xdr:from>
        <xdr:to>
          <xdr:col>6</xdr:col>
          <xdr:colOff>628650</xdr:colOff>
          <xdr:row>21</xdr:row>
          <xdr:rowOff>219075</xdr:rowOff>
        </xdr:to>
        <xdr:sp macro="" textlink="">
          <xdr:nvSpPr>
            <xdr:cNvPr id="114750" name="Check Box 62" hidden="1">
              <a:extLst>
                <a:ext uri="{63B3BB69-23CF-44E3-9099-C40C66FF867C}">
                  <a14:compatExt spid="_x0000_s114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21</xdr:row>
          <xdr:rowOff>0</xdr:rowOff>
        </xdr:from>
        <xdr:to>
          <xdr:col>8</xdr:col>
          <xdr:colOff>628650</xdr:colOff>
          <xdr:row>21</xdr:row>
          <xdr:rowOff>219075</xdr:rowOff>
        </xdr:to>
        <xdr:sp macro="" textlink="">
          <xdr:nvSpPr>
            <xdr:cNvPr id="114751" name="Check Box 63" hidden="1">
              <a:extLst>
                <a:ext uri="{63B3BB69-23CF-44E3-9099-C40C66FF867C}">
                  <a14:compatExt spid="_x0000_s114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21</xdr:row>
          <xdr:rowOff>0</xdr:rowOff>
        </xdr:from>
        <xdr:to>
          <xdr:col>11</xdr:col>
          <xdr:colOff>628650</xdr:colOff>
          <xdr:row>21</xdr:row>
          <xdr:rowOff>219075</xdr:rowOff>
        </xdr:to>
        <xdr:sp macro="" textlink="">
          <xdr:nvSpPr>
            <xdr:cNvPr id="114752" name="Check Box 64" hidden="1">
              <a:extLst>
                <a:ext uri="{63B3BB69-23CF-44E3-9099-C40C66FF867C}">
                  <a14:compatExt spid="_x0000_s114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9</xdr:row>
          <xdr:rowOff>0</xdr:rowOff>
        </xdr:from>
        <xdr:to>
          <xdr:col>4</xdr:col>
          <xdr:colOff>628650</xdr:colOff>
          <xdr:row>9</xdr:row>
          <xdr:rowOff>228600</xdr:rowOff>
        </xdr:to>
        <xdr:sp macro="" textlink="">
          <xdr:nvSpPr>
            <xdr:cNvPr id="114753" name="Check Box 65" hidden="1">
              <a:extLst>
                <a:ext uri="{63B3BB69-23CF-44E3-9099-C40C66FF867C}">
                  <a14:compatExt spid="_x0000_s114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10</xdr:row>
          <xdr:rowOff>0</xdr:rowOff>
        </xdr:from>
        <xdr:to>
          <xdr:col>4</xdr:col>
          <xdr:colOff>628650</xdr:colOff>
          <xdr:row>10</xdr:row>
          <xdr:rowOff>219075</xdr:rowOff>
        </xdr:to>
        <xdr:sp macro="" textlink="">
          <xdr:nvSpPr>
            <xdr:cNvPr id="114754" name="Check Box 66" hidden="1">
              <a:extLst>
                <a:ext uri="{63B3BB69-23CF-44E3-9099-C40C66FF867C}">
                  <a14:compatExt spid="_x0000_s114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12</xdr:row>
          <xdr:rowOff>0</xdr:rowOff>
        </xdr:from>
        <xdr:to>
          <xdr:col>4</xdr:col>
          <xdr:colOff>628650</xdr:colOff>
          <xdr:row>12</xdr:row>
          <xdr:rowOff>219075</xdr:rowOff>
        </xdr:to>
        <xdr:sp macro="" textlink="">
          <xdr:nvSpPr>
            <xdr:cNvPr id="114755" name="Check Box 67" hidden="1">
              <a:extLst>
                <a:ext uri="{63B3BB69-23CF-44E3-9099-C40C66FF867C}">
                  <a14:compatExt spid="_x0000_s114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13</xdr:row>
          <xdr:rowOff>0</xdr:rowOff>
        </xdr:from>
        <xdr:to>
          <xdr:col>4</xdr:col>
          <xdr:colOff>628650</xdr:colOff>
          <xdr:row>13</xdr:row>
          <xdr:rowOff>219075</xdr:rowOff>
        </xdr:to>
        <xdr:sp macro="" textlink="">
          <xdr:nvSpPr>
            <xdr:cNvPr id="114756" name="Check Box 68" hidden="1">
              <a:extLst>
                <a:ext uri="{63B3BB69-23CF-44E3-9099-C40C66FF867C}">
                  <a14:compatExt spid="_x0000_s114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18</xdr:row>
          <xdr:rowOff>0</xdr:rowOff>
        </xdr:from>
        <xdr:to>
          <xdr:col>4</xdr:col>
          <xdr:colOff>619125</xdr:colOff>
          <xdr:row>18</xdr:row>
          <xdr:rowOff>219075</xdr:rowOff>
        </xdr:to>
        <xdr:sp macro="" textlink="">
          <xdr:nvSpPr>
            <xdr:cNvPr id="114757" name="Check Box 69" hidden="1">
              <a:extLst>
                <a:ext uri="{63B3BB69-23CF-44E3-9099-C40C66FF867C}">
                  <a14:compatExt spid="_x0000_s114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17</xdr:row>
          <xdr:rowOff>0</xdr:rowOff>
        </xdr:from>
        <xdr:to>
          <xdr:col>4</xdr:col>
          <xdr:colOff>628650</xdr:colOff>
          <xdr:row>17</xdr:row>
          <xdr:rowOff>219075</xdr:rowOff>
        </xdr:to>
        <xdr:sp macro="" textlink="">
          <xdr:nvSpPr>
            <xdr:cNvPr id="114758" name="Check Box 70" hidden="1">
              <a:extLst>
                <a:ext uri="{63B3BB69-23CF-44E3-9099-C40C66FF867C}">
                  <a14:compatExt spid="_x0000_s114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0</xdr:rowOff>
        </xdr:from>
        <xdr:to>
          <xdr:col>4</xdr:col>
          <xdr:colOff>628650</xdr:colOff>
          <xdr:row>35</xdr:row>
          <xdr:rowOff>228600</xdr:rowOff>
        </xdr:to>
        <xdr:sp macro="" textlink="">
          <xdr:nvSpPr>
            <xdr:cNvPr id="114759" name="Check Box 71" hidden="1">
              <a:extLst>
                <a:ext uri="{63B3BB69-23CF-44E3-9099-C40C66FF867C}">
                  <a14:compatExt spid="_x0000_s114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0</xdr:rowOff>
        </xdr:from>
        <xdr:to>
          <xdr:col>4</xdr:col>
          <xdr:colOff>628650</xdr:colOff>
          <xdr:row>20</xdr:row>
          <xdr:rowOff>219075</xdr:rowOff>
        </xdr:to>
        <xdr:sp macro="" textlink="">
          <xdr:nvSpPr>
            <xdr:cNvPr id="114760" name="Check Box 72" hidden="1">
              <a:extLst>
                <a:ext uri="{63B3BB69-23CF-44E3-9099-C40C66FF867C}">
                  <a14:compatExt spid="_x0000_s114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23</xdr:row>
          <xdr:rowOff>0</xdr:rowOff>
        </xdr:from>
        <xdr:to>
          <xdr:col>4</xdr:col>
          <xdr:colOff>628650</xdr:colOff>
          <xdr:row>23</xdr:row>
          <xdr:rowOff>228600</xdr:rowOff>
        </xdr:to>
        <xdr:sp macro="" textlink="">
          <xdr:nvSpPr>
            <xdr:cNvPr id="114761" name="Check Box 73" hidden="1">
              <a:extLst>
                <a:ext uri="{63B3BB69-23CF-44E3-9099-C40C66FF867C}">
                  <a14:compatExt spid="_x0000_s1147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24</xdr:row>
          <xdr:rowOff>0</xdr:rowOff>
        </xdr:from>
        <xdr:to>
          <xdr:col>4</xdr:col>
          <xdr:colOff>628650</xdr:colOff>
          <xdr:row>24</xdr:row>
          <xdr:rowOff>228600</xdr:rowOff>
        </xdr:to>
        <xdr:sp macro="" textlink="">
          <xdr:nvSpPr>
            <xdr:cNvPr id="114762" name="Check Box 74" hidden="1">
              <a:extLst>
                <a:ext uri="{63B3BB69-23CF-44E3-9099-C40C66FF867C}">
                  <a14:compatExt spid="_x0000_s114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25</xdr:row>
          <xdr:rowOff>0</xdr:rowOff>
        </xdr:from>
        <xdr:to>
          <xdr:col>4</xdr:col>
          <xdr:colOff>628650</xdr:colOff>
          <xdr:row>25</xdr:row>
          <xdr:rowOff>228600</xdr:rowOff>
        </xdr:to>
        <xdr:sp macro="" textlink="">
          <xdr:nvSpPr>
            <xdr:cNvPr id="114763" name="Check Box 75" hidden="1">
              <a:extLst>
                <a:ext uri="{63B3BB69-23CF-44E3-9099-C40C66FF867C}">
                  <a14:compatExt spid="_x0000_s114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16</xdr:row>
          <xdr:rowOff>0</xdr:rowOff>
        </xdr:from>
        <xdr:to>
          <xdr:col>4</xdr:col>
          <xdr:colOff>619125</xdr:colOff>
          <xdr:row>16</xdr:row>
          <xdr:rowOff>219075</xdr:rowOff>
        </xdr:to>
        <xdr:sp macro="" textlink="">
          <xdr:nvSpPr>
            <xdr:cNvPr id="114764" name="Check Box 76" hidden="1">
              <a:extLst>
                <a:ext uri="{63B3BB69-23CF-44E3-9099-C40C66FF867C}">
                  <a14:compatExt spid="_x0000_s1147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19050</xdr:rowOff>
        </xdr:from>
        <xdr:to>
          <xdr:col>4</xdr:col>
          <xdr:colOff>628650</xdr:colOff>
          <xdr:row>33</xdr:row>
          <xdr:rowOff>238125</xdr:rowOff>
        </xdr:to>
        <xdr:sp macro="" textlink="">
          <xdr:nvSpPr>
            <xdr:cNvPr id="114765" name="Check Box 77" hidden="1">
              <a:extLst>
                <a:ext uri="{63B3BB69-23CF-44E3-9099-C40C66FF867C}">
                  <a14:compatExt spid="_x0000_s114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19050</xdr:rowOff>
        </xdr:from>
        <xdr:to>
          <xdr:col>4</xdr:col>
          <xdr:colOff>628650</xdr:colOff>
          <xdr:row>32</xdr:row>
          <xdr:rowOff>238125</xdr:rowOff>
        </xdr:to>
        <xdr:sp macro="" textlink="">
          <xdr:nvSpPr>
            <xdr:cNvPr id="114766" name="Check Box 78" hidden="1">
              <a:extLst>
                <a:ext uri="{63B3BB69-23CF-44E3-9099-C40C66FF867C}">
                  <a14:compatExt spid="_x0000_s1147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11</xdr:row>
          <xdr:rowOff>0</xdr:rowOff>
        </xdr:from>
        <xdr:to>
          <xdr:col>4</xdr:col>
          <xdr:colOff>628650</xdr:colOff>
          <xdr:row>11</xdr:row>
          <xdr:rowOff>219075</xdr:rowOff>
        </xdr:to>
        <xdr:sp macro="" textlink="">
          <xdr:nvSpPr>
            <xdr:cNvPr id="114767" name="Check Box 79" hidden="1">
              <a:extLst>
                <a:ext uri="{63B3BB69-23CF-44E3-9099-C40C66FF867C}">
                  <a14:compatExt spid="_x0000_s1147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21</xdr:row>
          <xdr:rowOff>0</xdr:rowOff>
        </xdr:from>
        <xdr:to>
          <xdr:col>4</xdr:col>
          <xdr:colOff>628650</xdr:colOff>
          <xdr:row>21</xdr:row>
          <xdr:rowOff>219075</xdr:rowOff>
        </xdr:to>
        <xdr:sp macro="" textlink="">
          <xdr:nvSpPr>
            <xdr:cNvPr id="114768" name="Check Box 80" hidden="1">
              <a:extLst>
                <a:ext uri="{63B3BB69-23CF-44E3-9099-C40C66FF867C}">
                  <a14:compatExt spid="_x0000_s1147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11</xdr:col>
      <xdr:colOff>704850</xdr:colOff>
      <xdr:row>44</xdr:row>
      <xdr:rowOff>0</xdr:rowOff>
    </xdr:to>
    <xdr:sp macro="[0]!PedLab_EnterText" textlink="">
      <xdr:nvSpPr>
        <xdr:cNvPr id="82" name="Rectangle 123"/>
        <xdr:cNvSpPr>
          <a:spLocks noChangeArrowheads="1"/>
        </xdr:cNvSpPr>
      </xdr:nvSpPr>
      <xdr:spPr bwMode="auto">
        <a:xfrm>
          <a:off x="323290" y="12795437"/>
          <a:ext cx="7396442" cy="483534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</xdr:row>
          <xdr:rowOff>19050</xdr:rowOff>
        </xdr:from>
        <xdr:to>
          <xdr:col>2</xdr:col>
          <xdr:colOff>628650</xdr:colOff>
          <xdr:row>31</xdr:row>
          <xdr:rowOff>238125</xdr:rowOff>
        </xdr:to>
        <xdr:sp macro="" textlink="">
          <xdr:nvSpPr>
            <xdr:cNvPr id="114801" name="Check Box 113" hidden="1">
              <a:extLst>
                <a:ext uri="{63B3BB69-23CF-44E3-9099-C40C66FF867C}">
                  <a14:compatExt spid="_x0000_s114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31</xdr:row>
          <xdr:rowOff>19050</xdr:rowOff>
        </xdr:from>
        <xdr:to>
          <xdr:col>6</xdr:col>
          <xdr:colOff>628650</xdr:colOff>
          <xdr:row>31</xdr:row>
          <xdr:rowOff>238125</xdr:rowOff>
        </xdr:to>
        <xdr:sp macro="" textlink="">
          <xdr:nvSpPr>
            <xdr:cNvPr id="114802" name="Check Box 114" hidden="1">
              <a:extLst>
                <a:ext uri="{63B3BB69-23CF-44E3-9099-C40C66FF867C}">
                  <a14:compatExt spid="_x0000_s114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31</xdr:row>
          <xdr:rowOff>19050</xdr:rowOff>
        </xdr:from>
        <xdr:to>
          <xdr:col>8</xdr:col>
          <xdr:colOff>628650</xdr:colOff>
          <xdr:row>31</xdr:row>
          <xdr:rowOff>238125</xdr:rowOff>
        </xdr:to>
        <xdr:sp macro="" textlink="">
          <xdr:nvSpPr>
            <xdr:cNvPr id="114803" name="Check Box 115" hidden="1">
              <a:extLst>
                <a:ext uri="{63B3BB69-23CF-44E3-9099-C40C66FF867C}">
                  <a14:compatExt spid="_x0000_s114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31</xdr:row>
          <xdr:rowOff>19050</xdr:rowOff>
        </xdr:from>
        <xdr:to>
          <xdr:col>11</xdr:col>
          <xdr:colOff>628650</xdr:colOff>
          <xdr:row>31</xdr:row>
          <xdr:rowOff>238125</xdr:rowOff>
        </xdr:to>
        <xdr:sp macro="" textlink="">
          <xdr:nvSpPr>
            <xdr:cNvPr id="114804" name="Check Box 116" hidden="1">
              <a:extLst>
                <a:ext uri="{63B3BB69-23CF-44E3-9099-C40C66FF867C}">
                  <a14:compatExt spid="_x0000_s114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19050</xdr:rowOff>
        </xdr:from>
        <xdr:to>
          <xdr:col>4</xdr:col>
          <xdr:colOff>628650</xdr:colOff>
          <xdr:row>31</xdr:row>
          <xdr:rowOff>238125</xdr:rowOff>
        </xdr:to>
        <xdr:sp macro="" textlink="">
          <xdr:nvSpPr>
            <xdr:cNvPr id="114805" name="Check Box 117" hidden="1">
              <a:extLst>
                <a:ext uri="{63B3BB69-23CF-44E3-9099-C40C66FF867C}">
                  <a14:compatExt spid="_x0000_s114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</xdr:row>
          <xdr:rowOff>19050</xdr:rowOff>
        </xdr:from>
        <xdr:to>
          <xdr:col>2</xdr:col>
          <xdr:colOff>628650</xdr:colOff>
          <xdr:row>37</xdr:row>
          <xdr:rowOff>238125</xdr:rowOff>
        </xdr:to>
        <xdr:sp macro="" textlink="">
          <xdr:nvSpPr>
            <xdr:cNvPr id="114808" name="Check Box 120" hidden="1">
              <a:extLst>
                <a:ext uri="{63B3BB69-23CF-44E3-9099-C40C66FF867C}">
                  <a14:compatExt spid="_x0000_s114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37</xdr:row>
          <xdr:rowOff>19050</xdr:rowOff>
        </xdr:from>
        <xdr:to>
          <xdr:col>6</xdr:col>
          <xdr:colOff>628650</xdr:colOff>
          <xdr:row>37</xdr:row>
          <xdr:rowOff>238125</xdr:rowOff>
        </xdr:to>
        <xdr:sp macro="" textlink="">
          <xdr:nvSpPr>
            <xdr:cNvPr id="114809" name="Check Box 121" hidden="1">
              <a:extLst>
                <a:ext uri="{63B3BB69-23CF-44E3-9099-C40C66FF867C}">
                  <a14:compatExt spid="_x0000_s114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37</xdr:row>
          <xdr:rowOff>19050</xdr:rowOff>
        </xdr:from>
        <xdr:to>
          <xdr:col>8</xdr:col>
          <xdr:colOff>628650</xdr:colOff>
          <xdr:row>37</xdr:row>
          <xdr:rowOff>238125</xdr:rowOff>
        </xdr:to>
        <xdr:sp macro="" textlink="">
          <xdr:nvSpPr>
            <xdr:cNvPr id="114810" name="Check Box 122" hidden="1">
              <a:extLst>
                <a:ext uri="{63B3BB69-23CF-44E3-9099-C40C66FF867C}">
                  <a14:compatExt spid="_x0000_s114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37</xdr:row>
          <xdr:rowOff>19050</xdr:rowOff>
        </xdr:from>
        <xdr:to>
          <xdr:col>11</xdr:col>
          <xdr:colOff>628650</xdr:colOff>
          <xdr:row>37</xdr:row>
          <xdr:rowOff>238125</xdr:rowOff>
        </xdr:to>
        <xdr:sp macro="" textlink="">
          <xdr:nvSpPr>
            <xdr:cNvPr id="114811" name="Check Box 123" hidden="1">
              <a:extLst>
                <a:ext uri="{63B3BB69-23CF-44E3-9099-C40C66FF867C}">
                  <a14:compatExt spid="_x0000_s114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37</xdr:row>
          <xdr:rowOff>19050</xdr:rowOff>
        </xdr:from>
        <xdr:to>
          <xdr:col>4</xdr:col>
          <xdr:colOff>628650</xdr:colOff>
          <xdr:row>37</xdr:row>
          <xdr:rowOff>238125</xdr:rowOff>
        </xdr:to>
        <xdr:sp macro="" textlink="">
          <xdr:nvSpPr>
            <xdr:cNvPr id="114812" name="Check Box 124" hidden="1">
              <a:extLst>
                <a:ext uri="{63B3BB69-23CF-44E3-9099-C40C66FF867C}">
                  <a14:compatExt spid="_x0000_s114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14</xdr:row>
          <xdr:rowOff>0</xdr:rowOff>
        </xdr:from>
        <xdr:to>
          <xdr:col>2</xdr:col>
          <xdr:colOff>628650</xdr:colOff>
          <xdr:row>14</xdr:row>
          <xdr:rowOff>219075</xdr:rowOff>
        </xdr:to>
        <xdr:sp macro="" textlink="">
          <xdr:nvSpPr>
            <xdr:cNvPr id="114815" name="Check Box 127" hidden="1">
              <a:extLst>
                <a:ext uri="{63B3BB69-23CF-44E3-9099-C40C66FF867C}">
                  <a14:compatExt spid="_x0000_s114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0</xdr:rowOff>
        </xdr:from>
        <xdr:to>
          <xdr:col>6</xdr:col>
          <xdr:colOff>628650</xdr:colOff>
          <xdr:row>14</xdr:row>
          <xdr:rowOff>219075</xdr:rowOff>
        </xdr:to>
        <xdr:sp macro="" textlink="">
          <xdr:nvSpPr>
            <xdr:cNvPr id="114816" name="Check Box 128" hidden="1">
              <a:extLst>
                <a:ext uri="{63B3BB69-23CF-44E3-9099-C40C66FF867C}">
                  <a14:compatExt spid="_x0000_s114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14</xdr:row>
          <xdr:rowOff>0</xdr:rowOff>
        </xdr:from>
        <xdr:to>
          <xdr:col>8</xdr:col>
          <xdr:colOff>628650</xdr:colOff>
          <xdr:row>14</xdr:row>
          <xdr:rowOff>219075</xdr:rowOff>
        </xdr:to>
        <xdr:sp macro="" textlink="">
          <xdr:nvSpPr>
            <xdr:cNvPr id="114817" name="Check Box 129" hidden="1">
              <a:extLst>
                <a:ext uri="{63B3BB69-23CF-44E3-9099-C40C66FF867C}">
                  <a14:compatExt spid="_x0000_s114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14</xdr:row>
          <xdr:rowOff>0</xdr:rowOff>
        </xdr:from>
        <xdr:to>
          <xdr:col>11</xdr:col>
          <xdr:colOff>628650</xdr:colOff>
          <xdr:row>14</xdr:row>
          <xdr:rowOff>219075</xdr:rowOff>
        </xdr:to>
        <xdr:sp macro="" textlink="">
          <xdr:nvSpPr>
            <xdr:cNvPr id="114818" name="Check Box 130" hidden="1">
              <a:extLst>
                <a:ext uri="{63B3BB69-23CF-44E3-9099-C40C66FF867C}">
                  <a14:compatExt spid="_x0000_s114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14</xdr:row>
          <xdr:rowOff>0</xdr:rowOff>
        </xdr:from>
        <xdr:to>
          <xdr:col>4</xdr:col>
          <xdr:colOff>628650</xdr:colOff>
          <xdr:row>14</xdr:row>
          <xdr:rowOff>219075</xdr:rowOff>
        </xdr:to>
        <xdr:sp macro="" textlink="">
          <xdr:nvSpPr>
            <xdr:cNvPr id="114819" name="Check Box 131" hidden="1">
              <a:extLst>
                <a:ext uri="{63B3BB69-23CF-44E3-9099-C40C66FF867C}">
                  <a14:compatExt spid="_x0000_s114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0</xdr:rowOff>
        </xdr:from>
        <xdr:to>
          <xdr:col>2</xdr:col>
          <xdr:colOff>628650</xdr:colOff>
          <xdr:row>15</xdr:row>
          <xdr:rowOff>219075</xdr:rowOff>
        </xdr:to>
        <xdr:sp macro="" textlink="">
          <xdr:nvSpPr>
            <xdr:cNvPr id="114822" name="Check Box 134" hidden="1">
              <a:extLst>
                <a:ext uri="{63B3BB69-23CF-44E3-9099-C40C66FF867C}">
                  <a14:compatExt spid="_x0000_s114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0</xdr:rowOff>
        </xdr:from>
        <xdr:to>
          <xdr:col>6</xdr:col>
          <xdr:colOff>628650</xdr:colOff>
          <xdr:row>15</xdr:row>
          <xdr:rowOff>219075</xdr:rowOff>
        </xdr:to>
        <xdr:sp macro="" textlink="">
          <xdr:nvSpPr>
            <xdr:cNvPr id="114823" name="Check Box 135" hidden="1">
              <a:extLst>
                <a:ext uri="{63B3BB69-23CF-44E3-9099-C40C66FF867C}">
                  <a14:compatExt spid="_x0000_s114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15</xdr:row>
          <xdr:rowOff>0</xdr:rowOff>
        </xdr:from>
        <xdr:to>
          <xdr:col>8</xdr:col>
          <xdr:colOff>628650</xdr:colOff>
          <xdr:row>15</xdr:row>
          <xdr:rowOff>219075</xdr:rowOff>
        </xdr:to>
        <xdr:sp macro="" textlink="">
          <xdr:nvSpPr>
            <xdr:cNvPr id="114824" name="Check Box 136" hidden="1">
              <a:extLst>
                <a:ext uri="{63B3BB69-23CF-44E3-9099-C40C66FF867C}">
                  <a14:compatExt spid="_x0000_s114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15</xdr:row>
          <xdr:rowOff>0</xdr:rowOff>
        </xdr:from>
        <xdr:to>
          <xdr:col>11</xdr:col>
          <xdr:colOff>628650</xdr:colOff>
          <xdr:row>15</xdr:row>
          <xdr:rowOff>219075</xdr:rowOff>
        </xdr:to>
        <xdr:sp macro="" textlink="">
          <xdr:nvSpPr>
            <xdr:cNvPr id="114825" name="Check Box 137" hidden="1">
              <a:extLst>
                <a:ext uri="{63B3BB69-23CF-44E3-9099-C40C66FF867C}">
                  <a14:compatExt spid="_x0000_s114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15</xdr:row>
          <xdr:rowOff>0</xdr:rowOff>
        </xdr:from>
        <xdr:to>
          <xdr:col>4</xdr:col>
          <xdr:colOff>628650</xdr:colOff>
          <xdr:row>15</xdr:row>
          <xdr:rowOff>219075</xdr:rowOff>
        </xdr:to>
        <xdr:sp macro="" textlink="">
          <xdr:nvSpPr>
            <xdr:cNvPr id="114826" name="Check Box 138" hidden="1">
              <a:extLst>
                <a:ext uri="{63B3BB69-23CF-44E3-9099-C40C66FF867C}">
                  <a14:compatExt spid="_x0000_s114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19</xdr:row>
          <xdr:rowOff>0</xdr:rowOff>
        </xdr:from>
        <xdr:to>
          <xdr:col>2</xdr:col>
          <xdr:colOff>619125</xdr:colOff>
          <xdr:row>19</xdr:row>
          <xdr:rowOff>219075</xdr:rowOff>
        </xdr:to>
        <xdr:sp macro="" textlink="">
          <xdr:nvSpPr>
            <xdr:cNvPr id="114829" name="Check Box 141" hidden="1">
              <a:extLst>
                <a:ext uri="{63B3BB69-23CF-44E3-9099-C40C66FF867C}">
                  <a14:compatExt spid="_x0000_s114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19</xdr:row>
          <xdr:rowOff>0</xdr:rowOff>
        </xdr:from>
        <xdr:to>
          <xdr:col>6</xdr:col>
          <xdr:colOff>619125</xdr:colOff>
          <xdr:row>19</xdr:row>
          <xdr:rowOff>219075</xdr:rowOff>
        </xdr:to>
        <xdr:sp macro="" textlink="">
          <xdr:nvSpPr>
            <xdr:cNvPr id="114830" name="Check Box 142" hidden="1">
              <a:extLst>
                <a:ext uri="{63B3BB69-23CF-44E3-9099-C40C66FF867C}">
                  <a14:compatExt spid="_x0000_s114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19</xdr:row>
          <xdr:rowOff>0</xdr:rowOff>
        </xdr:from>
        <xdr:to>
          <xdr:col>8</xdr:col>
          <xdr:colOff>619125</xdr:colOff>
          <xdr:row>19</xdr:row>
          <xdr:rowOff>219075</xdr:rowOff>
        </xdr:to>
        <xdr:sp macro="" textlink="">
          <xdr:nvSpPr>
            <xdr:cNvPr id="114831" name="Check Box 143" hidden="1">
              <a:extLst>
                <a:ext uri="{63B3BB69-23CF-44E3-9099-C40C66FF867C}">
                  <a14:compatExt spid="_x0000_s114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19</xdr:row>
          <xdr:rowOff>0</xdr:rowOff>
        </xdr:from>
        <xdr:to>
          <xdr:col>11</xdr:col>
          <xdr:colOff>619125</xdr:colOff>
          <xdr:row>19</xdr:row>
          <xdr:rowOff>219075</xdr:rowOff>
        </xdr:to>
        <xdr:sp macro="" textlink="">
          <xdr:nvSpPr>
            <xdr:cNvPr id="114832" name="Check Box 144" hidden="1">
              <a:extLst>
                <a:ext uri="{63B3BB69-23CF-44E3-9099-C40C66FF867C}">
                  <a14:compatExt spid="_x0000_s114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19</xdr:row>
          <xdr:rowOff>0</xdr:rowOff>
        </xdr:from>
        <xdr:to>
          <xdr:col>4</xdr:col>
          <xdr:colOff>619125</xdr:colOff>
          <xdr:row>19</xdr:row>
          <xdr:rowOff>219075</xdr:rowOff>
        </xdr:to>
        <xdr:sp macro="" textlink="">
          <xdr:nvSpPr>
            <xdr:cNvPr id="114833" name="Check Box 145" hidden="1">
              <a:extLst>
                <a:ext uri="{63B3BB69-23CF-44E3-9099-C40C66FF867C}">
                  <a14:compatExt spid="_x0000_s114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26</xdr:row>
          <xdr:rowOff>0</xdr:rowOff>
        </xdr:from>
        <xdr:to>
          <xdr:col>2</xdr:col>
          <xdr:colOff>628650</xdr:colOff>
          <xdr:row>26</xdr:row>
          <xdr:rowOff>228600</xdr:rowOff>
        </xdr:to>
        <xdr:sp macro="" textlink="">
          <xdr:nvSpPr>
            <xdr:cNvPr id="114836" name="Check Box 148" hidden="1">
              <a:extLst>
                <a:ext uri="{63B3BB69-23CF-44E3-9099-C40C66FF867C}">
                  <a14:compatExt spid="_x0000_s114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26</xdr:row>
          <xdr:rowOff>0</xdr:rowOff>
        </xdr:from>
        <xdr:to>
          <xdr:col>6</xdr:col>
          <xdr:colOff>628650</xdr:colOff>
          <xdr:row>26</xdr:row>
          <xdr:rowOff>228600</xdr:rowOff>
        </xdr:to>
        <xdr:sp macro="" textlink="">
          <xdr:nvSpPr>
            <xdr:cNvPr id="114837" name="Check Box 149" hidden="1">
              <a:extLst>
                <a:ext uri="{63B3BB69-23CF-44E3-9099-C40C66FF867C}">
                  <a14:compatExt spid="_x0000_s114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26</xdr:row>
          <xdr:rowOff>0</xdr:rowOff>
        </xdr:from>
        <xdr:to>
          <xdr:col>8</xdr:col>
          <xdr:colOff>628650</xdr:colOff>
          <xdr:row>26</xdr:row>
          <xdr:rowOff>228600</xdr:rowOff>
        </xdr:to>
        <xdr:sp macro="" textlink="">
          <xdr:nvSpPr>
            <xdr:cNvPr id="114838" name="Check Box 150" hidden="1">
              <a:extLst>
                <a:ext uri="{63B3BB69-23CF-44E3-9099-C40C66FF867C}">
                  <a14:compatExt spid="_x0000_s114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26</xdr:row>
          <xdr:rowOff>0</xdr:rowOff>
        </xdr:from>
        <xdr:to>
          <xdr:col>11</xdr:col>
          <xdr:colOff>628650</xdr:colOff>
          <xdr:row>26</xdr:row>
          <xdr:rowOff>228600</xdr:rowOff>
        </xdr:to>
        <xdr:sp macro="" textlink="">
          <xdr:nvSpPr>
            <xdr:cNvPr id="114839" name="Check Box 151" hidden="1">
              <a:extLst>
                <a:ext uri="{63B3BB69-23CF-44E3-9099-C40C66FF867C}">
                  <a14:compatExt spid="_x0000_s1148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26</xdr:row>
          <xdr:rowOff>0</xdr:rowOff>
        </xdr:from>
        <xdr:to>
          <xdr:col>4</xdr:col>
          <xdr:colOff>628650</xdr:colOff>
          <xdr:row>26</xdr:row>
          <xdr:rowOff>228600</xdr:rowOff>
        </xdr:to>
        <xdr:sp macro="" textlink="">
          <xdr:nvSpPr>
            <xdr:cNvPr id="114840" name="Check Box 152" hidden="1">
              <a:extLst>
                <a:ext uri="{63B3BB69-23CF-44E3-9099-C40C66FF867C}">
                  <a14:compatExt spid="_x0000_s1148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27</xdr:row>
          <xdr:rowOff>0</xdr:rowOff>
        </xdr:from>
        <xdr:to>
          <xdr:col>2</xdr:col>
          <xdr:colOff>628650</xdr:colOff>
          <xdr:row>27</xdr:row>
          <xdr:rowOff>228600</xdr:rowOff>
        </xdr:to>
        <xdr:sp macro="" textlink="">
          <xdr:nvSpPr>
            <xdr:cNvPr id="114843" name="Check Box 155" hidden="1">
              <a:extLst>
                <a:ext uri="{63B3BB69-23CF-44E3-9099-C40C66FF867C}">
                  <a14:compatExt spid="_x0000_s114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27</xdr:row>
          <xdr:rowOff>0</xdr:rowOff>
        </xdr:from>
        <xdr:to>
          <xdr:col>6</xdr:col>
          <xdr:colOff>628650</xdr:colOff>
          <xdr:row>27</xdr:row>
          <xdr:rowOff>228600</xdr:rowOff>
        </xdr:to>
        <xdr:sp macro="" textlink="">
          <xdr:nvSpPr>
            <xdr:cNvPr id="114844" name="Check Box 156" hidden="1">
              <a:extLst>
                <a:ext uri="{63B3BB69-23CF-44E3-9099-C40C66FF867C}">
                  <a14:compatExt spid="_x0000_s114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27</xdr:row>
          <xdr:rowOff>0</xdr:rowOff>
        </xdr:from>
        <xdr:to>
          <xdr:col>8</xdr:col>
          <xdr:colOff>628650</xdr:colOff>
          <xdr:row>27</xdr:row>
          <xdr:rowOff>228600</xdr:rowOff>
        </xdr:to>
        <xdr:sp macro="" textlink="">
          <xdr:nvSpPr>
            <xdr:cNvPr id="114845" name="Check Box 157" hidden="1">
              <a:extLst>
                <a:ext uri="{63B3BB69-23CF-44E3-9099-C40C66FF867C}">
                  <a14:compatExt spid="_x0000_s114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27</xdr:row>
          <xdr:rowOff>0</xdr:rowOff>
        </xdr:from>
        <xdr:to>
          <xdr:col>11</xdr:col>
          <xdr:colOff>628650</xdr:colOff>
          <xdr:row>27</xdr:row>
          <xdr:rowOff>228600</xdr:rowOff>
        </xdr:to>
        <xdr:sp macro="" textlink="">
          <xdr:nvSpPr>
            <xdr:cNvPr id="114846" name="Check Box 158" hidden="1">
              <a:extLst>
                <a:ext uri="{63B3BB69-23CF-44E3-9099-C40C66FF867C}">
                  <a14:compatExt spid="_x0000_s1148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4</xdr:col>
          <xdr:colOff>628650</xdr:colOff>
          <xdr:row>27</xdr:row>
          <xdr:rowOff>228600</xdr:rowOff>
        </xdr:to>
        <xdr:sp macro="" textlink="">
          <xdr:nvSpPr>
            <xdr:cNvPr id="114847" name="Check Box 159" hidden="1">
              <a:extLst>
                <a:ext uri="{63B3BB69-23CF-44E3-9099-C40C66FF867C}">
                  <a14:compatExt spid="_x0000_s1148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</xdr:row>
          <xdr:rowOff>0</xdr:rowOff>
        </xdr:from>
        <xdr:to>
          <xdr:col>2</xdr:col>
          <xdr:colOff>628650</xdr:colOff>
          <xdr:row>28</xdr:row>
          <xdr:rowOff>228600</xdr:rowOff>
        </xdr:to>
        <xdr:sp macro="" textlink="">
          <xdr:nvSpPr>
            <xdr:cNvPr id="114850" name="Check Box 162" hidden="1">
              <a:extLst>
                <a:ext uri="{63B3BB69-23CF-44E3-9099-C40C66FF867C}">
                  <a14:compatExt spid="_x0000_s114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28</xdr:row>
          <xdr:rowOff>0</xdr:rowOff>
        </xdr:from>
        <xdr:to>
          <xdr:col>6</xdr:col>
          <xdr:colOff>628650</xdr:colOff>
          <xdr:row>28</xdr:row>
          <xdr:rowOff>228600</xdr:rowOff>
        </xdr:to>
        <xdr:sp macro="" textlink="">
          <xdr:nvSpPr>
            <xdr:cNvPr id="114851" name="Check Box 163" hidden="1">
              <a:extLst>
                <a:ext uri="{63B3BB69-23CF-44E3-9099-C40C66FF867C}">
                  <a14:compatExt spid="_x0000_s114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28</xdr:row>
          <xdr:rowOff>0</xdr:rowOff>
        </xdr:from>
        <xdr:to>
          <xdr:col>8</xdr:col>
          <xdr:colOff>628650</xdr:colOff>
          <xdr:row>28</xdr:row>
          <xdr:rowOff>228600</xdr:rowOff>
        </xdr:to>
        <xdr:sp macro="" textlink="">
          <xdr:nvSpPr>
            <xdr:cNvPr id="114852" name="Check Box 164" hidden="1">
              <a:extLst>
                <a:ext uri="{63B3BB69-23CF-44E3-9099-C40C66FF867C}">
                  <a14:compatExt spid="_x0000_s114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28</xdr:row>
          <xdr:rowOff>0</xdr:rowOff>
        </xdr:from>
        <xdr:to>
          <xdr:col>11</xdr:col>
          <xdr:colOff>628650</xdr:colOff>
          <xdr:row>28</xdr:row>
          <xdr:rowOff>228600</xdr:rowOff>
        </xdr:to>
        <xdr:sp macro="" textlink="">
          <xdr:nvSpPr>
            <xdr:cNvPr id="114853" name="Check Box 165" hidden="1">
              <a:extLst>
                <a:ext uri="{63B3BB69-23CF-44E3-9099-C40C66FF867C}">
                  <a14:compatExt spid="_x0000_s114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28</xdr:row>
          <xdr:rowOff>0</xdr:rowOff>
        </xdr:from>
        <xdr:to>
          <xdr:col>4</xdr:col>
          <xdr:colOff>628650</xdr:colOff>
          <xdr:row>28</xdr:row>
          <xdr:rowOff>228600</xdr:rowOff>
        </xdr:to>
        <xdr:sp macro="" textlink="">
          <xdr:nvSpPr>
            <xdr:cNvPr id="114854" name="Check Box 166" hidden="1">
              <a:extLst>
                <a:ext uri="{63B3BB69-23CF-44E3-9099-C40C66FF867C}">
                  <a14:compatExt spid="_x0000_s114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29</xdr:row>
          <xdr:rowOff>0</xdr:rowOff>
        </xdr:from>
        <xdr:to>
          <xdr:col>2</xdr:col>
          <xdr:colOff>628650</xdr:colOff>
          <xdr:row>29</xdr:row>
          <xdr:rowOff>228600</xdr:rowOff>
        </xdr:to>
        <xdr:sp macro="" textlink="">
          <xdr:nvSpPr>
            <xdr:cNvPr id="114857" name="Check Box 169" hidden="1">
              <a:extLst>
                <a:ext uri="{63B3BB69-23CF-44E3-9099-C40C66FF867C}">
                  <a14:compatExt spid="_x0000_s114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29</xdr:row>
          <xdr:rowOff>0</xdr:rowOff>
        </xdr:from>
        <xdr:to>
          <xdr:col>6</xdr:col>
          <xdr:colOff>628650</xdr:colOff>
          <xdr:row>29</xdr:row>
          <xdr:rowOff>228600</xdr:rowOff>
        </xdr:to>
        <xdr:sp macro="" textlink="">
          <xdr:nvSpPr>
            <xdr:cNvPr id="114858" name="Check Box 170" hidden="1">
              <a:extLst>
                <a:ext uri="{63B3BB69-23CF-44E3-9099-C40C66FF867C}">
                  <a14:compatExt spid="_x0000_s114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29</xdr:row>
          <xdr:rowOff>0</xdr:rowOff>
        </xdr:from>
        <xdr:to>
          <xdr:col>8</xdr:col>
          <xdr:colOff>628650</xdr:colOff>
          <xdr:row>29</xdr:row>
          <xdr:rowOff>228600</xdr:rowOff>
        </xdr:to>
        <xdr:sp macro="" textlink="">
          <xdr:nvSpPr>
            <xdr:cNvPr id="114859" name="Check Box 171" hidden="1">
              <a:extLst>
                <a:ext uri="{63B3BB69-23CF-44E3-9099-C40C66FF867C}">
                  <a14:compatExt spid="_x0000_s114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29</xdr:row>
          <xdr:rowOff>0</xdr:rowOff>
        </xdr:from>
        <xdr:to>
          <xdr:col>11</xdr:col>
          <xdr:colOff>628650</xdr:colOff>
          <xdr:row>29</xdr:row>
          <xdr:rowOff>228600</xdr:rowOff>
        </xdr:to>
        <xdr:sp macro="" textlink="">
          <xdr:nvSpPr>
            <xdr:cNvPr id="114860" name="Check Box 172" hidden="1">
              <a:extLst>
                <a:ext uri="{63B3BB69-23CF-44E3-9099-C40C66FF867C}">
                  <a14:compatExt spid="_x0000_s114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0</xdr:rowOff>
        </xdr:from>
        <xdr:to>
          <xdr:col>4</xdr:col>
          <xdr:colOff>628650</xdr:colOff>
          <xdr:row>29</xdr:row>
          <xdr:rowOff>228600</xdr:rowOff>
        </xdr:to>
        <xdr:sp macro="" textlink="">
          <xdr:nvSpPr>
            <xdr:cNvPr id="114861" name="Check Box 173" hidden="1">
              <a:extLst>
                <a:ext uri="{63B3BB69-23CF-44E3-9099-C40C66FF867C}">
                  <a14:compatExt spid="_x0000_s1148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30</xdr:row>
          <xdr:rowOff>0</xdr:rowOff>
        </xdr:from>
        <xdr:to>
          <xdr:col>2</xdr:col>
          <xdr:colOff>628650</xdr:colOff>
          <xdr:row>30</xdr:row>
          <xdr:rowOff>228600</xdr:rowOff>
        </xdr:to>
        <xdr:sp macro="" textlink="">
          <xdr:nvSpPr>
            <xdr:cNvPr id="114864" name="Check Box 176" hidden="1">
              <a:extLst>
                <a:ext uri="{63B3BB69-23CF-44E3-9099-C40C66FF867C}">
                  <a14:compatExt spid="_x0000_s114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30</xdr:row>
          <xdr:rowOff>0</xdr:rowOff>
        </xdr:from>
        <xdr:to>
          <xdr:col>6</xdr:col>
          <xdr:colOff>628650</xdr:colOff>
          <xdr:row>30</xdr:row>
          <xdr:rowOff>228600</xdr:rowOff>
        </xdr:to>
        <xdr:sp macro="" textlink="">
          <xdr:nvSpPr>
            <xdr:cNvPr id="114865" name="Check Box 177" hidden="1">
              <a:extLst>
                <a:ext uri="{63B3BB69-23CF-44E3-9099-C40C66FF867C}">
                  <a14:compatExt spid="_x0000_s114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30</xdr:row>
          <xdr:rowOff>0</xdr:rowOff>
        </xdr:from>
        <xdr:to>
          <xdr:col>8</xdr:col>
          <xdr:colOff>628650</xdr:colOff>
          <xdr:row>30</xdr:row>
          <xdr:rowOff>228600</xdr:rowOff>
        </xdr:to>
        <xdr:sp macro="" textlink="">
          <xdr:nvSpPr>
            <xdr:cNvPr id="114866" name="Check Box 178" hidden="1">
              <a:extLst>
                <a:ext uri="{63B3BB69-23CF-44E3-9099-C40C66FF867C}">
                  <a14:compatExt spid="_x0000_s114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30</xdr:row>
          <xdr:rowOff>0</xdr:rowOff>
        </xdr:from>
        <xdr:to>
          <xdr:col>11</xdr:col>
          <xdr:colOff>628650</xdr:colOff>
          <xdr:row>30</xdr:row>
          <xdr:rowOff>228600</xdr:rowOff>
        </xdr:to>
        <xdr:sp macro="" textlink="">
          <xdr:nvSpPr>
            <xdr:cNvPr id="114867" name="Check Box 179" hidden="1">
              <a:extLst>
                <a:ext uri="{63B3BB69-23CF-44E3-9099-C40C66FF867C}">
                  <a14:compatExt spid="_x0000_s114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0</xdr:rowOff>
        </xdr:from>
        <xdr:to>
          <xdr:col>4</xdr:col>
          <xdr:colOff>628650</xdr:colOff>
          <xdr:row>30</xdr:row>
          <xdr:rowOff>228600</xdr:rowOff>
        </xdr:to>
        <xdr:sp macro="" textlink="">
          <xdr:nvSpPr>
            <xdr:cNvPr id="114868" name="Check Box 180" hidden="1">
              <a:extLst>
                <a:ext uri="{63B3BB69-23CF-44E3-9099-C40C66FF867C}">
                  <a14:compatExt spid="_x0000_s1148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34</xdr:row>
          <xdr:rowOff>0</xdr:rowOff>
        </xdr:from>
        <xdr:to>
          <xdr:col>2</xdr:col>
          <xdr:colOff>628650</xdr:colOff>
          <xdr:row>34</xdr:row>
          <xdr:rowOff>228600</xdr:rowOff>
        </xdr:to>
        <xdr:sp macro="" textlink="">
          <xdr:nvSpPr>
            <xdr:cNvPr id="114871" name="Check Box 183" hidden="1">
              <a:extLst>
                <a:ext uri="{63B3BB69-23CF-44E3-9099-C40C66FF867C}">
                  <a14:compatExt spid="_x0000_s1148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34</xdr:row>
          <xdr:rowOff>0</xdr:rowOff>
        </xdr:from>
        <xdr:to>
          <xdr:col>6</xdr:col>
          <xdr:colOff>628650</xdr:colOff>
          <xdr:row>34</xdr:row>
          <xdr:rowOff>228600</xdr:rowOff>
        </xdr:to>
        <xdr:sp macro="" textlink="">
          <xdr:nvSpPr>
            <xdr:cNvPr id="114872" name="Check Box 184" hidden="1">
              <a:extLst>
                <a:ext uri="{63B3BB69-23CF-44E3-9099-C40C66FF867C}">
                  <a14:compatExt spid="_x0000_s1148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34</xdr:row>
          <xdr:rowOff>0</xdr:rowOff>
        </xdr:from>
        <xdr:to>
          <xdr:col>8</xdr:col>
          <xdr:colOff>628650</xdr:colOff>
          <xdr:row>34</xdr:row>
          <xdr:rowOff>228600</xdr:rowOff>
        </xdr:to>
        <xdr:sp macro="" textlink="">
          <xdr:nvSpPr>
            <xdr:cNvPr id="114873" name="Check Box 185" hidden="1">
              <a:extLst>
                <a:ext uri="{63B3BB69-23CF-44E3-9099-C40C66FF867C}">
                  <a14:compatExt spid="_x0000_s114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34</xdr:row>
          <xdr:rowOff>0</xdr:rowOff>
        </xdr:from>
        <xdr:to>
          <xdr:col>11</xdr:col>
          <xdr:colOff>628650</xdr:colOff>
          <xdr:row>34</xdr:row>
          <xdr:rowOff>228600</xdr:rowOff>
        </xdr:to>
        <xdr:sp macro="" textlink="">
          <xdr:nvSpPr>
            <xdr:cNvPr id="114874" name="Check Box 186" hidden="1">
              <a:extLst>
                <a:ext uri="{63B3BB69-23CF-44E3-9099-C40C66FF867C}">
                  <a14:compatExt spid="_x0000_s114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0</xdr:rowOff>
        </xdr:from>
        <xdr:to>
          <xdr:col>4</xdr:col>
          <xdr:colOff>628650</xdr:colOff>
          <xdr:row>34</xdr:row>
          <xdr:rowOff>228600</xdr:rowOff>
        </xdr:to>
        <xdr:sp macro="" textlink="">
          <xdr:nvSpPr>
            <xdr:cNvPr id="114875" name="Check Box 187" hidden="1">
              <a:extLst>
                <a:ext uri="{63B3BB69-23CF-44E3-9099-C40C66FF867C}">
                  <a14:compatExt spid="_x0000_s1148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</xdr:row>
          <xdr:rowOff>19050</xdr:rowOff>
        </xdr:from>
        <xdr:to>
          <xdr:col>2</xdr:col>
          <xdr:colOff>628650</xdr:colOff>
          <xdr:row>22</xdr:row>
          <xdr:rowOff>238125</xdr:rowOff>
        </xdr:to>
        <xdr:sp macro="" textlink="">
          <xdr:nvSpPr>
            <xdr:cNvPr id="114878" name="Check Box 190" descr="Fosfaat" hidden="1">
              <a:extLst>
                <a:ext uri="{63B3BB69-23CF-44E3-9099-C40C66FF867C}">
                  <a14:compatExt spid="_x0000_s114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22</xdr:row>
          <xdr:rowOff>19050</xdr:rowOff>
        </xdr:from>
        <xdr:to>
          <xdr:col>6</xdr:col>
          <xdr:colOff>628650</xdr:colOff>
          <xdr:row>22</xdr:row>
          <xdr:rowOff>238125</xdr:rowOff>
        </xdr:to>
        <xdr:sp macro="" textlink="">
          <xdr:nvSpPr>
            <xdr:cNvPr id="114879" name="Check Box 191" descr="Fosfaat" hidden="1">
              <a:extLst>
                <a:ext uri="{63B3BB69-23CF-44E3-9099-C40C66FF867C}">
                  <a14:compatExt spid="_x0000_s114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22</xdr:row>
          <xdr:rowOff>19050</xdr:rowOff>
        </xdr:from>
        <xdr:to>
          <xdr:col>8</xdr:col>
          <xdr:colOff>628650</xdr:colOff>
          <xdr:row>22</xdr:row>
          <xdr:rowOff>238125</xdr:rowOff>
        </xdr:to>
        <xdr:sp macro="" textlink="">
          <xdr:nvSpPr>
            <xdr:cNvPr id="114880" name="Check Box 192" descr="Fosfaat" hidden="1">
              <a:extLst>
                <a:ext uri="{63B3BB69-23CF-44E3-9099-C40C66FF867C}">
                  <a14:compatExt spid="_x0000_s1148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22</xdr:row>
          <xdr:rowOff>19050</xdr:rowOff>
        </xdr:from>
        <xdr:to>
          <xdr:col>11</xdr:col>
          <xdr:colOff>628650</xdr:colOff>
          <xdr:row>22</xdr:row>
          <xdr:rowOff>238125</xdr:rowOff>
        </xdr:to>
        <xdr:sp macro="" textlink="">
          <xdr:nvSpPr>
            <xdr:cNvPr id="114881" name="Check Box 193" descr="Fosfaat" hidden="1">
              <a:extLst>
                <a:ext uri="{63B3BB69-23CF-44E3-9099-C40C66FF867C}">
                  <a14:compatExt spid="_x0000_s114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22</xdr:row>
          <xdr:rowOff>19050</xdr:rowOff>
        </xdr:from>
        <xdr:to>
          <xdr:col>4</xdr:col>
          <xdr:colOff>628650</xdr:colOff>
          <xdr:row>22</xdr:row>
          <xdr:rowOff>238125</xdr:rowOff>
        </xdr:to>
        <xdr:sp macro="" textlink="">
          <xdr:nvSpPr>
            <xdr:cNvPr id="114882" name="Check Box 194" descr="Fosfaat" hidden="1">
              <a:extLst>
                <a:ext uri="{63B3BB69-23CF-44E3-9099-C40C66FF867C}">
                  <a14:compatExt spid="_x0000_s114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</xdr:row>
          <xdr:rowOff>19050</xdr:rowOff>
        </xdr:from>
        <xdr:to>
          <xdr:col>2</xdr:col>
          <xdr:colOff>628650</xdr:colOff>
          <xdr:row>36</xdr:row>
          <xdr:rowOff>238125</xdr:rowOff>
        </xdr:to>
        <xdr:sp macro="" textlink="">
          <xdr:nvSpPr>
            <xdr:cNvPr id="114885" name="Check Box 197" descr="d-dimeren" hidden="1">
              <a:extLst>
                <a:ext uri="{63B3BB69-23CF-44E3-9099-C40C66FF867C}">
                  <a14:compatExt spid="_x0000_s1148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36</xdr:row>
          <xdr:rowOff>19050</xdr:rowOff>
        </xdr:from>
        <xdr:to>
          <xdr:col>6</xdr:col>
          <xdr:colOff>628650</xdr:colOff>
          <xdr:row>36</xdr:row>
          <xdr:rowOff>238125</xdr:rowOff>
        </xdr:to>
        <xdr:sp macro="" textlink="">
          <xdr:nvSpPr>
            <xdr:cNvPr id="114886" name="Check Box 198" descr="d-dimeren" hidden="1">
              <a:extLst>
                <a:ext uri="{63B3BB69-23CF-44E3-9099-C40C66FF867C}">
                  <a14:compatExt spid="_x0000_s114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36</xdr:row>
          <xdr:rowOff>19050</xdr:rowOff>
        </xdr:from>
        <xdr:to>
          <xdr:col>8</xdr:col>
          <xdr:colOff>628650</xdr:colOff>
          <xdr:row>36</xdr:row>
          <xdr:rowOff>238125</xdr:rowOff>
        </xdr:to>
        <xdr:sp macro="" textlink="">
          <xdr:nvSpPr>
            <xdr:cNvPr id="114887" name="Check Box 199" descr="d-dimeren" hidden="1">
              <a:extLst>
                <a:ext uri="{63B3BB69-23CF-44E3-9099-C40C66FF867C}">
                  <a14:compatExt spid="_x0000_s114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36</xdr:row>
          <xdr:rowOff>19050</xdr:rowOff>
        </xdr:from>
        <xdr:to>
          <xdr:col>11</xdr:col>
          <xdr:colOff>628650</xdr:colOff>
          <xdr:row>36</xdr:row>
          <xdr:rowOff>238125</xdr:rowOff>
        </xdr:to>
        <xdr:sp macro="" textlink="">
          <xdr:nvSpPr>
            <xdr:cNvPr id="114888" name="Check Box 200" descr="d-dimeren" hidden="1">
              <a:extLst>
                <a:ext uri="{63B3BB69-23CF-44E3-9099-C40C66FF867C}">
                  <a14:compatExt spid="_x0000_s1148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19050</xdr:rowOff>
        </xdr:from>
        <xdr:to>
          <xdr:col>4</xdr:col>
          <xdr:colOff>628650</xdr:colOff>
          <xdr:row>36</xdr:row>
          <xdr:rowOff>238125</xdr:rowOff>
        </xdr:to>
        <xdr:sp macro="" textlink="">
          <xdr:nvSpPr>
            <xdr:cNvPr id="114889" name="Check Box 201" descr="d-dimeren" hidden="1">
              <a:extLst>
                <a:ext uri="{63B3BB69-23CF-44E3-9099-C40C66FF867C}">
                  <a14:compatExt spid="_x0000_s114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40</xdr:row>
          <xdr:rowOff>19050</xdr:rowOff>
        </xdr:from>
        <xdr:to>
          <xdr:col>2</xdr:col>
          <xdr:colOff>628650</xdr:colOff>
          <xdr:row>40</xdr:row>
          <xdr:rowOff>238125</xdr:rowOff>
        </xdr:to>
        <xdr:sp macro="" textlink="">
          <xdr:nvSpPr>
            <xdr:cNvPr id="114892" name="Check Box 204" descr="ACT" hidden="1">
              <a:extLst>
                <a:ext uri="{63B3BB69-23CF-44E3-9099-C40C66FF867C}">
                  <a14:compatExt spid="_x0000_s114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19050</xdr:rowOff>
        </xdr:from>
        <xdr:to>
          <xdr:col>2</xdr:col>
          <xdr:colOff>628650</xdr:colOff>
          <xdr:row>38</xdr:row>
          <xdr:rowOff>238125</xdr:rowOff>
        </xdr:to>
        <xdr:sp macro="" textlink="">
          <xdr:nvSpPr>
            <xdr:cNvPr id="114893" name="Check Box 205" hidden="1">
              <a:extLst>
                <a:ext uri="{63B3BB69-23CF-44E3-9099-C40C66FF867C}">
                  <a14:compatExt spid="_x0000_s1148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38</xdr:row>
          <xdr:rowOff>19050</xdr:rowOff>
        </xdr:from>
        <xdr:to>
          <xdr:col>6</xdr:col>
          <xdr:colOff>628650</xdr:colOff>
          <xdr:row>38</xdr:row>
          <xdr:rowOff>238125</xdr:rowOff>
        </xdr:to>
        <xdr:sp macro="" textlink="">
          <xdr:nvSpPr>
            <xdr:cNvPr id="114894" name="Check Box 206" hidden="1">
              <a:extLst>
                <a:ext uri="{63B3BB69-23CF-44E3-9099-C40C66FF867C}">
                  <a14:compatExt spid="_x0000_s1148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38</xdr:row>
          <xdr:rowOff>19050</xdr:rowOff>
        </xdr:from>
        <xdr:to>
          <xdr:col>8</xdr:col>
          <xdr:colOff>628650</xdr:colOff>
          <xdr:row>38</xdr:row>
          <xdr:rowOff>238125</xdr:rowOff>
        </xdr:to>
        <xdr:sp macro="" textlink="">
          <xdr:nvSpPr>
            <xdr:cNvPr id="114895" name="Check Box 207" hidden="1">
              <a:extLst>
                <a:ext uri="{63B3BB69-23CF-44E3-9099-C40C66FF867C}">
                  <a14:compatExt spid="_x0000_s1148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38</xdr:row>
          <xdr:rowOff>19050</xdr:rowOff>
        </xdr:from>
        <xdr:to>
          <xdr:col>11</xdr:col>
          <xdr:colOff>628650</xdr:colOff>
          <xdr:row>38</xdr:row>
          <xdr:rowOff>238125</xdr:rowOff>
        </xdr:to>
        <xdr:sp macro="" textlink="">
          <xdr:nvSpPr>
            <xdr:cNvPr id="114896" name="Check Box 208" hidden="1">
              <a:extLst>
                <a:ext uri="{63B3BB69-23CF-44E3-9099-C40C66FF867C}">
                  <a14:compatExt spid="_x0000_s1148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38</xdr:row>
          <xdr:rowOff>19050</xdr:rowOff>
        </xdr:from>
        <xdr:to>
          <xdr:col>4</xdr:col>
          <xdr:colOff>628650</xdr:colOff>
          <xdr:row>38</xdr:row>
          <xdr:rowOff>238125</xdr:rowOff>
        </xdr:to>
        <xdr:sp macro="" textlink="">
          <xdr:nvSpPr>
            <xdr:cNvPr id="114897" name="Check Box 209" hidden="1">
              <a:extLst>
                <a:ext uri="{63B3BB69-23CF-44E3-9099-C40C66FF867C}">
                  <a14:compatExt spid="_x0000_s114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19050</xdr:rowOff>
        </xdr:from>
        <xdr:to>
          <xdr:col>2</xdr:col>
          <xdr:colOff>628650</xdr:colOff>
          <xdr:row>39</xdr:row>
          <xdr:rowOff>238125</xdr:rowOff>
        </xdr:to>
        <xdr:sp macro="" textlink="">
          <xdr:nvSpPr>
            <xdr:cNvPr id="114900" name="Check Box 212" hidden="1">
              <a:extLst>
                <a:ext uri="{63B3BB69-23CF-44E3-9099-C40C66FF867C}">
                  <a14:compatExt spid="_x0000_s1149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39</xdr:row>
          <xdr:rowOff>19050</xdr:rowOff>
        </xdr:from>
        <xdr:to>
          <xdr:col>6</xdr:col>
          <xdr:colOff>628650</xdr:colOff>
          <xdr:row>39</xdr:row>
          <xdr:rowOff>238125</xdr:rowOff>
        </xdr:to>
        <xdr:sp macro="" textlink="">
          <xdr:nvSpPr>
            <xdr:cNvPr id="114901" name="Check Box 213" hidden="1">
              <a:extLst>
                <a:ext uri="{63B3BB69-23CF-44E3-9099-C40C66FF867C}">
                  <a14:compatExt spid="_x0000_s114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39</xdr:row>
          <xdr:rowOff>19050</xdr:rowOff>
        </xdr:from>
        <xdr:to>
          <xdr:col>8</xdr:col>
          <xdr:colOff>628650</xdr:colOff>
          <xdr:row>39</xdr:row>
          <xdr:rowOff>238125</xdr:rowOff>
        </xdr:to>
        <xdr:sp macro="" textlink="">
          <xdr:nvSpPr>
            <xdr:cNvPr id="114902" name="Check Box 214" hidden="1">
              <a:extLst>
                <a:ext uri="{63B3BB69-23CF-44E3-9099-C40C66FF867C}">
                  <a14:compatExt spid="_x0000_s114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39</xdr:row>
          <xdr:rowOff>19050</xdr:rowOff>
        </xdr:from>
        <xdr:to>
          <xdr:col>11</xdr:col>
          <xdr:colOff>628650</xdr:colOff>
          <xdr:row>39</xdr:row>
          <xdr:rowOff>238125</xdr:rowOff>
        </xdr:to>
        <xdr:sp macro="" textlink="">
          <xdr:nvSpPr>
            <xdr:cNvPr id="114903" name="Check Box 215" hidden="1">
              <a:extLst>
                <a:ext uri="{63B3BB69-23CF-44E3-9099-C40C66FF867C}">
                  <a14:compatExt spid="_x0000_s114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39</xdr:row>
          <xdr:rowOff>19050</xdr:rowOff>
        </xdr:from>
        <xdr:to>
          <xdr:col>4</xdr:col>
          <xdr:colOff>628650</xdr:colOff>
          <xdr:row>39</xdr:row>
          <xdr:rowOff>238125</xdr:rowOff>
        </xdr:to>
        <xdr:sp macro="" textlink="">
          <xdr:nvSpPr>
            <xdr:cNvPr id="114904" name="Check Box 216" hidden="1">
              <a:extLst>
                <a:ext uri="{63B3BB69-23CF-44E3-9099-C40C66FF867C}">
                  <a14:compatExt spid="_x0000_s114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163" name="Rectangle 115"/>
        <xdr:cNvSpPr>
          <a:spLocks noChangeArrowheads="1"/>
        </xdr:cNvSpPr>
      </xdr:nvSpPr>
      <xdr:spPr bwMode="auto">
        <a:xfrm flipV="1">
          <a:off x="2686050" y="314325"/>
          <a:ext cx="16383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133350</xdr:colOff>
      <xdr:row>10</xdr:row>
      <xdr:rowOff>161925</xdr:rowOff>
    </xdr:from>
    <xdr:to>
      <xdr:col>29</xdr:col>
      <xdr:colOff>495300</xdr:colOff>
      <xdr:row>11</xdr:row>
      <xdr:rowOff>114300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23098125" y="2219325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28575</xdr:colOff>
      <xdr:row>2</xdr:row>
      <xdr:rowOff>19050</xdr:rowOff>
    </xdr:from>
    <xdr:to>
      <xdr:col>6</xdr:col>
      <xdr:colOff>628650</xdr:colOff>
      <xdr:row>2</xdr:row>
      <xdr:rowOff>171450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87915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11420</xdr:colOff>
      <xdr:row>7</xdr:row>
      <xdr:rowOff>10223</xdr:rowOff>
    </xdr:from>
    <xdr:to>
      <xdr:col>17</xdr:col>
      <xdr:colOff>89565</xdr:colOff>
      <xdr:row>10</xdr:row>
      <xdr:rowOff>23887</xdr:rowOff>
    </xdr:to>
    <xdr:sp macro="[0]!EnterPatientDetails" textlink="">
      <xdr:nvSpPr>
        <xdr:cNvPr id="5" name="Rectangle 49"/>
        <xdr:cNvSpPr>
          <a:spLocks noChangeArrowheads="1"/>
        </xdr:cNvSpPr>
      </xdr:nvSpPr>
      <xdr:spPr bwMode="auto">
        <a:xfrm flipV="1">
          <a:off x="11746220" y="1381823"/>
          <a:ext cx="4602520" cy="6994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6</xdr:row>
          <xdr:rowOff>19050</xdr:rowOff>
        </xdr:from>
        <xdr:to>
          <xdr:col>5</xdr:col>
          <xdr:colOff>1381125</xdr:colOff>
          <xdr:row>6</xdr:row>
          <xdr:rowOff>219075</xdr:rowOff>
        </xdr:to>
        <xdr:sp macro="" textlink="">
          <xdr:nvSpPr>
            <xdr:cNvPr id="198689" name="Check Box 33" hidden="1">
              <a:extLst>
                <a:ext uri="{63B3BB69-23CF-44E3-9099-C40C66FF867C}">
                  <a14:compatExt spid="_x0000_s198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19050</xdr:rowOff>
        </xdr:from>
        <xdr:to>
          <xdr:col>5</xdr:col>
          <xdr:colOff>1381125</xdr:colOff>
          <xdr:row>7</xdr:row>
          <xdr:rowOff>219075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10</xdr:row>
          <xdr:rowOff>28575</xdr:rowOff>
        </xdr:from>
        <xdr:to>
          <xdr:col>2</xdr:col>
          <xdr:colOff>714375</xdr:colOff>
          <xdr:row>10</xdr:row>
          <xdr:rowOff>209550</xdr:rowOff>
        </xdr:to>
        <xdr:sp macro="" textlink="">
          <xdr:nvSpPr>
            <xdr:cNvPr id="198713" name="Spinner 57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24</xdr:row>
          <xdr:rowOff>19050</xdr:rowOff>
        </xdr:from>
        <xdr:to>
          <xdr:col>1</xdr:col>
          <xdr:colOff>1562100</xdr:colOff>
          <xdr:row>24</xdr:row>
          <xdr:rowOff>219075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25</xdr:row>
          <xdr:rowOff>28575</xdr:rowOff>
        </xdr:from>
        <xdr:to>
          <xdr:col>1</xdr:col>
          <xdr:colOff>1562100</xdr:colOff>
          <xdr:row>25</xdr:row>
          <xdr:rowOff>219075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28</xdr:row>
          <xdr:rowOff>19050</xdr:rowOff>
        </xdr:from>
        <xdr:to>
          <xdr:col>1</xdr:col>
          <xdr:colOff>1228725</xdr:colOff>
          <xdr:row>28</xdr:row>
          <xdr:rowOff>219075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9525</xdr:rowOff>
        </xdr:from>
        <xdr:to>
          <xdr:col>2</xdr:col>
          <xdr:colOff>1028700</xdr:colOff>
          <xdr:row>28</xdr:row>
          <xdr:rowOff>219075</xdr:rowOff>
        </xdr:to>
        <xdr:sp macro="" textlink="">
          <xdr:nvSpPr>
            <xdr:cNvPr id="198723" name="Drop Down 67" hidden="1">
              <a:extLst>
                <a:ext uri="{63B3BB69-23CF-44E3-9099-C40C66FF867C}">
                  <a14:compatExt spid="_x0000_s198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28</xdr:row>
          <xdr:rowOff>9525</xdr:rowOff>
        </xdr:from>
        <xdr:to>
          <xdr:col>3</xdr:col>
          <xdr:colOff>923925</xdr:colOff>
          <xdr:row>28</xdr:row>
          <xdr:rowOff>219075</xdr:rowOff>
        </xdr:to>
        <xdr:sp macro="" textlink="">
          <xdr:nvSpPr>
            <xdr:cNvPr id="198724" name="Drop Down 68" hidden="1">
              <a:extLst>
                <a:ext uri="{63B3BB69-23CF-44E3-9099-C40C66FF867C}">
                  <a14:compatExt spid="_x0000_s198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29</xdr:row>
          <xdr:rowOff>19050</xdr:rowOff>
        </xdr:from>
        <xdr:to>
          <xdr:col>1</xdr:col>
          <xdr:colOff>1228725</xdr:colOff>
          <xdr:row>29</xdr:row>
          <xdr:rowOff>219075</xdr:rowOff>
        </xdr:to>
        <xdr:sp macro="" textlink="">
          <xdr:nvSpPr>
            <xdr:cNvPr id="198725" name="Check Box 69" hidden="1">
              <a:extLst>
                <a:ext uri="{63B3BB69-23CF-44E3-9099-C40C66FF867C}">
                  <a14:compatExt spid="_x0000_s198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9525</xdr:rowOff>
        </xdr:from>
        <xdr:to>
          <xdr:col>2</xdr:col>
          <xdr:colOff>1028700</xdr:colOff>
          <xdr:row>29</xdr:row>
          <xdr:rowOff>219075</xdr:rowOff>
        </xdr:to>
        <xdr:sp macro="" textlink="">
          <xdr:nvSpPr>
            <xdr:cNvPr id="198728" name="Drop Down 72" hidden="1">
              <a:extLst>
                <a:ext uri="{63B3BB69-23CF-44E3-9099-C40C66FF867C}">
                  <a14:compatExt spid="_x0000_s198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29</xdr:row>
          <xdr:rowOff>9525</xdr:rowOff>
        </xdr:from>
        <xdr:to>
          <xdr:col>3</xdr:col>
          <xdr:colOff>923925</xdr:colOff>
          <xdr:row>29</xdr:row>
          <xdr:rowOff>219075</xdr:rowOff>
        </xdr:to>
        <xdr:sp macro="" textlink="">
          <xdr:nvSpPr>
            <xdr:cNvPr id="198729" name="Drop Down 73" hidden="1">
              <a:extLst>
                <a:ext uri="{63B3BB69-23CF-44E3-9099-C40C66FF867C}">
                  <a14:compatExt spid="_x0000_s198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19050</xdr:rowOff>
        </xdr:from>
        <xdr:to>
          <xdr:col>1</xdr:col>
          <xdr:colOff>1657350</xdr:colOff>
          <xdr:row>7</xdr:row>
          <xdr:rowOff>219075</xdr:rowOff>
        </xdr:to>
        <xdr:sp macro="" textlink="">
          <xdr:nvSpPr>
            <xdr:cNvPr id="198731" name="Check Box 75" hidden="1">
              <a:extLst>
                <a:ext uri="{63B3BB69-23CF-44E3-9099-C40C66FF867C}">
                  <a14:compatExt spid="_x0000_s198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8</xdr:row>
          <xdr:rowOff>19050</xdr:rowOff>
        </xdr:from>
        <xdr:to>
          <xdr:col>1</xdr:col>
          <xdr:colOff>1657350</xdr:colOff>
          <xdr:row>8</xdr:row>
          <xdr:rowOff>219075</xdr:rowOff>
        </xdr:to>
        <xdr:sp macro="" textlink="">
          <xdr:nvSpPr>
            <xdr:cNvPr id="198732" name="Check Box 76" hidden="1">
              <a:extLst>
                <a:ext uri="{63B3BB69-23CF-44E3-9099-C40C66FF867C}">
                  <a14:compatExt spid="_x0000_s198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23</xdr:row>
          <xdr:rowOff>19050</xdr:rowOff>
        </xdr:from>
        <xdr:to>
          <xdr:col>1</xdr:col>
          <xdr:colOff>1228725</xdr:colOff>
          <xdr:row>23</xdr:row>
          <xdr:rowOff>219075</xdr:rowOff>
        </xdr:to>
        <xdr:sp macro="" textlink="">
          <xdr:nvSpPr>
            <xdr:cNvPr id="198739" name="Check Box 83" hidden="1">
              <a:extLst>
                <a:ext uri="{63B3BB69-23CF-44E3-9099-C40C66FF867C}">
                  <a14:compatExt spid="_x0000_s198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19050</xdr:rowOff>
        </xdr:from>
        <xdr:to>
          <xdr:col>1</xdr:col>
          <xdr:colOff>1657350</xdr:colOff>
          <xdr:row>10</xdr:row>
          <xdr:rowOff>219075</xdr:rowOff>
        </xdr:to>
        <xdr:sp macro="" textlink="">
          <xdr:nvSpPr>
            <xdr:cNvPr id="198742" name="Check Box 86" hidden="1">
              <a:extLst>
                <a:ext uri="{63B3BB69-23CF-44E3-9099-C40C66FF867C}">
                  <a14:compatExt spid="_x0000_s198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14</xdr:row>
          <xdr:rowOff>19050</xdr:rowOff>
        </xdr:from>
        <xdr:to>
          <xdr:col>1</xdr:col>
          <xdr:colOff>1657350</xdr:colOff>
          <xdr:row>14</xdr:row>
          <xdr:rowOff>219075</xdr:rowOff>
        </xdr:to>
        <xdr:sp macro="" textlink="">
          <xdr:nvSpPr>
            <xdr:cNvPr id="198743" name="Check Box 87" hidden="1">
              <a:extLst>
                <a:ext uri="{63B3BB69-23CF-44E3-9099-C40C66FF867C}">
                  <a14:compatExt spid="_x0000_s198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15</xdr:row>
          <xdr:rowOff>19050</xdr:rowOff>
        </xdr:from>
        <xdr:to>
          <xdr:col>1</xdr:col>
          <xdr:colOff>1657350</xdr:colOff>
          <xdr:row>15</xdr:row>
          <xdr:rowOff>219075</xdr:rowOff>
        </xdr:to>
        <xdr:sp macro="" textlink="">
          <xdr:nvSpPr>
            <xdr:cNvPr id="198744" name="Check Box 88" hidden="1">
              <a:extLst>
                <a:ext uri="{63B3BB69-23CF-44E3-9099-C40C66FF867C}">
                  <a14:compatExt spid="_x0000_s198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16</xdr:row>
          <xdr:rowOff>19050</xdr:rowOff>
        </xdr:from>
        <xdr:to>
          <xdr:col>1</xdr:col>
          <xdr:colOff>1657350</xdr:colOff>
          <xdr:row>16</xdr:row>
          <xdr:rowOff>219075</xdr:rowOff>
        </xdr:to>
        <xdr:sp macro="" textlink="">
          <xdr:nvSpPr>
            <xdr:cNvPr id="198745" name="Check Box 89" hidden="1">
              <a:extLst>
                <a:ext uri="{63B3BB69-23CF-44E3-9099-C40C66FF867C}">
                  <a14:compatExt spid="_x0000_s198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10</xdr:row>
          <xdr:rowOff>19050</xdr:rowOff>
        </xdr:from>
        <xdr:to>
          <xdr:col>3</xdr:col>
          <xdr:colOff>923925</xdr:colOff>
          <xdr:row>10</xdr:row>
          <xdr:rowOff>219075</xdr:rowOff>
        </xdr:to>
        <xdr:sp macro="" textlink="">
          <xdr:nvSpPr>
            <xdr:cNvPr id="198748" name="Check Box 92" hidden="1">
              <a:extLst>
                <a:ext uri="{63B3BB69-23CF-44E3-9099-C40C66FF867C}">
                  <a14:compatExt spid="_x0000_s198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19050</xdr:rowOff>
        </xdr:from>
        <xdr:to>
          <xdr:col>3</xdr:col>
          <xdr:colOff>923925</xdr:colOff>
          <xdr:row>11</xdr:row>
          <xdr:rowOff>219075</xdr:rowOff>
        </xdr:to>
        <xdr:sp macro="" textlink="">
          <xdr:nvSpPr>
            <xdr:cNvPr id="198749" name="Check Box 93" hidden="1">
              <a:extLst>
                <a:ext uri="{63B3BB69-23CF-44E3-9099-C40C66FF867C}">
                  <a14:compatExt spid="_x0000_s198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19050</xdr:rowOff>
        </xdr:from>
        <xdr:to>
          <xdr:col>3</xdr:col>
          <xdr:colOff>923925</xdr:colOff>
          <xdr:row>12</xdr:row>
          <xdr:rowOff>219075</xdr:rowOff>
        </xdr:to>
        <xdr:sp macro="" textlink="">
          <xdr:nvSpPr>
            <xdr:cNvPr id="198750" name="Check Box 94" hidden="1">
              <a:extLst>
                <a:ext uri="{63B3BB69-23CF-44E3-9099-C40C66FF867C}">
                  <a14:compatExt spid="_x0000_s198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19050</xdr:rowOff>
        </xdr:from>
        <xdr:to>
          <xdr:col>3</xdr:col>
          <xdr:colOff>923925</xdr:colOff>
          <xdr:row>13</xdr:row>
          <xdr:rowOff>219075</xdr:rowOff>
        </xdr:to>
        <xdr:sp macro="" textlink="">
          <xdr:nvSpPr>
            <xdr:cNvPr id="198751" name="Check Box 95" hidden="1">
              <a:extLst>
                <a:ext uri="{63B3BB69-23CF-44E3-9099-C40C66FF867C}">
                  <a14:compatExt spid="_x0000_s198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xdr:twoCellAnchor>
    <xdr:from>
      <xdr:col>9</xdr:col>
      <xdr:colOff>0</xdr:colOff>
      <xdr:row>11</xdr:row>
      <xdr:rowOff>0</xdr:rowOff>
    </xdr:from>
    <xdr:to>
      <xdr:col>10</xdr:col>
      <xdr:colOff>9525</xdr:colOff>
      <xdr:row>11</xdr:row>
      <xdr:rowOff>209550</xdr:rowOff>
    </xdr:to>
    <xdr:sp macro="[0]!MedTekstVerliezenCompenserenPed" textlink="">
      <xdr:nvSpPr>
        <xdr:cNvPr id="102" name="Rectangle 165"/>
        <xdr:cNvSpPr>
          <a:spLocks noChangeArrowheads="1"/>
        </xdr:cNvSpPr>
      </xdr:nvSpPr>
      <xdr:spPr bwMode="auto">
        <a:xfrm>
          <a:off x="10563225" y="4572000"/>
          <a:ext cx="10477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1228725</xdr:colOff>
          <xdr:row>22</xdr:row>
          <xdr:rowOff>219075</xdr:rowOff>
        </xdr:to>
        <xdr:sp macro="" textlink="">
          <xdr:nvSpPr>
            <xdr:cNvPr id="198753" name="Check Box 97" hidden="1">
              <a:extLst>
                <a:ext uri="{63B3BB69-23CF-44E3-9099-C40C66FF867C}">
                  <a14:compatExt spid="_x0000_s198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CFM</a:t>
              </a:r>
            </a:p>
          </xdr:txBody>
        </xdr:sp>
        <xdr:clientData/>
      </xdr:twoCellAnchor>
    </mc:Choice>
    <mc:Fallback/>
  </mc:AlternateContent>
  <xdr:twoCellAnchor>
    <xdr:from>
      <xdr:col>5</xdr:col>
      <xdr:colOff>19049</xdr:colOff>
      <xdr:row>17</xdr:row>
      <xdr:rowOff>9524</xdr:rowOff>
    </xdr:from>
    <xdr:to>
      <xdr:col>8</xdr:col>
      <xdr:colOff>1781175</xdr:colOff>
      <xdr:row>19</xdr:row>
      <xdr:rowOff>209549</xdr:rowOff>
    </xdr:to>
    <xdr:sp macro="[0]!PedAfspr_OverigeText" textlink="">
      <xdr:nvSpPr>
        <xdr:cNvPr id="53" name="Rectangle 165"/>
        <xdr:cNvSpPr>
          <a:spLocks noChangeArrowheads="1"/>
        </xdr:cNvSpPr>
      </xdr:nvSpPr>
      <xdr:spPr bwMode="auto">
        <a:xfrm>
          <a:off x="5248274" y="3667124"/>
          <a:ext cx="5429251" cy="6572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1</xdr:col>
          <xdr:colOff>1657350</xdr:colOff>
          <xdr:row>9</xdr:row>
          <xdr:rowOff>219075</xdr:rowOff>
        </xdr:to>
        <xdr:sp macro="" textlink="">
          <xdr:nvSpPr>
            <xdr:cNvPr id="198765" name="Check Box 109" hidden="1">
              <a:extLst>
                <a:ext uri="{63B3BB69-23CF-44E3-9099-C40C66FF867C}">
                  <a14:compatExt spid="_x0000_s198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Schedelomvang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7</xdr:row>
          <xdr:rowOff>28575</xdr:rowOff>
        </xdr:from>
        <xdr:to>
          <xdr:col>2</xdr:col>
          <xdr:colOff>714375</xdr:colOff>
          <xdr:row>7</xdr:row>
          <xdr:rowOff>209550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8</xdr:row>
          <xdr:rowOff>28575</xdr:rowOff>
        </xdr:from>
        <xdr:to>
          <xdr:col>2</xdr:col>
          <xdr:colOff>714375</xdr:colOff>
          <xdr:row>8</xdr:row>
          <xdr:rowOff>209550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9</xdr:row>
          <xdr:rowOff>28575</xdr:rowOff>
        </xdr:from>
        <xdr:to>
          <xdr:col>2</xdr:col>
          <xdr:colOff>714375</xdr:colOff>
          <xdr:row>9</xdr:row>
          <xdr:rowOff>209550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</xdr:rowOff>
        </xdr:from>
        <xdr:to>
          <xdr:col>3</xdr:col>
          <xdr:colOff>923925</xdr:colOff>
          <xdr:row>7</xdr:row>
          <xdr:rowOff>219075</xdr:rowOff>
        </xdr:to>
        <xdr:sp macro="" textlink="">
          <xdr:nvSpPr>
            <xdr:cNvPr id="198773" name="Drop Down 117" hidden="1">
              <a:extLst>
                <a:ext uri="{63B3BB69-23CF-44E3-9099-C40C66FF867C}">
                  <a14:compatExt spid="_x0000_s1987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9525</xdr:rowOff>
        </xdr:from>
        <xdr:to>
          <xdr:col>3</xdr:col>
          <xdr:colOff>923925</xdr:colOff>
          <xdr:row>8</xdr:row>
          <xdr:rowOff>219075</xdr:rowOff>
        </xdr:to>
        <xdr:sp macro="" textlink="">
          <xdr:nvSpPr>
            <xdr:cNvPr id="198774" name="Drop Down 118" hidden="1">
              <a:extLst>
                <a:ext uri="{63B3BB69-23CF-44E3-9099-C40C66FF867C}">
                  <a14:compatExt spid="_x0000_s1987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9525</xdr:rowOff>
        </xdr:from>
        <xdr:to>
          <xdr:col>3</xdr:col>
          <xdr:colOff>923925</xdr:colOff>
          <xdr:row>9</xdr:row>
          <xdr:rowOff>219075</xdr:rowOff>
        </xdr:to>
        <xdr:sp macro="" textlink="">
          <xdr:nvSpPr>
            <xdr:cNvPr id="198775" name="Drop Down 119" hidden="1">
              <a:extLst>
                <a:ext uri="{63B3BB69-23CF-44E3-9099-C40C66FF867C}">
                  <a14:compatExt spid="_x0000_s1987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8</xdr:row>
          <xdr:rowOff>28575</xdr:rowOff>
        </xdr:from>
        <xdr:to>
          <xdr:col>2</xdr:col>
          <xdr:colOff>714375</xdr:colOff>
          <xdr:row>8</xdr:row>
          <xdr:rowOff>209550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9</xdr:row>
          <xdr:rowOff>28575</xdr:rowOff>
        </xdr:from>
        <xdr:to>
          <xdr:col>2</xdr:col>
          <xdr:colOff>714375</xdr:colOff>
          <xdr:row>9</xdr:row>
          <xdr:rowOff>209550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28</xdr:row>
          <xdr:rowOff>9525</xdr:rowOff>
        </xdr:from>
        <xdr:to>
          <xdr:col>4</xdr:col>
          <xdr:colOff>923925</xdr:colOff>
          <xdr:row>28</xdr:row>
          <xdr:rowOff>219075</xdr:rowOff>
        </xdr:to>
        <xdr:sp macro="" textlink="">
          <xdr:nvSpPr>
            <xdr:cNvPr id="198782" name="Drop Down 126" hidden="1">
              <a:extLst>
                <a:ext uri="{63B3BB69-23CF-44E3-9099-C40C66FF867C}">
                  <a14:compatExt spid="_x0000_s1987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29</xdr:row>
          <xdr:rowOff>9525</xdr:rowOff>
        </xdr:from>
        <xdr:to>
          <xdr:col>4</xdr:col>
          <xdr:colOff>923925</xdr:colOff>
          <xdr:row>29</xdr:row>
          <xdr:rowOff>219075</xdr:rowOff>
        </xdr:to>
        <xdr:sp macro="" textlink="">
          <xdr:nvSpPr>
            <xdr:cNvPr id="198783" name="Drop Down 127" hidden="1">
              <a:extLst>
                <a:ext uri="{63B3BB69-23CF-44E3-9099-C40C66FF867C}">
                  <a14:compatExt spid="_x0000_s1987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30</xdr:row>
          <xdr:rowOff>19050</xdr:rowOff>
        </xdr:from>
        <xdr:to>
          <xdr:col>1</xdr:col>
          <xdr:colOff>1228725</xdr:colOff>
          <xdr:row>30</xdr:row>
          <xdr:rowOff>219075</xdr:rowOff>
        </xdr:to>
        <xdr:sp macro="" textlink="">
          <xdr:nvSpPr>
            <xdr:cNvPr id="198784" name="Check Box 128" hidden="1">
              <a:extLst>
                <a:ext uri="{63B3BB69-23CF-44E3-9099-C40C66FF867C}">
                  <a14:compatExt spid="_x0000_s1987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9525</xdr:rowOff>
        </xdr:from>
        <xdr:to>
          <xdr:col>2</xdr:col>
          <xdr:colOff>1028700</xdr:colOff>
          <xdr:row>30</xdr:row>
          <xdr:rowOff>219075</xdr:rowOff>
        </xdr:to>
        <xdr:sp macro="" textlink="">
          <xdr:nvSpPr>
            <xdr:cNvPr id="198785" name="Drop Down 129" hidden="1">
              <a:extLst>
                <a:ext uri="{63B3BB69-23CF-44E3-9099-C40C66FF867C}">
                  <a14:compatExt spid="_x0000_s198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30</xdr:row>
          <xdr:rowOff>9525</xdr:rowOff>
        </xdr:from>
        <xdr:to>
          <xdr:col>3</xdr:col>
          <xdr:colOff>923925</xdr:colOff>
          <xdr:row>30</xdr:row>
          <xdr:rowOff>219075</xdr:rowOff>
        </xdr:to>
        <xdr:sp macro="" textlink="">
          <xdr:nvSpPr>
            <xdr:cNvPr id="198786" name="Drop Down 130" hidden="1">
              <a:extLst>
                <a:ext uri="{63B3BB69-23CF-44E3-9099-C40C66FF867C}">
                  <a14:compatExt spid="_x0000_s1987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30</xdr:row>
          <xdr:rowOff>9525</xdr:rowOff>
        </xdr:from>
        <xdr:to>
          <xdr:col>4</xdr:col>
          <xdr:colOff>923925</xdr:colOff>
          <xdr:row>30</xdr:row>
          <xdr:rowOff>219075</xdr:rowOff>
        </xdr:to>
        <xdr:sp macro="" textlink="">
          <xdr:nvSpPr>
            <xdr:cNvPr id="198787" name="Drop Down 131" hidden="1">
              <a:extLst>
                <a:ext uri="{63B3BB69-23CF-44E3-9099-C40C66FF867C}">
                  <a14:compatExt spid="_x0000_s1987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31</xdr:row>
          <xdr:rowOff>19050</xdr:rowOff>
        </xdr:from>
        <xdr:to>
          <xdr:col>1</xdr:col>
          <xdr:colOff>1228725</xdr:colOff>
          <xdr:row>31</xdr:row>
          <xdr:rowOff>219075</xdr:rowOff>
        </xdr:to>
        <xdr:sp macro="" textlink="">
          <xdr:nvSpPr>
            <xdr:cNvPr id="198797" name="Check Box 141" hidden="1">
              <a:extLst>
                <a:ext uri="{63B3BB69-23CF-44E3-9099-C40C66FF867C}">
                  <a14:compatExt spid="_x0000_s198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1228725</xdr:colOff>
          <xdr:row>33</xdr:row>
          <xdr:rowOff>219075</xdr:rowOff>
        </xdr:to>
        <xdr:sp macro="" textlink="">
          <xdr:nvSpPr>
            <xdr:cNvPr id="198798" name="Check Box 142" hidden="1">
              <a:extLst>
                <a:ext uri="{63B3BB69-23CF-44E3-9099-C40C66FF867C}">
                  <a14:compatExt spid="_x0000_s1987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32</xdr:row>
          <xdr:rowOff>19050</xdr:rowOff>
        </xdr:from>
        <xdr:to>
          <xdr:col>1</xdr:col>
          <xdr:colOff>1228725</xdr:colOff>
          <xdr:row>32</xdr:row>
          <xdr:rowOff>219075</xdr:rowOff>
        </xdr:to>
        <xdr:sp macro="" textlink="">
          <xdr:nvSpPr>
            <xdr:cNvPr id="198799" name="Check Box 143" hidden="1">
              <a:extLst>
                <a:ext uri="{63B3BB69-23CF-44E3-9099-C40C66FF867C}">
                  <a14:compatExt spid="_x0000_s1987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1019175</xdr:colOff>
          <xdr:row>31</xdr:row>
          <xdr:rowOff>219075</xdr:rowOff>
        </xdr:to>
        <xdr:sp macro="" textlink="">
          <xdr:nvSpPr>
            <xdr:cNvPr id="198800" name="Check Box 144" hidden="1">
              <a:extLst>
                <a:ext uri="{63B3BB69-23CF-44E3-9099-C40C66FF867C}">
                  <a14:compatExt spid="_x0000_s198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32</xdr:row>
          <xdr:rowOff>19050</xdr:rowOff>
        </xdr:from>
        <xdr:to>
          <xdr:col>2</xdr:col>
          <xdr:colOff>1019175</xdr:colOff>
          <xdr:row>32</xdr:row>
          <xdr:rowOff>219075</xdr:rowOff>
        </xdr:to>
        <xdr:sp macro="" textlink="">
          <xdr:nvSpPr>
            <xdr:cNvPr id="198801" name="Check Box 145" hidden="1">
              <a:extLst>
                <a:ext uri="{63B3BB69-23CF-44E3-9099-C40C66FF867C}">
                  <a14:compatExt spid="_x0000_s198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33</xdr:row>
          <xdr:rowOff>19050</xdr:rowOff>
        </xdr:from>
        <xdr:to>
          <xdr:col>2</xdr:col>
          <xdr:colOff>1019175</xdr:colOff>
          <xdr:row>33</xdr:row>
          <xdr:rowOff>219075</xdr:rowOff>
        </xdr:to>
        <xdr:sp macro="" textlink="">
          <xdr:nvSpPr>
            <xdr:cNvPr id="198802" name="Check Box 146" hidden="1">
              <a:extLst>
                <a:ext uri="{63B3BB69-23CF-44E3-9099-C40C66FF867C}">
                  <a14:compatExt spid="_x0000_s198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9525</xdr:rowOff>
        </xdr:from>
        <xdr:to>
          <xdr:col>2</xdr:col>
          <xdr:colOff>923925</xdr:colOff>
          <xdr:row>34</xdr:row>
          <xdr:rowOff>219075</xdr:rowOff>
        </xdr:to>
        <xdr:sp macro="" textlink="">
          <xdr:nvSpPr>
            <xdr:cNvPr id="198803" name="Drop Down 147" hidden="1">
              <a:extLst>
                <a:ext uri="{63B3BB69-23CF-44E3-9099-C40C66FF867C}">
                  <a14:compatExt spid="_x0000_s198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34</xdr:row>
          <xdr:rowOff>28575</xdr:rowOff>
        </xdr:from>
        <xdr:to>
          <xdr:col>3</xdr:col>
          <xdr:colOff>714375</xdr:colOff>
          <xdr:row>34</xdr:row>
          <xdr:rowOff>209550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34</xdr:row>
          <xdr:rowOff>19050</xdr:rowOff>
        </xdr:from>
        <xdr:to>
          <xdr:col>1</xdr:col>
          <xdr:colOff>1228725</xdr:colOff>
          <xdr:row>34</xdr:row>
          <xdr:rowOff>219075</xdr:rowOff>
        </xdr:to>
        <xdr:sp macro="" textlink="">
          <xdr:nvSpPr>
            <xdr:cNvPr id="198805" name="Check Box 149" hidden="1">
              <a:extLst>
                <a:ext uri="{63B3BB69-23CF-44E3-9099-C40C66FF867C}">
                  <a14:compatExt spid="_x0000_s198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10</xdr:row>
          <xdr:rowOff>19050</xdr:rowOff>
        </xdr:from>
        <xdr:to>
          <xdr:col>5</xdr:col>
          <xdr:colOff>1381125</xdr:colOff>
          <xdr:row>10</xdr:row>
          <xdr:rowOff>219075</xdr:rowOff>
        </xdr:to>
        <xdr:sp macro="" textlink="">
          <xdr:nvSpPr>
            <xdr:cNvPr id="198807" name="Check Box 151" hidden="1">
              <a:extLst>
                <a:ext uri="{63B3BB69-23CF-44E3-9099-C40C66FF867C}">
                  <a14:compatExt spid="_x0000_s198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11</xdr:row>
          <xdr:rowOff>19050</xdr:rowOff>
        </xdr:from>
        <xdr:to>
          <xdr:col>5</xdr:col>
          <xdr:colOff>1381125</xdr:colOff>
          <xdr:row>11</xdr:row>
          <xdr:rowOff>219075</xdr:rowOff>
        </xdr:to>
        <xdr:sp macro="" textlink="">
          <xdr:nvSpPr>
            <xdr:cNvPr id="198808" name="Check Box 152" hidden="1">
              <a:extLst>
                <a:ext uri="{63B3BB69-23CF-44E3-9099-C40C66FF867C}">
                  <a14:compatExt spid="_x0000_s198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Duodenumsonde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12</xdr:row>
          <xdr:rowOff>19050</xdr:rowOff>
        </xdr:from>
        <xdr:to>
          <xdr:col>5</xdr:col>
          <xdr:colOff>1381125</xdr:colOff>
          <xdr:row>12</xdr:row>
          <xdr:rowOff>219075</xdr:rowOff>
        </xdr:to>
        <xdr:sp macro="" textlink="">
          <xdr:nvSpPr>
            <xdr:cNvPr id="198810" name="Check Box 154" hidden="1">
              <a:extLst>
                <a:ext uri="{63B3BB69-23CF-44E3-9099-C40C66FF867C}">
                  <a14:compatExt spid="_x0000_s198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13</xdr:row>
          <xdr:rowOff>19050</xdr:rowOff>
        </xdr:from>
        <xdr:to>
          <xdr:col>5</xdr:col>
          <xdr:colOff>1381125</xdr:colOff>
          <xdr:row>13</xdr:row>
          <xdr:rowOff>219075</xdr:rowOff>
        </xdr:to>
        <xdr:sp macro="" textlink="">
          <xdr:nvSpPr>
            <xdr:cNvPr id="198813" name="Check Box 157" hidden="1">
              <a:extLst>
                <a:ext uri="{63B3BB69-23CF-44E3-9099-C40C66FF867C}">
                  <a14:compatExt spid="_x0000_s198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Headblocks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14</xdr:row>
          <xdr:rowOff>19050</xdr:rowOff>
        </xdr:from>
        <xdr:to>
          <xdr:col>5</xdr:col>
          <xdr:colOff>1381125</xdr:colOff>
          <xdr:row>14</xdr:row>
          <xdr:rowOff>219075</xdr:rowOff>
        </xdr:to>
        <xdr:sp macro="" textlink="">
          <xdr:nvSpPr>
            <xdr:cNvPr id="198814" name="Check Box 158" hidden="1">
              <a:extLst>
                <a:ext uri="{63B3BB69-23CF-44E3-9099-C40C66FF867C}">
                  <a14:compatExt spid="_x0000_s198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Zachte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15</xdr:row>
          <xdr:rowOff>19050</xdr:rowOff>
        </xdr:from>
        <xdr:to>
          <xdr:col>5</xdr:col>
          <xdr:colOff>1381125</xdr:colOff>
          <xdr:row>15</xdr:row>
          <xdr:rowOff>219075</xdr:rowOff>
        </xdr:to>
        <xdr:sp macro="" textlink="">
          <xdr:nvSpPr>
            <xdr:cNvPr id="198815" name="Check Box 159" hidden="1">
              <a:extLst>
                <a:ext uri="{63B3BB69-23CF-44E3-9099-C40C66FF867C}">
                  <a14:compatExt spid="_x0000_s198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3</xdr:col>
          <xdr:colOff>142875</xdr:colOff>
          <xdr:row>22</xdr:row>
          <xdr:rowOff>219075</xdr:rowOff>
        </xdr:to>
        <xdr:sp macro="" textlink="">
          <xdr:nvSpPr>
            <xdr:cNvPr id="198818" name="Check Box 162" hidden="1">
              <a:extLst>
                <a:ext uri="{63B3BB69-23CF-44E3-9099-C40C66FF867C}">
                  <a14:compatExt spid="_x0000_s198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ICP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3</xdr:col>
          <xdr:colOff>142875</xdr:colOff>
          <xdr:row>23</xdr:row>
          <xdr:rowOff>219075</xdr:rowOff>
        </xdr:to>
        <xdr:sp macro="" textlink="">
          <xdr:nvSpPr>
            <xdr:cNvPr id="198819" name="Check Box 163" hidden="1">
              <a:extLst>
                <a:ext uri="{63B3BB69-23CF-44E3-9099-C40C66FF867C}">
                  <a14:compatExt spid="_x0000_s198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TOSCA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8</xdr:row>
          <xdr:rowOff>28575</xdr:rowOff>
        </xdr:from>
        <xdr:to>
          <xdr:col>2</xdr:col>
          <xdr:colOff>714375</xdr:colOff>
          <xdr:row>8</xdr:row>
          <xdr:rowOff>209550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9</xdr:row>
          <xdr:rowOff>28575</xdr:rowOff>
        </xdr:from>
        <xdr:to>
          <xdr:col>2</xdr:col>
          <xdr:colOff>714375</xdr:colOff>
          <xdr:row>9</xdr:row>
          <xdr:rowOff>209550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8</xdr:row>
          <xdr:rowOff>19050</xdr:rowOff>
        </xdr:from>
        <xdr:to>
          <xdr:col>5</xdr:col>
          <xdr:colOff>1381125</xdr:colOff>
          <xdr:row>8</xdr:row>
          <xdr:rowOff>219075</xdr:rowOff>
        </xdr:to>
        <xdr:sp macro="" textlink="">
          <xdr:nvSpPr>
            <xdr:cNvPr id="198823" name="Check Box 167" hidden="1">
              <a:extLst>
                <a:ext uri="{63B3BB69-23CF-44E3-9099-C40C66FF867C}">
                  <a14:compatExt spid="_x0000_s198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Maagretentie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628650</xdr:colOff>
          <xdr:row>8</xdr:row>
          <xdr:rowOff>28575</xdr:rowOff>
        </xdr:from>
        <xdr:to>
          <xdr:col>6</xdr:col>
          <xdr:colOff>809625</xdr:colOff>
          <xdr:row>8</xdr:row>
          <xdr:rowOff>209550</xdr:rowOff>
        </xdr:to>
        <xdr:sp macro="" textlink="">
          <xdr:nvSpPr>
            <xdr:cNvPr id="198824" name="Spinner 168" hidden="1">
              <a:extLst>
                <a:ext uri="{63B3BB69-23CF-44E3-9099-C40C66FF867C}">
                  <a14:compatExt spid="_x0000_s198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628650</xdr:colOff>
          <xdr:row>9</xdr:row>
          <xdr:rowOff>28575</xdr:rowOff>
        </xdr:from>
        <xdr:to>
          <xdr:col>6</xdr:col>
          <xdr:colOff>809625</xdr:colOff>
          <xdr:row>9</xdr:row>
          <xdr:rowOff>209550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9</xdr:row>
          <xdr:rowOff>19050</xdr:rowOff>
        </xdr:from>
        <xdr:to>
          <xdr:col>5</xdr:col>
          <xdr:colOff>1381125</xdr:colOff>
          <xdr:row>9</xdr:row>
          <xdr:rowOff>219075</xdr:rowOff>
        </xdr:to>
        <xdr:sp macro="" textlink="">
          <xdr:nvSpPr>
            <xdr:cNvPr id="198826" name="Check Box 170" hidden="1">
              <a:extLst>
                <a:ext uri="{63B3BB69-23CF-44E3-9099-C40C66FF867C}">
                  <a14:compatExt spid="_x0000_s198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xdr:twoCellAnchor>
    <xdr:from>
      <xdr:col>7</xdr:col>
      <xdr:colOff>19051</xdr:colOff>
      <xdr:row>9</xdr:row>
      <xdr:rowOff>9524</xdr:rowOff>
    </xdr:from>
    <xdr:to>
      <xdr:col>9</xdr:col>
      <xdr:colOff>19051</xdr:colOff>
      <xdr:row>10</xdr:row>
      <xdr:rowOff>19050</xdr:rowOff>
    </xdr:to>
    <xdr:sp macro="[0]!PedAfspr_CompensateText" textlink="">
      <xdr:nvSpPr>
        <xdr:cNvPr id="75" name="Rectangle 165"/>
        <xdr:cNvSpPr>
          <a:spLocks noChangeArrowheads="1"/>
        </xdr:cNvSpPr>
      </xdr:nvSpPr>
      <xdr:spPr bwMode="auto">
        <a:xfrm>
          <a:off x="8143876" y="1838324"/>
          <a:ext cx="2571750" cy="238126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17</xdr:row>
          <xdr:rowOff>19050</xdr:rowOff>
        </xdr:from>
        <xdr:to>
          <xdr:col>1</xdr:col>
          <xdr:colOff>1657350</xdr:colOff>
          <xdr:row>17</xdr:row>
          <xdr:rowOff>219075</xdr:rowOff>
        </xdr:to>
        <xdr:sp macro="" textlink="">
          <xdr:nvSpPr>
            <xdr:cNvPr id="198827" name="Check Box 171" hidden="1">
              <a:extLst>
                <a:ext uri="{63B3BB69-23CF-44E3-9099-C40C66FF867C}">
                  <a14:compatExt spid="_x0000_s198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1657350</xdr:colOff>
          <xdr:row>18</xdr:row>
          <xdr:rowOff>219075</xdr:rowOff>
        </xdr:to>
        <xdr:sp macro="" textlink="">
          <xdr:nvSpPr>
            <xdr:cNvPr id="198828" name="Check Box 172" hidden="1">
              <a:extLst>
                <a:ext uri="{63B3BB69-23CF-44E3-9099-C40C66FF867C}">
                  <a14:compatExt spid="_x0000_s198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Pupil controles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19</xdr:row>
          <xdr:rowOff>19050</xdr:rowOff>
        </xdr:from>
        <xdr:to>
          <xdr:col>1</xdr:col>
          <xdr:colOff>1657350</xdr:colOff>
          <xdr:row>19</xdr:row>
          <xdr:rowOff>219075</xdr:rowOff>
        </xdr:to>
        <xdr:sp macro="" textlink="">
          <xdr:nvSpPr>
            <xdr:cNvPr id="198829" name="Check Box 173" hidden="1">
              <a:extLst>
                <a:ext uri="{63B3BB69-23CF-44E3-9099-C40C66FF867C}">
                  <a14:compatExt spid="_x0000_s198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Sedatie vlg Comfort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17</xdr:row>
          <xdr:rowOff>28575</xdr:rowOff>
        </xdr:from>
        <xdr:to>
          <xdr:col>2</xdr:col>
          <xdr:colOff>714375</xdr:colOff>
          <xdr:row>17</xdr:row>
          <xdr:rowOff>209550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18</xdr:row>
          <xdr:rowOff>28575</xdr:rowOff>
        </xdr:from>
        <xdr:to>
          <xdr:col>2</xdr:col>
          <xdr:colOff>714375</xdr:colOff>
          <xdr:row>18</xdr:row>
          <xdr:rowOff>209550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91</xdr:row>
      <xdr:rowOff>9525</xdr:rowOff>
    </xdr:from>
    <xdr:to>
      <xdr:col>2</xdr:col>
      <xdr:colOff>666750</xdr:colOff>
      <xdr:row>92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90</xdr:row>
      <xdr:rowOff>104775</xdr:rowOff>
    </xdr:from>
    <xdr:to>
      <xdr:col>10</xdr:col>
      <xdr:colOff>0</xdr:colOff>
      <xdr:row>91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133350</xdr:rowOff>
    </xdr:from>
    <xdr:to>
      <xdr:col>10</xdr:col>
      <xdr:colOff>9525</xdr:colOff>
      <xdr:row>12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76200</xdr:rowOff>
    </xdr:from>
    <xdr:to>
      <xdr:col>9</xdr:col>
      <xdr:colOff>742950</xdr:colOff>
      <xdr:row>45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83</xdr:row>
      <xdr:rowOff>9525</xdr:rowOff>
    </xdr:from>
    <xdr:to>
      <xdr:col>10</xdr:col>
      <xdr:colOff>28575</xdr:colOff>
      <xdr:row>84</xdr:row>
      <xdr:rowOff>19050</xdr:rowOff>
    </xdr:to>
    <xdr:sp macro="[0]!opmAfsprMedIV_1" textlink="">
      <xdr:nvSpPr>
        <xdr:cNvPr id="21628" name="Rectangle 124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9525</xdr:rowOff>
    </xdr:from>
    <xdr:to>
      <xdr:col>9</xdr:col>
      <xdr:colOff>742950</xdr:colOff>
      <xdr:row>21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47</xdr:row>
      <xdr:rowOff>114300</xdr:rowOff>
    </xdr:from>
    <xdr:to>
      <xdr:col>4</xdr:col>
      <xdr:colOff>161925</xdr:colOff>
      <xdr:row>48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36</xdr:row>
      <xdr:rowOff>114300</xdr:rowOff>
    </xdr:from>
    <xdr:to>
      <xdr:col>2</xdr:col>
      <xdr:colOff>676275</xdr:colOff>
      <xdr:row>38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21</xdr:row>
      <xdr:rowOff>142875</xdr:rowOff>
    </xdr:from>
    <xdr:to>
      <xdr:col>2</xdr:col>
      <xdr:colOff>723900</xdr:colOff>
      <xdr:row>22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68</xdr:row>
      <xdr:rowOff>0</xdr:rowOff>
    </xdr:from>
    <xdr:to>
      <xdr:col>2</xdr:col>
      <xdr:colOff>485775</xdr:colOff>
      <xdr:row>68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13</xdr:row>
      <xdr:rowOff>0</xdr:rowOff>
    </xdr:from>
    <xdr:to>
      <xdr:col>2</xdr:col>
      <xdr:colOff>295275</xdr:colOff>
      <xdr:row>13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65</xdr:row>
      <xdr:rowOff>123825</xdr:rowOff>
    </xdr:from>
    <xdr:to>
      <xdr:col>9</xdr:col>
      <xdr:colOff>742950</xdr:colOff>
      <xdr:row>67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123825</xdr:rowOff>
    </xdr:from>
    <xdr:to>
      <xdr:col>10</xdr:col>
      <xdr:colOff>9525</xdr:colOff>
      <xdr:row>12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83</xdr:row>
      <xdr:rowOff>9525</xdr:rowOff>
    </xdr:from>
    <xdr:to>
      <xdr:col>10</xdr:col>
      <xdr:colOff>28575</xdr:colOff>
      <xdr:row>84</xdr:row>
      <xdr:rowOff>19050</xdr:rowOff>
    </xdr:to>
    <xdr:sp macro="[0]!opmAfsprMedIV_1" textlink="">
      <xdr:nvSpPr>
        <xdr:cNvPr id="21644" name="Rectangle 140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190500</xdr:colOff>
          <xdr:row>32</xdr:row>
          <xdr:rowOff>0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190500</xdr:colOff>
          <xdr:row>33</xdr:row>
          <xdr:rowOff>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190500</xdr:colOff>
          <xdr:row>34</xdr:row>
          <xdr:rowOff>0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190500</xdr:colOff>
          <xdr:row>35</xdr:row>
          <xdr:rowOff>0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190500</xdr:colOff>
          <xdr:row>36</xdr:row>
          <xdr:rowOff>0</xdr:rowOff>
        </xdr:to>
        <xdr:sp macro="" textlink="">
          <xdr:nvSpPr>
            <xdr:cNvPr id="22533" name="Drop Dow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190500</xdr:colOff>
          <xdr:row>37</xdr:row>
          <xdr:rowOff>0</xdr:rowOff>
        </xdr:to>
        <xdr:sp macro="" textlink="">
          <xdr:nvSpPr>
            <xdr:cNvPr id="22534" name="Drop Dow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0</xdr:rowOff>
        </xdr:from>
        <xdr:to>
          <xdr:col>2</xdr:col>
          <xdr:colOff>190500</xdr:colOff>
          <xdr:row>38</xdr:row>
          <xdr:rowOff>0</xdr:rowOff>
        </xdr:to>
        <xdr:sp macro="" textlink="">
          <xdr:nvSpPr>
            <xdr:cNvPr id="22535" name="Drop Dow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29</xdr:row>
          <xdr:rowOff>9525</xdr:rowOff>
        </xdr:from>
        <xdr:to>
          <xdr:col>7</xdr:col>
          <xdr:colOff>142875</xdr:colOff>
          <xdr:row>30</xdr:row>
          <xdr:rowOff>0</xdr:rowOff>
        </xdr:to>
        <xdr:sp macro="" textlink="">
          <xdr:nvSpPr>
            <xdr:cNvPr id="22536" name="Spinner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31</xdr:row>
          <xdr:rowOff>9525</xdr:rowOff>
        </xdr:from>
        <xdr:to>
          <xdr:col>7</xdr:col>
          <xdr:colOff>142875</xdr:colOff>
          <xdr:row>32</xdr:row>
          <xdr:rowOff>0</xdr:rowOff>
        </xdr:to>
        <xdr:sp macro="" textlink="">
          <xdr:nvSpPr>
            <xdr:cNvPr id="22537" name="Spinner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32</xdr:row>
          <xdr:rowOff>9525</xdr:rowOff>
        </xdr:from>
        <xdr:to>
          <xdr:col>7</xdr:col>
          <xdr:colOff>142875</xdr:colOff>
          <xdr:row>33</xdr:row>
          <xdr:rowOff>0</xdr:rowOff>
        </xdr:to>
        <xdr:sp macro="" textlink="">
          <xdr:nvSpPr>
            <xdr:cNvPr id="22538" name="Spinner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33</xdr:row>
          <xdr:rowOff>9525</xdr:rowOff>
        </xdr:from>
        <xdr:to>
          <xdr:col>7</xdr:col>
          <xdr:colOff>142875</xdr:colOff>
          <xdr:row>34</xdr:row>
          <xdr:rowOff>0</xdr:rowOff>
        </xdr:to>
        <xdr:sp macro="" textlink="">
          <xdr:nvSpPr>
            <xdr:cNvPr id="22539" name="Spinner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34</xdr:row>
          <xdr:rowOff>9525</xdr:rowOff>
        </xdr:from>
        <xdr:to>
          <xdr:col>7</xdr:col>
          <xdr:colOff>142875</xdr:colOff>
          <xdr:row>35</xdr:row>
          <xdr:rowOff>0</xdr:rowOff>
        </xdr:to>
        <xdr:sp macro="" textlink="">
          <xdr:nvSpPr>
            <xdr:cNvPr id="22540" name="Spinner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35</xdr:row>
          <xdr:rowOff>9525</xdr:rowOff>
        </xdr:from>
        <xdr:to>
          <xdr:col>7</xdr:col>
          <xdr:colOff>142875</xdr:colOff>
          <xdr:row>36</xdr:row>
          <xdr:rowOff>0</xdr:rowOff>
        </xdr:to>
        <xdr:sp macro="" textlink="">
          <xdr:nvSpPr>
            <xdr:cNvPr id="22541" name="Spinner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36</xdr:row>
          <xdr:rowOff>9525</xdr:rowOff>
        </xdr:from>
        <xdr:to>
          <xdr:col>7</xdr:col>
          <xdr:colOff>142875</xdr:colOff>
          <xdr:row>37</xdr:row>
          <xdr:rowOff>0</xdr:rowOff>
        </xdr:to>
        <xdr:sp macro="" textlink="">
          <xdr:nvSpPr>
            <xdr:cNvPr id="22542" name="Spinner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37</xdr:row>
          <xdr:rowOff>9525</xdr:rowOff>
        </xdr:from>
        <xdr:to>
          <xdr:col>7</xdr:col>
          <xdr:colOff>142875</xdr:colOff>
          <xdr:row>38</xdr:row>
          <xdr:rowOff>0</xdr:rowOff>
        </xdr:to>
        <xdr:sp macro="" textlink="">
          <xdr:nvSpPr>
            <xdr:cNvPr id="22543" name="Spinner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20</xdr:row>
          <xdr:rowOff>28575</xdr:rowOff>
        </xdr:from>
        <xdr:to>
          <xdr:col>2</xdr:col>
          <xdr:colOff>390525</xdr:colOff>
          <xdr:row>21</xdr:row>
          <xdr:rowOff>47625</xdr:rowOff>
        </xdr:to>
        <xdr:sp macro="" textlink="">
          <xdr:nvSpPr>
            <xdr:cNvPr id="22544" name="Option Button 16" hidden="1">
              <a:extLst>
                <a:ext uri="{63B3BB69-23CF-44E3-9099-C40C66FF867C}">
                  <a14:compatExt spid="_x0000_s22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21</xdr:row>
          <xdr:rowOff>38100</xdr:rowOff>
        </xdr:from>
        <xdr:to>
          <xdr:col>2</xdr:col>
          <xdr:colOff>390525</xdr:colOff>
          <xdr:row>22</xdr:row>
          <xdr:rowOff>57150</xdr:rowOff>
        </xdr:to>
        <xdr:sp macro="" textlink="">
          <xdr:nvSpPr>
            <xdr:cNvPr id="22545" name="Option Button 17" hidden="1">
              <a:extLst>
                <a:ext uri="{63B3BB69-23CF-44E3-9099-C40C66FF867C}">
                  <a14:compatExt spid="_x0000_s22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20</xdr:row>
          <xdr:rowOff>9525</xdr:rowOff>
        </xdr:from>
        <xdr:to>
          <xdr:col>4</xdr:col>
          <xdr:colOff>809625</xdr:colOff>
          <xdr:row>21</xdr:row>
          <xdr:rowOff>0</xdr:rowOff>
        </xdr:to>
        <xdr:sp macro="" textlink="">
          <xdr:nvSpPr>
            <xdr:cNvPr id="22546" name="Spinner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685800</xdr:colOff>
          <xdr:row>20</xdr:row>
          <xdr:rowOff>9525</xdr:rowOff>
        </xdr:from>
        <xdr:to>
          <xdr:col>6</xdr:col>
          <xdr:colOff>809625</xdr:colOff>
          <xdr:row>21</xdr:row>
          <xdr:rowOff>0</xdr:rowOff>
        </xdr:to>
        <xdr:sp macro="" textlink="">
          <xdr:nvSpPr>
            <xdr:cNvPr id="22547" name="Spinner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714375</xdr:colOff>
          <xdr:row>17</xdr:row>
          <xdr:rowOff>9525</xdr:rowOff>
        </xdr:from>
        <xdr:to>
          <xdr:col>5</xdr:col>
          <xdr:colOff>9525</xdr:colOff>
          <xdr:row>18</xdr:row>
          <xdr:rowOff>0</xdr:rowOff>
        </xdr:to>
        <xdr:sp macro="" textlink="">
          <xdr:nvSpPr>
            <xdr:cNvPr id="22548" name="Spinner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657225</xdr:colOff>
          <xdr:row>49</xdr:row>
          <xdr:rowOff>180975</xdr:rowOff>
        </xdr:from>
        <xdr:to>
          <xdr:col>4</xdr:col>
          <xdr:colOff>647700</xdr:colOff>
          <xdr:row>51</xdr:row>
          <xdr:rowOff>0</xdr:rowOff>
        </xdr:to>
        <xdr:sp macro="" textlink="">
          <xdr:nvSpPr>
            <xdr:cNvPr id="22550" name="Option Button 22" hidden="1">
              <a:extLst>
                <a:ext uri="{63B3BB69-23CF-44E3-9099-C40C66FF867C}">
                  <a14:compatExt spid="_x0000_s22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Dag1 t/m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49</xdr:row>
          <xdr:rowOff>171450</xdr:rowOff>
        </xdr:from>
        <xdr:to>
          <xdr:col>7</xdr:col>
          <xdr:colOff>209550</xdr:colOff>
          <xdr:row>50</xdr:row>
          <xdr:rowOff>190500</xdr:rowOff>
        </xdr:to>
        <xdr:sp macro="" textlink="">
          <xdr:nvSpPr>
            <xdr:cNvPr id="22551" name="Option Button 23" hidden="1">
              <a:extLst>
                <a:ext uri="{63B3BB69-23CF-44E3-9099-C40C66FF867C}">
                  <a14:compatExt spid="_x0000_s22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49</xdr:row>
          <xdr:rowOff>180975</xdr:rowOff>
        </xdr:from>
        <xdr:to>
          <xdr:col>9</xdr:col>
          <xdr:colOff>314325</xdr:colOff>
          <xdr:row>51</xdr:row>
          <xdr:rowOff>0</xdr:rowOff>
        </xdr:to>
        <xdr:sp macro="" textlink="">
          <xdr:nvSpPr>
            <xdr:cNvPr id="22552" name="Option Button 24" hidden="1">
              <a:extLst>
                <a:ext uri="{63B3BB69-23CF-44E3-9099-C40C66FF867C}">
                  <a14:compatExt spid="_x0000_s22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51</xdr:row>
          <xdr:rowOff>0</xdr:rowOff>
        </xdr:from>
        <xdr:to>
          <xdr:col>4</xdr:col>
          <xdr:colOff>809625</xdr:colOff>
          <xdr:row>51</xdr:row>
          <xdr:rowOff>190500</xdr:rowOff>
        </xdr:to>
        <xdr:sp macro="" textlink="">
          <xdr:nvSpPr>
            <xdr:cNvPr id="22553" name="Spinner 25" hidden="1">
              <a:extLst>
                <a:ext uri="{63B3BB69-23CF-44E3-9099-C40C66FF867C}">
                  <a14:compatExt spid="_x0000_s22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52</xdr:row>
          <xdr:rowOff>0</xdr:rowOff>
        </xdr:from>
        <xdr:to>
          <xdr:col>4</xdr:col>
          <xdr:colOff>809625</xdr:colOff>
          <xdr:row>52</xdr:row>
          <xdr:rowOff>190500</xdr:rowOff>
        </xdr:to>
        <xdr:sp macro="" textlink="">
          <xdr:nvSpPr>
            <xdr:cNvPr id="22554" name="Spinner 26" hidden="1">
              <a:extLst>
                <a:ext uri="{63B3BB69-23CF-44E3-9099-C40C66FF867C}">
                  <a14:compatExt spid="_x0000_s22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53</xdr:row>
          <xdr:rowOff>0</xdr:rowOff>
        </xdr:from>
        <xdr:to>
          <xdr:col>4</xdr:col>
          <xdr:colOff>809625</xdr:colOff>
          <xdr:row>53</xdr:row>
          <xdr:rowOff>190500</xdr:rowOff>
        </xdr:to>
        <xdr:sp macro="" textlink="">
          <xdr:nvSpPr>
            <xdr:cNvPr id="22555" name="Spinner 27" hidden="1">
              <a:extLst>
                <a:ext uri="{63B3BB69-23CF-44E3-9099-C40C66FF867C}">
                  <a14:compatExt spid="_x0000_s22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54</xdr:row>
          <xdr:rowOff>0</xdr:rowOff>
        </xdr:from>
        <xdr:to>
          <xdr:col>4</xdr:col>
          <xdr:colOff>809625</xdr:colOff>
          <xdr:row>54</xdr:row>
          <xdr:rowOff>190500</xdr:rowOff>
        </xdr:to>
        <xdr:sp macro="" textlink="">
          <xdr:nvSpPr>
            <xdr:cNvPr id="22556" name="Spinner 28" hidden="1">
              <a:extLst>
                <a:ext uri="{63B3BB69-23CF-44E3-9099-C40C66FF867C}">
                  <a14:compatExt spid="_x0000_s22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55</xdr:row>
          <xdr:rowOff>0</xdr:rowOff>
        </xdr:from>
        <xdr:to>
          <xdr:col>4</xdr:col>
          <xdr:colOff>809625</xdr:colOff>
          <xdr:row>55</xdr:row>
          <xdr:rowOff>190500</xdr:rowOff>
        </xdr:to>
        <xdr:sp macro="" textlink="">
          <xdr:nvSpPr>
            <xdr:cNvPr id="22557" name="Spinner 29" hidden="1">
              <a:extLst>
                <a:ext uri="{63B3BB69-23CF-44E3-9099-C40C66FF867C}">
                  <a14:compatExt spid="_x0000_s22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56</xdr:row>
          <xdr:rowOff>0</xdr:rowOff>
        </xdr:from>
        <xdr:to>
          <xdr:col>4</xdr:col>
          <xdr:colOff>809625</xdr:colOff>
          <xdr:row>56</xdr:row>
          <xdr:rowOff>190500</xdr:rowOff>
        </xdr:to>
        <xdr:sp macro="" textlink="">
          <xdr:nvSpPr>
            <xdr:cNvPr id="22558" name="Spinner 30" hidden="1">
              <a:extLst>
                <a:ext uri="{63B3BB69-23CF-44E3-9099-C40C66FF867C}">
                  <a14:compatExt spid="_x0000_s22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704850</xdr:colOff>
          <xdr:row>57</xdr:row>
          <xdr:rowOff>0</xdr:rowOff>
        </xdr:from>
        <xdr:to>
          <xdr:col>7</xdr:col>
          <xdr:colOff>0</xdr:colOff>
          <xdr:row>57</xdr:row>
          <xdr:rowOff>190500</xdr:rowOff>
        </xdr:to>
        <xdr:sp macro="" textlink="">
          <xdr:nvSpPr>
            <xdr:cNvPr id="22559" name="Spinner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695325</xdr:colOff>
          <xdr:row>51</xdr:row>
          <xdr:rowOff>0</xdr:rowOff>
        </xdr:from>
        <xdr:to>
          <xdr:col>8</xdr:col>
          <xdr:colOff>819150</xdr:colOff>
          <xdr:row>51</xdr:row>
          <xdr:rowOff>190500</xdr:rowOff>
        </xdr:to>
        <xdr:sp macro="" textlink="">
          <xdr:nvSpPr>
            <xdr:cNvPr id="22560" name="Spinner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695325</xdr:colOff>
          <xdr:row>52</xdr:row>
          <xdr:rowOff>0</xdr:rowOff>
        </xdr:from>
        <xdr:to>
          <xdr:col>8</xdr:col>
          <xdr:colOff>819150</xdr:colOff>
          <xdr:row>52</xdr:row>
          <xdr:rowOff>190500</xdr:rowOff>
        </xdr:to>
        <xdr:sp macro="" textlink="">
          <xdr:nvSpPr>
            <xdr:cNvPr id="22561" name="Spinner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695325</xdr:colOff>
          <xdr:row>58</xdr:row>
          <xdr:rowOff>0</xdr:rowOff>
        </xdr:from>
        <xdr:to>
          <xdr:col>8</xdr:col>
          <xdr:colOff>819150</xdr:colOff>
          <xdr:row>58</xdr:row>
          <xdr:rowOff>190500</xdr:rowOff>
        </xdr:to>
        <xdr:sp macro="" textlink="">
          <xdr:nvSpPr>
            <xdr:cNvPr id="22562" name="Spinner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17</xdr:row>
          <xdr:rowOff>180975</xdr:rowOff>
        </xdr:from>
        <xdr:to>
          <xdr:col>2</xdr:col>
          <xdr:colOff>781050</xdr:colOff>
          <xdr:row>19</xdr:row>
          <xdr:rowOff>0</xdr:rowOff>
        </xdr:to>
        <xdr:sp macro="" textlink="">
          <xdr:nvSpPr>
            <xdr:cNvPr id="22563" name="Option Button 35" hidden="1">
              <a:extLst>
                <a:ext uri="{63B3BB69-23CF-44E3-9099-C40C66FF867C}">
                  <a14:compatExt spid="_x0000_s22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552450</xdr:colOff>
          <xdr:row>17</xdr:row>
          <xdr:rowOff>180975</xdr:rowOff>
        </xdr:from>
        <xdr:to>
          <xdr:col>3</xdr:col>
          <xdr:colOff>333375</xdr:colOff>
          <xdr:row>19</xdr:row>
          <xdr:rowOff>0</xdr:rowOff>
        </xdr:to>
        <xdr:sp macro="" textlink="">
          <xdr:nvSpPr>
            <xdr:cNvPr id="22564" name="Option Button 36" hidden="1">
              <a:extLst>
                <a:ext uri="{63B3BB69-23CF-44E3-9099-C40C66FF867C}">
                  <a14:compatExt spid="_x0000_s22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31</xdr:row>
          <xdr:rowOff>0</xdr:rowOff>
        </xdr:from>
        <xdr:to>
          <xdr:col>5</xdr:col>
          <xdr:colOff>609600</xdr:colOff>
          <xdr:row>32</xdr:row>
          <xdr:rowOff>0</xdr:rowOff>
        </xdr:to>
        <xdr:sp macro="" textlink="">
          <xdr:nvSpPr>
            <xdr:cNvPr id="22565" name="Drop Down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32</xdr:row>
          <xdr:rowOff>0</xdr:rowOff>
        </xdr:from>
        <xdr:to>
          <xdr:col>5</xdr:col>
          <xdr:colOff>609600</xdr:colOff>
          <xdr:row>33</xdr:row>
          <xdr:rowOff>0</xdr:rowOff>
        </xdr:to>
        <xdr:sp macro="" textlink="">
          <xdr:nvSpPr>
            <xdr:cNvPr id="22566" name="Drop Down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33</xdr:row>
          <xdr:rowOff>0</xdr:rowOff>
        </xdr:from>
        <xdr:to>
          <xdr:col>5</xdr:col>
          <xdr:colOff>609600</xdr:colOff>
          <xdr:row>34</xdr:row>
          <xdr:rowOff>0</xdr:rowOff>
        </xdr:to>
        <xdr:sp macro="" textlink="">
          <xdr:nvSpPr>
            <xdr:cNvPr id="22567" name="Drop Down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34</xdr:row>
          <xdr:rowOff>0</xdr:rowOff>
        </xdr:from>
        <xdr:to>
          <xdr:col>5</xdr:col>
          <xdr:colOff>609600</xdr:colOff>
          <xdr:row>35</xdr:row>
          <xdr:rowOff>0</xdr:rowOff>
        </xdr:to>
        <xdr:sp macro="" textlink="">
          <xdr:nvSpPr>
            <xdr:cNvPr id="22568" name="Drop Down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35</xdr:row>
          <xdr:rowOff>0</xdr:rowOff>
        </xdr:from>
        <xdr:to>
          <xdr:col>5</xdr:col>
          <xdr:colOff>609600</xdr:colOff>
          <xdr:row>36</xdr:row>
          <xdr:rowOff>0</xdr:rowOff>
        </xdr:to>
        <xdr:sp macro="" textlink="">
          <xdr:nvSpPr>
            <xdr:cNvPr id="22569" name="Drop Down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36</xdr:row>
          <xdr:rowOff>0</xdr:rowOff>
        </xdr:from>
        <xdr:to>
          <xdr:col>5</xdr:col>
          <xdr:colOff>609600</xdr:colOff>
          <xdr:row>37</xdr:row>
          <xdr:rowOff>0</xdr:rowOff>
        </xdr:to>
        <xdr:sp macro="" textlink="">
          <xdr:nvSpPr>
            <xdr:cNvPr id="22570" name="Drop Down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31</xdr:row>
          <xdr:rowOff>0</xdr:rowOff>
        </xdr:from>
        <xdr:to>
          <xdr:col>4</xdr:col>
          <xdr:colOff>276225</xdr:colOff>
          <xdr:row>31</xdr:row>
          <xdr:rowOff>190500</xdr:rowOff>
        </xdr:to>
        <xdr:sp macro="" textlink="">
          <xdr:nvSpPr>
            <xdr:cNvPr id="22571" name="Spinner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32</xdr:row>
          <xdr:rowOff>0</xdr:rowOff>
        </xdr:from>
        <xdr:to>
          <xdr:col>4</xdr:col>
          <xdr:colOff>276225</xdr:colOff>
          <xdr:row>32</xdr:row>
          <xdr:rowOff>190500</xdr:rowOff>
        </xdr:to>
        <xdr:sp macro="" textlink="">
          <xdr:nvSpPr>
            <xdr:cNvPr id="22572" name="Spinner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33</xdr:row>
          <xdr:rowOff>0</xdr:rowOff>
        </xdr:from>
        <xdr:to>
          <xdr:col>4</xdr:col>
          <xdr:colOff>276225</xdr:colOff>
          <xdr:row>33</xdr:row>
          <xdr:rowOff>190500</xdr:rowOff>
        </xdr:to>
        <xdr:sp macro="" textlink="">
          <xdr:nvSpPr>
            <xdr:cNvPr id="22573" name="Spinner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34</xdr:row>
          <xdr:rowOff>0</xdr:rowOff>
        </xdr:from>
        <xdr:to>
          <xdr:col>4</xdr:col>
          <xdr:colOff>276225</xdr:colOff>
          <xdr:row>34</xdr:row>
          <xdr:rowOff>190500</xdr:rowOff>
        </xdr:to>
        <xdr:sp macro="" textlink="">
          <xdr:nvSpPr>
            <xdr:cNvPr id="22574" name="Spinner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35</xdr:row>
          <xdr:rowOff>0</xdr:rowOff>
        </xdr:from>
        <xdr:to>
          <xdr:col>4</xdr:col>
          <xdr:colOff>276225</xdr:colOff>
          <xdr:row>35</xdr:row>
          <xdr:rowOff>190500</xdr:rowOff>
        </xdr:to>
        <xdr:sp macro="" textlink="">
          <xdr:nvSpPr>
            <xdr:cNvPr id="22575" name="Spinner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36</xdr:row>
          <xdr:rowOff>0</xdr:rowOff>
        </xdr:from>
        <xdr:to>
          <xdr:col>4</xdr:col>
          <xdr:colOff>276225</xdr:colOff>
          <xdr:row>36</xdr:row>
          <xdr:rowOff>190500</xdr:rowOff>
        </xdr:to>
        <xdr:sp macro="" textlink="">
          <xdr:nvSpPr>
            <xdr:cNvPr id="22576" name="Spinner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37</xdr:row>
          <xdr:rowOff>0</xdr:rowOff>
        </xdr:from>
        <xdr:to>
          <xdr:col>4</xdr:col>
          <xdr:colOff>276225</xdr:colOff>
          <xdr:row>37</xdr:row>
          <xdr:rowOff>190500</xdr:rowOff>
        </xdr:to>
        <xdr:sp macro="" textlink="">
          <xdr:nvSpPr>
            <xdr:cNvPr id="22577" name="Spinner 49" hidden="1">
              <a:extLst>
                <a:ext uri="{63B3BB69-23CF-44E3-9099-C40C66FF867C}">
                  <a14:compatExt spid="_x0000_s22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30</xdr:row>
          <xdr:rowOff>85725</xdr:rowOff>
        </xdr:from>
        <xdr:to>
          <xdr:col>3</xdr:col>
          <xdr:colOff>133350</xdr:colOff>
          <xdr:row>31</xdr:row>
          <xdr:rowOff>180975</xdr:rowOff>
        </xdr:to>
        <xdr:sp macro="" textlink="">
          <xdr:nvSpPr>
            <xdr:cNvPr id="22578" name="Spinner 50" hidden="1">
              <a:extLst>
                <a:ext uri="{63B3BB69-23CF-44E3-9099-C40C66FF867C}">
                  <a14:compatExt spid="_x0000_s22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31</xdr:row>
          <xdr:rowOff>190500</xdr:rowOff>
        </xdr:from>
        <xdr:to>
          <xdr:col>3</xdr:col>
          <xdr:colOff>133350</xdr:colOff>
          <xdr:row>32</xdr:row>
          <xdr:rowOff>180975</xdr:rowOff>
        </xdr:to>
        <xdr:sp macro="" textlink="">
          <xdr:nvSpPr>
            <xdr:cNvPr id="22579" name="Spinner 51" hidden="1">
              <a:extLst>
                <a:ext uri="{63B3BB69-23CF-44E3-9099-C40C66FF867C}">
                  <a14:compatExt spid="_x0000_s22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32</xdr:row>
          <xdr:rowOff>190500</xdr:rowOff>
        </xdr:from>
        <xdr:to>
          <xdr:col>3</xdr:col>
          <xdr:colOff>133350</xdr:colOff>
          <xdr:row>33</xdr:row>
          <xdr:rowOff>180975</xdr:rowOff>
        </xdr:to>
        <xdr:sp macro="" textlink="">
          <xdr:nvSpPr>
            <xdr:cNvPr id="22580" name="Spinner 52" hidden="1">
              <a:extLst>
                <a:ext uri="{63B3BB69-23CF-44E3-9099-C40C66FF867C}">
                  <a14:compatExt spid="_x0000_s22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33</xdr:row>
          <xdr:rowOff>190500</xdr:rowOff>
        </xdr:from>
        <xdr:to>
          <xdr:col>3</xdr:col>
          <xdr:colOff>133350</xdr:colOff>
          <xdr:row>34</xdr:row>
          <xdr:rowOff>180975</xdr:rowOff>
        </xdr:to>
        <xdr:sp macro="" textlink="">
          <xdr:nvSpPr>
            <xdr:cNvPr id="22581" name="Spinner 53" hidden="1">
              <a:extLst>
                <a:ext uri="{63B3BB69-23CF-44E3-9099-C40C66FF867C}">
                  <a14:compatExt spid="_x0000_s22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34</xdr:row>
          <xdr:rowOff>190500</xdr:rowOff>
        </xdr:from>
        <xdr:to>
          <xdr:col>3</xdr:col>
          <xdr:colOff>133350</xdr:colOff>
          <xdr:row>35</xdr:row>
          <xdr:rowOff>180975</xdr:rowOff>
        </xdr:to>
        <xdr:sp macro="" textlink="">
          <xdr:nvSpPr>
            <xdr:cNvPr id="22582" name="Spinner 54" hidden="1">
              <a:extLst>
                <a:ext uri="{63B3BB69-23CF-44E3-9099-C40C66FF867C}">
                  <a14:compatExt spid="_x0000_s225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35</xdr:row>
          <xdr:rowOff>190500</xdr:rowOff>
        </xdr:from>
        <xdr:to>
          <xdr:col>3</xdr:col>
          <xdr:colOff>133350</xdr:colOff>
          <xdr:row>36</xdr:row>
          <xdr:rowOff>180975</xdr:rowOff>
        </xdr:to>
        <xdr:sp macro="" textlink="">
          <xdr:nvSpPr>
            <xdr:cNvPr id="22583" name="Spinner 55" hidden="1">
              <a:extLst>
                <a:ext uri="{63B3BB69-23CF-44E3-9099-C40C66FF867C}">
                  <a14:compatExt spid="_x0000_s22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36</xdr:row>
          <xdr:rowOff>190500</xdr:rowOff>
        </xdr:from>
        <xdr:to>
          <xdr:col>3</xdr:col>
          <xdr:colOff>133350</xdr:colOff>
          <xdr:row>37</xdr:row>
          <xdr:rowOff>180975</xdr:rowOff>
        </xdr:to>
        <xdr:sp macro="" textlink="">
          <xdr:nvSpPr>
            <xdr:cNvPr id="22584" name="Spinner 56" hidden="1">
              <a:extLst>
                <a:ext uri="{63B3BB69-23CF-44E3-9099-C40C66FF867C}">
                  <a14:compatExt spid="_x0000_s22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19</xdr:row>
          <xdr:rowOff>152400</xdr:rowOff>
        </xdr:from>
        <xdr:to>
          <xdr:col>2</xdr:col>
          <xdr:colOff>723900</xdr:colOff>
          <xdr:row>22</xdr:row>
          <xdr:rowOff>114300</xdr:rowOff>
        </xdr:to>
        <xdr:sp macro="" textlink="">
          <xdr:nvSpPr>
            <xdr:cNvPr id="22585" name="Group Box 57" hidden="1">
              <a:extLst>
                <a:ext uri="{63B3BB69-23CF-44E3-9099-C40C66FF867C}">
                  <a14:compatExt spid="_x0000_s22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Voeding per os extra?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49</xdr:row>
          <xdr:rowOff>76200</xdr:rowOff>
        </xdr:from>
        <xdr:to>
          <xdr:col>9</xdr:col>
          <xdr:colOff>447675</xdr:colOff>
          <xdr:row>51</xdr:row>
          <xdr:rowOff>0</xdr:rowOff>
        </xdr:to>
        <xdr:sp macro="" textlink="">
          <xdr:nvSpPr>
            <xdr:cNvPr id="22586" name="Group Box 58" hidden="1">
              <a:extLst>
                <a:ext uri="{63B3BB69-23CF-44E3-9099-C40C66FF867C}">
                  <a14:compatExt spid="_x0000_s22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29</xdr:row>
          <xdr:rowOff>0</xdr:rowOff>
        </xdr:from>
        <xdr:to>
          <xdr:col>9</xdr:col>
          <xdr:colOff>600075</xdr:colOff>
          <xdr:row>30</xdr:row>
          <xdr:rowOff>19050</xdr:rowOff>
        </xdr:to>
        <xdr:sp macro="" textlink="">
          <xdr:nvSpPr>
            <xdr:cNvPr id="22587" name="Check Box 59" hidden="1">
              <a:extLst>
                <a:ext uri="{63B3BB69-23CF-44E3-9099-C40C66FF867C}">
                  <a14:compatExt spid="_x0000_s22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31</xdr:row>
          <xdr:rowOff>0</xdr:rowOff>
        </xdr:from>
        <xdr:to>
          <xdr:col>9</xdr:col>
          <xdr:colOff>600075</xdr:colOff>
          <xdr:row>32</xdr:row>
          <xdr:rowOff>19050</xdr:rowOff>
        </xdr:to>
        <xdr:sp macro="" textlink="">
          <xdr:nvSpPr>
            <xdr:cNvPr id="22588" name="Check Box 60" hidden="1">
              <a:extLst>
                <a:ext uri="{63B3BB69-23CF-44E3-9099-C40C66FF867C}">
                  <a14:compatExt spid="_x0000_s22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32</xdr:row>
          <xdr:rowOff>0</xdr:rowOff>
        </xdr:from>
        <xdr:to>
          <xdr:col>9</xdr:col>
          <xdr:colOff>600075</xdr:colOff>
          <xdr:row>33</xdr:row>
          <xdr:rowOff>19050</xdr:rowOff>
        </xdr:to>
        <xdr:sp macro="" textlink="">
          <xdr:nvSpPr>
            <xdr:cNvPr id="22589" name="Check Box 61" hidden="1">
              <a:extLst>
                <a:ext uri="{63B3BB69-23CF-44E3-9099-C40C66FF867C}">
                  <a14:compatExt spid="_x0000_s22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33</xdr:row>
          <xdr:rowOff>0</xdr:rowOff>
        </xdr:from>
        <xdr:to>
          <xdr:col>9</xdr:col>
          <xdr:colOff>600075</xdr:colOff>
          <xdr:row>34</xdr:row>
          <xdr:rowOff>19050</xdr:rowOff>
        </xdr:to>
        <xdr:sp macro="" textlink="">
          <xdr:nvSpPr>
            <xdr:cNvPr id="22590" name="Check Box 62" hidden="1">
              <a:extLst>
                <a:ext uri="{63B3BB69-23CF-44E3-9099-C40C66FF867C}">
                  <a14:compatExt spid="_x0000_s22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34</xdr:row>
          <xdr:rowOff>0</xdr:rowOff>
        </xdr:from>
        <xdr:to>
          <xdr:col>9</xdr:col>
          <xdr:colOff>600075</xdr:colOff>
          <xdr:row>35</xdr:row>
          <xdr:rowOff>19050</xdr:rowOff>
        </xdr:to>
        <xdr:sp macro="" textlink="">
          <xdr:nvSpPr>
            <xdr:cNvPr id="22591" name="Check Box 63" hidden="1">
              <a:extLst>
                <a:ext uri="{63B3BB69-23CF-44E3-9099-C40C66FF867C}">
                  <a14:compatExt spid="_x0000_s22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35</xdr:row>
          <xdr:rowOff>0</xdr:rowOff>
        </xdr:from>
        <xdr:to>
          <xdr:col>9</xdr:col>
          <xdr:colOff>600075</xdr:colOff>
          <xdr:row>36</xdr:row>
          <xdr:rowOff>19050</xdr:rowOff>
        </xdr:to>
        <xdr:sp macro="" textlink="">
          <xdr:nvSpPr>
            <xdr:cNvPr id="22592" name="Check Box 64" hidden="1">
              <a:extLst>
                <a:ext uri="{63B3BB69-23CF-44E3-9099-C40C66FF867C}">
                  <a14:compatExt spid="_x0000_s22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36</xdr:row>
          <xdr:rowOff>0</xdr:rowOff>
        </xdr:from>
        <xdr:to>
          <xdr:col>9</xdr:col>
          <xdr:colOff>600075</xdr:colOff>
          <xdr:row>37</xdr:row>
          <xdr:rowOff>19050</xdr:rowOff>
        </xdr:to>
        <xdr:sp macro="" textlink="">
          <xdr:nvSpPr>
            <xdr:cNvPr id="22593" name="Check Box 65" hidden="1">
              <a:extLst>
                <a:ext uri="{63B3BB69-23CF-44E3-9099-C40C66FF867C}">
                  <a14:compatExt spid="_x0000_s22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37</xdr:row>
          <xdr:rowOff>0</xdr:rowOff>
        </xdr:from>
        <xdr:to>
          <xdr:col>9</xdr:col>
          <xdr:colOff>600075</xdr:colOff>
          <xdr:row>38</xdr:row>
          <xdr:rowOff>19050</xdr:rowOff>
        </xdr:to>
        <xdr:sp macro="" textlink="">
          <xdr:nvSpPr>
            <xdr:cNvPr id="22594" name="Check Box 66" hidden="1">
              <a:extLst>
                <a:ext uri="{63B3BB69-23CF-44E3-9099-C40C66FF867C}">
                  <a14:compatExt spid="_x0000_s22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190500</xdr:colOff>
          <xdr:row>39</xdr:row>
          <xdr:rowOff>0</xdr:rowOff>
        </xdr:to>
        <xdr:sp macro="" textlink="">
          <xdr:nvSpPr>
            <xdr:cNvPr id="22595" name="Drop Down 67" hidden="1">
              <a:extLst>
                <a:ext uri="{63B3BB69-23CF-44E3-9099-C40C66FF867C}">
                  <a14:compatExt spid="_x0000_s22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38</xdr:row>
          <xdr:rowOff>9525</xdr:rowOff>
        </xdr:from>
        <xdr:to>
          <xdr:col>7</xdr:col>
          <xdr:colOff>142875</xdr:colOff>
          <xdr:row>39</xdr:row>
          <xdr:rowOff>0</xdr:rowOff>
        </xdr:to>
        <xdr:sp macro="" textlink="">
          <xdr:nvSpPr>
            <xdr:cNvPr id="22596" name="Spinner 68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37</xdr:row>
          <xdr:rowOff>0</xdr:rowOff>
        </xdr:from>
        <xdr:to>
          <xdr:col>5</xdr:col>
          <xdr:colOff>609600</xdr:colOff>
          <xdr:row>38</xdr:row>
          <xdr:rowOff>0</xdr:rowOff>
        </xdr:to>
        <xdr:sp macro="" textlink="">
          <xdr:nvSpPr>
            <xdr:cNvPr id="22597" name="Drop Down 69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38</xdr:row>
          <xdr:rowOff>0</xdr:rowOff>
        </xdr:from>
        <xdr:to>
          <xdr:col>4</xdr:col>
          <xdr:colOff>276225</xdr:colOff>
          <xdr:row>38</xdr:row>
          <xdr:rowOff>190500</xdr:rowOff>
        </xdr:to>
        <xdr:sp macro="" textlink="">
          <xdr:nvSpPr>
            <xdr:cNvPr id="22598" name="Spinner 70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37</xdr:row>
          <xdr:rowOff>190500</xdr:rowOff>
        </xdr:from>
        <xdr:to>
          <xdr:col>3</xdr:col>
          <xdr:colOff>133350</xdr:colOff>
          <xdr:row>38</xdr:row>
          <xdr:rowOff>180975</xdr:rowOff>
        </xdr:to>
        <xdr:sp macro="" textlink="">
          <xdr:nvSpPr>
            <xdr:cNvPr id="22599" name="Spinner 71" hidden="1">
              <a:extLst>
                <a:ext uri="{63B3BB69-23CF-44E3-9099-C40C66FF867C}">
                  <a14:compatExt spid="_x0000_s22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37</xdr:row>
          <xdr:rowOff>0</xdr:rowOff>
        </xdr:from>
        <xdr:to>
          <xdr:col>9</xdr:col>
          <xdr:colOff>600075</xdr:colOff>
          <xdr:row>38</xdr:row>
          <xdr:rowOff>19050</xdr:rowOff>
        </xdr:to>
        <xdr:sp macro="" textlink="">
          <xdr:nvSpPr>
            <xdr:cNvPr id="22600" name="Check Box 72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38</xdr:row>
          <xdr:rowOff>0</xdr:rowOff>
        </xdr:from>
        <xdr:to>
          <xdr:col>9</xdr:col>
          <xdr:colOff>600075</xdr:colOff>
          <xdr:row>39</xdr:row>
          <xdr:rowOff>19050</xdr:rowOff>
        </xdr:to>
        <xdr:sp macro="" textlink="">
          <xdr:nvSpPr>
            <xdr:cNvPr id="22601" name="Check Box 73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39</xdr:row>
          <xdr:rowOff>9525</xdr:rowOff>
        </xdr:from>
        <xdr:to>
          <xdr:col>7</xdr:col>
          <xdr:colOff>142875</xdr:colOff>
          <xdr:row>40</xdr:row>
          <xdr:rowOff>0</xdr:rowOff>
        </xdr:to>
        <xdr:sp macro="" textlink="">
          <xdr:nvSpPr>
            <xdr:cNvPr id="22602" name="Spinner 74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38</xdr:row>
          <xdr:rowOff>0</xdr:rowOff>
        </xdr:from>
        <xdr:to>
          <xdr:col>5</xdr:col>
          <xdr:colOff>609600</xdr:colOff>
          <xdr:row>39</xdr:row>
          <xdr:rowOff>0</xdr:rowOff>
        </xdr:to>
        <xdr:sp macro="" textlink="">
          <xdr:nvSpPr>
            <xdr:cNvPr id="22603" name="Drop Down 75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39</xdr:row>
          <xdr:rowOff>0</xdr:rowOff>
        </xdr:from>
        <xdr:to>
          <xdr:col>5</xdr:col>
          <xdr:colOff>609600</xdr:colOff>
          <xdr:row>40</xdr:row>
          <xdr:rowOff>0</xdr:rowOff>
        </xdr:to>
        <xdr:sp macro="" textlink="">
          <xdr:nvSpPr>
            <xdr:cNvPr id="22604" name="Drop Down 76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38</xdr:row>
          <xdr:rowOff>0</xdr:rowOff>
        </xdr:from>
        <xdr:to>
          <xdr:col>9</xdr:col>
          <xdr:colOff>600075</xdr:colOff>
          <xdr:row>39</xdr:row>
          <xdr:rowOff>19050</xdr:rowOff>
        </xdr:to>
        <xdr:sp macro="" textlink="">
          <xdr:nvSpPr>
            <xdr:cNvPr id="22605" name="Check Box 77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39</xdr:row>
          <xdr:rowOff>0</xdr:rowOff>
        </xdr:from>
        <xdr:to>
          <xdr:col>9</xdr:col>
          <xdr:colOff>600075</xdr:colOff>
          <xdr:row>40</xdr:row>
          <xdr:rowOff>19050</xdr:rowOff>
        </xdr:to>
        <xdr:sp macro="" textlink="">
          <xdr:nvSpPr>
            <xdr:cNvPr id="22606" name="Check Box 78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695325</xdr:colOff>
          <xdr:row>47</xdr:row>
          <xdr:rowOff>0</xdr:rowOff>
        </xdr:from>
        <xdr:to>
          <xdr:col>4</xdr:col>
          <xdr:colOff>819150</xdr:colOff>
          <xdr:row>47</xdr:row>
          <xdr:rowOff>190500</xdr:rowOff>
        </xdr:to>
        <xdr:sp macro="" textlink="">
          <xdr:nvSpPr>
            <xdr:cNvPr id="22607" name="Spinner 79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59</xdr:row>
          <xdr:rowOff>38100</xdr:rowOff>
        </xdr:from>
        <xdr:to>
          <xdr:col>2</xdr:col>
          <xdr:colOff>190500</xdr:colOff>
          <xdr:row>59</xdr:row>
          <xdr:rowOff>238125</xdr:rowOff>
        </xdr:to>
        <xdr:sp macro="" textlink="">
          <xdr:nvSpPr>
            <xdr:cNvPr id="22608" name="Drop Down 80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685800</xdr:colOff>
          <xdr:row>12</xdr:row>
          <xdr:rowOff>9525</xdr:rowOff>
        </xdr:from>
        <xdr:to>
          <xdr:col>7</xdr:col>
          <xdr:colOff>809625</xdr:colOff>
          <xdr:row>13</xdr:row>
          <xdr:rowOff>0</xdr:rowOff>
        </xdr:to>
        <xdr:sp macro="" textlink="">
          <xdr:nvSpPr>
            <xdr:cNvPr id="22609" name="Spinner 81" hidden="1">
              <a:extLst>
                <a:ext uri="{63B3BB69-23CF-44E3-9099-C40C66FF867C}">
                  <a14:compatExt spid="_x0000_s22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12</xdr:row>
          <xdr:rowOff>9525</xdr:rowOff>
        </xdr:from>
        <xdr:to>
          <xdr:col>9</xdr:col>
          <xdr:colOff>809625</xdr:colOff>
          <xdr:row>13</xdr:row>
          <xdr:rowOff>0</xdr:rowOff>
        </xdr:to>
        <xdr:sp macro="" textlink="">
          <xdr:nvSpPr>
            <xdr:cNvPr id="22610" name="Spinner 82" hidden="1">
              <a:extLst>
                <a:ext uri="{63B3BB69-23CF-44E3-9099-C40C66FF867C}">
                  <a14:compatExt spid="_x0000_s226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23</xdr:row>
          <xdr:rowOff>180975</xdr:rowOff>
        </xdr:from>
        <xdr:to>
          <xdr:col>9</xdr:col>
          <xdr:colOff>590550</xdr:colOff>
          <xdr:row>24</xdr:row>
          <xdr:rowOff>180975</xdr:rowOff>
        </xdr:to>
        <xdr:sp macro="" textlink="">
          <xdr:nvSpPr>
            <xdr:cNvPr id="22612" name="Drop Down 84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25</xdr:row>
          <xdr:rowOff>9525</xdr:rowOff>
        </xdr:from>
        <xdr:to>
          <xdr:col>9</xdr:col>
          <xdr:colOff>600075</xdr:colOff>
          <xdr:row>26</xdr:row>
          <xdr:rowOff>9525</xdr:rowOff>
        </xdr:to>
        <xdr:sp macro="" textlink="">
          <xdr:nvSpPr>
            <xdr:cNvPr id="22613" name="Drop Down 85" hidden="1">
              <a:extLst>
                <a:ext uri="{63B3BB69-23CF-44E3-9099-C40C66FF867C}">
                  <a14:compatExt spid="_x0000_s22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20</xdr:row>
          <xdr:rowOff>9525</xdr:rowOff>
        </xdr:from>
        <xdr:to>
          <xdr:col>10</xdr:col>
          <xdr:colOff>685800</xdr:colOff>
          <xdr:row>21</xdr:row>
          <xdr:rowOff>9525</xdr:rowOff>
        </xdr:to>
        <xdr:sp macro="" textlink="">
          <xdr:nvSpPr>
            <xdr:cNvPr id="22614" name="Pos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209550</xdr:colOff>
      <xdr:row>31</xdr:row>
      <xdr:rowOff>9525</xdr:rowOff>
    </xdr:from>
    <xdr:to>
      <xdr:col>2</xdr:col>
      <xdr:colOff>819150</xdr:colOff>
      <xdr:row>31</xdr:row>
      <xdr:rowOff>190500</xdr:rowOff>
    </xdr:to>
    <xdr:sp macro="[0]!Med1Sterkte" textlink="">
      <xdr:nvSpPr>
        <xdr:cNvPr id="91" name="Rectangle 142"/>
        <xdr:cNvSpPr>
          <a:spLocks noChangeArrowheads="1"/>
        </xdr:cNvSpPr>
      </xdr:nvSpPr>
      <xdr:spPr bwMode="auto">
        <a:xfrm>
          <a:off x="1285875" y="57340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92" name="Rectangle 143"/>
        <xdr:cNvSpPr>
          <a:spLocks noChangeArrowheads="1"/>
        </xdr:cNvSpPr>
      </xdr:nvSpPr>
      <xdr:spPr bwMode="auto">
        <a:xfrm>
          <a:off x="5934075" y="18288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819150</xdr:colOff>
      <xdr:row>14</xdr:row>
      <xdr:rowOff>190500</xdr:rowOff>
    </xdr:from>
    <xdr:to>
      <xdr:col>7</xdr:col>
      <xdr:colOff>790575</xdr:colOff>
      <xdr:row>16</xdr:row>
      <xdr:rowOff>0</xdr:rowOff>
    </xdr:to>
    <xdr:sp macro="" textlink="">
      <xdr:nvSpPr>
        <xdr:cNvPr id="93" name="Rectangle 144"/>
        <xdr:cNvSpPr>
          <a:spLocks noChangeArrowheads="1"/>
        </xdr:cNvSpPr>
      </xdr:nvSpPr>
      <xdr:spPr bwMode="auto">
        <a:xfrm>
          <a:off x="5095875" y="2819400"/>
          <a:ext cx="8001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32</xdr:row>
      <xdr:rowOff>9525</xdr:rowOff>
    </xdr:from>
    <xdr:to>
      <xdr:col>2</xdr:col>
      <xdr:colOff>819150</xdr:colOff>
      <xdr:row>32</xdr:row>
      <xdr:rowOff>190500</xdr:rowOff>
    </xdr:to>
    <xdr:sp macro="[0]!Med2Sterkte" textlink="">
      <xdr:nvSpPr>
        <xdr:cNvPr id="94" name="Rectangle 145"/>
        <xdr:cNvSpPr>
          <a:spLocks noChangeArrowheads="1"/>
        </xdr:cNvSpPr>
      </xdr:nvSpPr>
      <xdr:spPr bwMode="auto">
        <a:xfrm>
          <a:off x="1285875" y="59340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33</xdr:row>
      <xdr:rowOff>9525</xdr:rowOff>
    </xdr:from>
    <xdr:to>
      <xdr:col>2</xdr:col>
      <xdr:colOff>819150</xdr:colOff>
      <xdr:row>33</xdr:row>
      <xdr:rowOff>190500</xdr:rowOff>
    </xdr:to>
    <xdr:sp macro="[0]!Med3Sterkte" textlink="">
      <xdr:nvSpPr>
        <xdr:cNvPr id="95" name="Rectangle 146"/>
        <xdr:cNvSpPr>
          <a:spLocks noChangeArrowheads="1"/>
        </xdr:cNvSpPr>
      </xdr:nvSpPr>
      <xdr:spPr bwMode="auto">
        <a:xfrm>
          <a:off x="1285875" y="61341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34</xdr:row>
      <xdr:rowOff>9525</xdr:rowOff>
    </xdr:from>
    <xdr:to>
      <xdr:col>2</xdr:col>
      <xdr:colOff>819150</xdr:colOff>
      <xdr:row>34</xdr:row>
      <xdr:rowOff>190500</xdr:rowOff>
    </xdr:to>
    <xdr:sp macro="[0]!Med4Sterkte" textlink="">
      <xdr:nvSpPr>
        <xdr:cNvPr id="96" name="Rectangle 147"/>
        <xdr:cNvSpPr>
          <a:spLocks noChangeArrowheads="1"/>
        </xdr:cNvSpPr>
      </xdr:nvSpPr>
      <xdr:spPr bwMode="auto">
        <a:xfrm>
          <a:off x="1285875" y="63341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35</xdr:row>
      <xdr:rowOff>9525</xdr:rowOff>
    </xdr:from>
    <xdr:to>
      <xdr:col>2</xdr:col>
      <xdr:colOff>819150</xdr:colOff>
      <xdr:row>35</xdr:row>
      <xdr:rowOff>190500</xdr:rowOff>
    </xdr:to>
    <xdr:sp macro="[0]!Med5Sterkte" textlink="">
      <xdr:nvSpPr>
        <xdr:cNvPr id="97" name="Rectangle 148"/>
        <xdr:cNvSpPr>
          <a:spLocks noChangeArrowheads="1"/>
        </xdr:cNvSpPr>
      </xdr:nvSpPr>
      <xdr:spPr bwMode="auto">
        <a:xfrm>
          <a:off x="1285875" y="65341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36</xdr:row>
      <xdr:rowOff>9525</xdr:rowOff>
    </xdr:from>
    <xdr:to>
      <xdr:col>2</xdr:col>
      <xdr:colOff>819150</xdr:colOff>
      <xdr:row>36</xdr:row>
      <xdr:rowOff>190500</xdr:rowOff>
    </xdr:to>
    <xdr:sp macro="[0]!Med6Sterkte" textlink="">
      <xdr:nvSpPr>
        <xdr:cNvPr id="98" name="Rectangle 149"/>
        <xdr:cNvSpPr>
          <a:spLocks noChangeArrowheads="1"/>
        </xdr:cNvSpPr>
      </xdr:nvSpPr>
      <xdr:spPr bwMode="auto">
        <a:xfrm>
          <a:off x="1285875" y="67341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37</xdr:row>
      <xdr:rowOff>9525</xdr:rowOff>
    </xdr:from>
    <xdr:to>
      <xdr:col>2</xdr:col>
      <xdr:colOff>819150</xdr:colOff>
      <xdr:row>37</xdr:row>
      <xdr:rowOff>190500</xdr:rowOff>
    </xdr:to>
    <xdr:sp macro="[0]!Med7Sterkte" textlink="">
      <xdr:nvSpPr>
        <xdr:cNvPr id="99" name="Rectangle 150"/>
        <xdr:cNvSpPr>
          <a:spLocks noChangeArrowheads="1"/>
        </xdr:cNvSpPr>
      </xdr:nvSpPr>
      <xdr:spPr bwMode="auto">
        <a:xfrm>
          <a:off x="1285875" y="69342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38</xdr:row>
      <xdr:rowOff>9525</xdr:rowOff>
    </xdr:from>
    <xdr:to>
      <xdr:col>2</xdr:col>
      <xdr:colOff>819150</xdr:colOff>
      <xdr:row>38</xdr:row>
      <xdr:rowOff>190500</xdr:rowOff>
    </xdr:to>
    <xdr:sp macro="[0]!Med8Sterkte" textlink="">
      <xdr:nvSpPr>
        <xdr:cNvPr id="100" name="Rectangle 151"/>
        <xdr:cNvSpPr>
          <a:spLocks noChangeArrowheads="1"/>
        </xdr:cNvSpPr>
      </xdr:nvSpPr>
      <xdr:spPr bwMode="auto">
        <a:xfrm>
          <a:off x="1285875" y="71342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21</xdr:row>
          <xdr:rowOff>9525</xdr:rowOff>
        </xdr:from>
        <xdr:to>
          <xdr:col>4</xdr:col>
          <xdr:colOff>809625</xdr:colOff>
          <xdr:row>22</xdr:row>
          <xdr:rowOff>0</xdr:rowOff>
        </xdr:to>
        <xdr:sp macro="" textlink="">
          <xdr:nvSpPr>
            <xdr:cNvPr id="22619" name="Spinner 91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685800</xdr:colOff>
          <xdr:row>21</xdr:row>
          <xdr:rowOff>9525</xdr:rowOff>
        </xdr:from>
        <xdr:to>
          <xdr:col>6</xdr:col>
          <xdr:colOff>809625</xdr:colOff>
          <xdr:row>22</xdr:row>
          <xdr:rowOff>0</xdr:rowOff>
        </xdr:to>
        <xdr:sp macro="" textlink="">
          <xdr:nvSpPr>
            <xdr:cNvPr id="22620" name="Spinner 92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24</xdr:row>
          <xdr:rowOff>180975</xdr:rowOff>
        </xdr:from>
        <xdr:to>
          <xdr:col>9</xdr:col>
          <xdr:colOff>590550</xdr:colOff>
          <xdr:row>25</xdr:row>
          <xdr:rowOff>180975</xdr:rowOff>
        </xdr:to>
        <xdr:sp macro="" textlink="">
          <xdr:nvSpPr>
            <xdr:cNvPr id="22621" name="Drop Down 93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25</xdr:row>
          <xdr:rowOff>180975</xdr:rowOff>
        </xdr:from>
        <xdr:to>
          <xdr:col>9</xdr:col>
          <xdr:colOff>590550</xdr:colOff>
          <xdr:row>26</xdr:row>
          <xdr:rowOff>180975</xdr:rowOff>
        </xdr:to>
        <xdr:sp macro="" textlink="">
          <xdr:nvSpPr>
            <xdr:cNvPr id="22622" name="Drop Down 94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0</xdr:colOff>
      <xdr:row>45</xdr:row>
      <xdr:rowOff>9525</xdr:rowOff>
    </xdr:from>
    <xdr:to>
      <xdr:col>8</xdr:col>
      <xdr:colOff>819150</xdr:colOff>
      <xdr:row>45</xdr:row>
      <xdr:rowOff>180975</xdr:rowOff>
    </xdr:to>
    <xdr:sp macro="[0]!Med12Tekst" textlink="">
      <xdr:nvSpPr>
        <xdr:cNvPr id="107" name="Rectangle 164"/>
        <xdr:cNvSpPr>
          <a:spLocks noChangeArrowheads="1"/>
        </xdr:cNvSpPr>
      </xdr:nvSpPr>
      <xdr:spPr bwMode="auto">
        <a:xfrm>
          <a:off x="247650" y="8458200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19050</xdr:rowOff>
    </xdr:from>
    <xdr:to>
      <xdr:col>8</xdr:col>
      <xdr:colOff>809625</xdr:colOff>
      <xdr:row>45</xdr:row>
      <xdr:rowOff>0</xdr:rowOff>
    </xdr:to>
    <xdr:sp macro="[0]!Med11Tekst" textlink="">
      <xdr:nvSpPr>
        <xdr:cNvPr id="108" name="Rectangle 165"/>
        <xdr:cNvSpPr>
          <a:spLocks noChangeArrowheads="1"/>
        </xdr:cNvSpPr>
      </xdr:nvSpPr>
      <xdr:spPr bwMode="auto">
        <a:xfrm>
          <a:off x="257175" y="8267700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4</xdr:col>
      <xdr:colOff>0</xdr:colOff>
      <xdr:row>15</xdr:row>
      <xdr:rowOff>0</xdr:rowOff>
    </xdr:to>
    <xdr:sp macro="" textlink="">
      <xdr:nvSpPr>
        <xdr:cNvPr id="110" name="Rectangle 168"/>
        <xdr:cNvSpPr>
          <a:spLocks noChangeArrowheads="1"/>
        </xdr:cNvSpPr>
      </xdr:nvSpPr>
      <xdr:spPr bwMode="auto">
        <a:xfrm>
          <a:off x="1076325" y="26289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190500</xdr:colOff>
          <xdr:row>40</xdr:row>
          <xdr:rowOff>0</xdr:rowOff>
        </xdr:to>
        <xdr:sp macro="" textlink="">
          <xdr:nvSpPr>
            <xdr:cNvPr id="22625" name="Drop Down 97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39</xdr:row>
          <xdr:rowOff>0</xdr:rowOff>
        </xdr:from>
        <xdr:to>
          <xdr:col>4</xdr:col>
          <xdr:colOff>276225</xdr:colOff>
          <xdr:row>39</xdr:row>
          <xdr:rowOff>190500</xdr:rowOff>
        </xdr:to>
        <xdr:sp macro="" textlink="">
          <xdr:nvSpPr>
            <xdr:cNvPr id="22626" name="Spinner 98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38</xdr:row>
          <xdr:rowOff>190500</xdr:rowOff>
        </xdr:from>
        <xdr:to>
          <xdr:col>3</xdr:col>
          <xdr:colOff>133350</xdr:colOff>
          <xdr:row>39</xdr:row>
          <xdr:rowOff>180975</xdr:rowOff>
        </xdr:to>
        <xdr:sp macro="" textlink="">
          <xdr:nvSpPr>
            <xdr:cNvPr id="22627" name="Spinner 99" hidden="1">
              <a:extLst>
                <a:ext uri="{63B3BB69-23CF-44E3-9099-C40C66FF867C}">
                  <a14:compatExt spid="_x0000_s22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39</xdr:row>
          <xdr:rowOff>0</xdr:rowOff>
        </xdr:from>
        <xdr:to>
          <xdr:col>5</xdr:col>
          <xdr:colOff>609600</xdr:colOff>
          <xdr:row>40</xdr:row>
          <xdr:rowOff>0</xdr:rowOff>
        </xdr:to>
        <xdr:sp macro="" textlink="">
          <xdr:nvSpPr>
            <xdr:cNvPr id="22628" name="Drop Down 100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209550</xdr:colOff>
      <xdr:row>39</xdr:row>
      <xdr:rowOff>9525</xdr:rowOff>
    </xdr:from>
    <xdr:to>
      <xdr:col>2</xdr:col>
      <xdr:colOff>819150</xdr:colOff>
      <xdr:row>39</xdr:row>
      <xdr:rowOff>190500</xdr:rowOff>
    </xdr:to>
    <xdr:sp macro="[0]!Med9Sterkte" textlink="">
      <xdr:nvSpPr>
        <xdr:cNvPr id="115" name="Rectangle 189"/>
        <xdr:cNvSpPr>
          <a:spLocks noChangeArrowheads="1"/>
        </xdr:cNvSpPr>
      </xdr:nvSpPr>
      <xdr:spPr bwMode="auto">
        <a:xfrm>
          <a:off x="1285875" y="73342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41</xdr:row>
          <xdr:rowOff>0</xdr:rowOff>
        </xdr:from>
        <xdr:to>
          <xdr:col>5</xdr:col>
          <xdr:colOff>609600</xdr:colOff>
          <xdr:row>42</xdr:row>
          <xdr:rowOff>0</xdr:rowOff>
        </xdr:to>
        <xdr:sp macro="" textlink="">
          <xdr:nvSpPr>
            <xdr:cNvPr id="22629" name="Drop Down 101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41</xdr:row>
          <xdr:rowOff>9525</xdr:rowOff>
        </xdr:from>
        <xdr:to>
          <xdr:col>7</xdr:col>
          <xdr:colOff>142875</xdr:colOff>
          <xdr:row>42</xdr:row>
          <xdr:rowOff>0</xdr:rowOff>
        </xdr:to>
        <xdr:sp macro="" textlink="">
          <xdr:nvSpPr>
            <xdr:cNvPr id="22630" name="Spinner 102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41</xdr:row>
          <xdr:rowOff>0</xdr:rowOff>
        </xdr:from>
        <xdr:to>
          <xdr:col>9</xdr:col>
          <xdr:colOff>600075</xdr:colOff>
          <xdr:row>42</xdr:row>
          <xdr:rowOff>19050</xdr:rowOff>
        </xdr:to>
        <xdr:sp macro="" textlink="">
          <xdr:nvSpPr>
            <xdr:cNvPr id="22631" name="Check Box 103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42</xdr:row>
          <xdr:rowOff>0</xdr:rowOff>
        </xdr:from>
        <xdr:to>
          <xdr:col>5</xdr:col>
          <xdr:colOff>609600</xdr:colOff>
          <xdr:row>43</xdr:row>
          <xdr:rowOff>0</xdr:rowOff>
        </xdr:to>
        <xdr:sp macro="" textlink="">
          <xdr:nvSpPr>
            <xdr:cNvPr id="22632" name="Drop Down 104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42</xdr:row>
          <xdr:rowOff>9525</xdr:rowOff>
        </xdr:from>
        <xdr:to>
          <xdr:col>7</xdr:col>
          <xdr:colOff>142875</xdr:colOff>
          <xdr:row>43</xdr:row>
          <xdr:rowOff>0</xdr:rowOff>
        </xdr:to>
        <xdr:sp macro="" textlink="">
          <xdr:nvSpPr>
            <xdr:cNvPr id="22633" name="Spinner 105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42</xdr:row>
          <xdr:rowOff>0</xdr:rowOff>
        </xdr:from>
        <xdr:to>
          <xdr:col>9</xdr:col>
          <xdr:colOff>600075</xdr:colOff>
          <xdr:row>43</xdr:row>
          <xdr:rowOff>19050</xdr:rowOff>
        </xdr:to>
        <xdr:sp macro="" textlink="">
          <xdr:nvSpPr>
            <xdr:cNvPr id="22634" name="Check Box 106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42</xdr:row>
          <xdr:rowOff>0</xdr:rowOff>
        </xdr:from>
        <xdr:to>
          <xdr:col>9</xdr:col>
          <xdr:colOff>600075</xdr:colOff>
          <xdr:row>43</xdr:row>
          <xdr:rowOff>19050</xdr:rowOff>
        </xdr:to>
        <xdr:sp macro="" textlink="">
          <xdr:nvSpPr>
            <xdr:cNvPr id="22635" name="Check Box 107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43</xdr:row>
          <xdr:rowOff>0</xdr:rowOff>
        </xdr:from>
        <xdr:to>
          <xdr:col>5</xdr:col>
          <xdr:colOff>609600</xdr:colOff>
          <xdr:row>44</xdr:row>
          <xdr:rowOff>0</xdr:rowOff>
        </xdr:to>
        <xdr:sp macro="" textlink="">
          <xdr:nvSpPr>
            <xdr:cNvPr id="22636" name="Drop Down 108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43</xdr:row>
          <xdr:rowOff>9525</xdr:rowOff>
        </xdr:from>
        <xdr:to>
          <xdr:col>7</xdr:col>
          <xdr:colOff>142875</xdr:colOff>
          <xdr:row>44</xdr:row>
          <xdr:rowOff>0</xdr:rowOff>
        </xdr:to>
        <xdr:sp macro="" textlink="">
          <xdr:nvSpPr>
            <xdr:cNvPr id="22637" name="Spinner 109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43</xdr:row>
          <xdr:rowOff>0</xdr:rowOff>
        </xdr:from>
        <xdr:to>
          <xdr:col>9</xdr:col>
          <xdr:colOff>600075</xdr:colOff>
          <xdr:row>44</xdr:row>
          <xdr:rowOff>19050</xdr:rowOff>
        </xdr:to>
        <xdr:sp macro="" textlink="">
          <xdr:nvSpPr>
            <xdr:cNvPr id="22638" name="Check Box 110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133350</xdr:colOff>
      <xdr:row>73</xdr:row>
      <xdr:rowOff>9525</xdr:rowOff>
    </xdr:from>
    <xdr:to>
      <xdr:col>9</xdr:col>
      <xdr:colOff>742950</xdr:colOff>
      <xdr:row>75</xdr:row>
      <xdr:rowOff>0</xdr:rowOff>
    </xdr:to>
    <xdr:sp macro="[0]!opmLabNeo" textlink="">
      <xdr:nvSpPr>
        <xdr:cNvPr id="124" name="Rectangle 125"/>
        <xdr:cNvSpPr>
          <a:spLocks noChangeArrowheads="1"/>
        </xdr:cNvSpPr>
      </xdr:nvSpPr>
      <xdr:spPr bwMode="auto">
        <a:xfrm>
          <a:off x="381000" y="13392150"/>
          <a:ext cx="7124700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63</xdr:row>
      <xdr:rowOff>0</xdr:rowOff>
    </xdr:from>
    <xdr:to>
      <xdr:col>2</xdr:col>
      <xdr:colOff>295275</xdr:colOff>
      <xdr:row>63</xdr:row>
      <xdr:rowOff>142875</xdr:rowOff>
    </xdr:to>
    <xdr:sp macro="[0]!gaNaarLab" textlink="">
      <xdr:nvSpPr>
        <xdr:cNvPr id="125" name="Rectangle 137"/>
        <xdr:cNvSpPr>
          <a:spLocks noChangeArrowheads="1"/>
        </xdr:cNvSpPr>
      </xdr:nvSpPr>
      <xdr:spPr bwMode="auto">
        <a:xfrm>
          <a:off x="133350" y="18859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23</xdr:row>
          <xdr:rowOff>180975</xdr:rowOff>
        </xdr:from>
        <xdr:to>
          <xdr:col>13</xdr:col>
          <xdr:colOff>895350</xdr:colOff>
          <xdr:row>24</xdr:row>
          <xdr:rowOff>180975</xdr:rowOff>
        </xdr:to>
        <xdr:sp macro="" textlink="">
          <xdr:nvSpPr>
            <xdr:cNvPr id="22640" name="Drop Down 112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25</xdr:row>
          <xdr:rowOff>9525</xdr:rowOff>
        </xdr:from>
        <xdr:to>
          <xdr:col>13</xdr:col>
          <xdr:colOff>904875</xdr:colOff>
          <xdr:row>26</xdr:row>
          <xdr:rowOff>9525</xdr:rowOff>
        </xdr:to>
        <xdr:sp macro="" textlink="">
          <xdr:nvSpPr>
            <xdr:cNvPr id="22641" name="Drop Down 113" hidden="1">
              <a:extLst>
                <a:ext uri="{63B3BB69-23CF-44E3-9099-C40C66FF867C}">
                  <a14:compatExt spid="_x0000_s226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24</xdr:row>
          <xdr:rowOff>180975</xdr:rowOff>
        </xdr:from>
        <xdr:to>
          <xdr:col>13</xdr:col>
          <xdr:colOff>895350</xdr:colOff>
          <xdr:row>25</xdr:row>
          <xdr:rowOff>180975</xdr:rowOff>
        </xdr:to>
        <xdr:sp macro="" textlink="">
          <xdr:nvSpPr>
            <xdr:cNvPr id="22646" name="Drop Down 118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25</xdr:row>
          <xdr:rowOff>180975</xdr:rowOff>
        </xdr:from>
        <xdr:to>
          <xdr:col>13</xdr:col>
          <xdr:colOff>895350</xdr:colOff>
          <xdr:row>26</xdr:row>
          <xdr:rowOff>180975</xdr:rowOff>
        </xdr:to>
        <xdr:sp macro="" textlink="">
          <xdr:nvSpPr>
            <xdr:cNvPr id="22647" name="Drop Down 119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1114425</xdr:colOff>
          <xdr:row>23</xdr:row>
          <xdr:rowOff>0</xdr:rowOff>
        </xdr:from>
        <xdr:to>
          <xdr:col>14</xdr:col>
          <xdr:colOff>533400</xdr:colOff>
          <xdr:row>23</xdr:row>
          <xdr:rowOff>190500</xdr:rowOff>
        </xdr:to>
        <xdr:sp macro="" textlink="">
          <xdr:nvSpPr>
            <xdr:cNvPr id="22650" name="Pos" hidden="1">
              <a:extLst>
                <a:ext uri="{63B3BB69-23CF-44E3-9099-C40C66FF867C}">
                  <a14:compatExt spid="_x0000_s22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1114425</xdr:colOff>
          <xdr:row>23</xdr:row>
          <xdr:rowOff>190500</xdr:rowOff>
        </xdr:from>
        <xdr:to>
          <xdr:col>15</xdr:col>
          <xdr:colOff>38100</xdr:colOff>
          <xdr:row>24</xdr:row>
          <xdr:rowOff>190500</xdr:rowOff>
        </xdr:to>
        <xdr:sp macro="" textlink="">
          <xdr:nvSpPr>
            <xdr:cNvPr id="22653" name="Pos" hidden="1">
              <a:extLst>
                <a:ext uri="{63B3BB69-23CF-44E3-9099-C40C66FF867C}">
                  <a14:compatExt spid="_x0000_s226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1114425</xdr:colOff>
          <xdr:row>24</xdr:row>
          <xdr:rowOff>190500</xdr:rowOff>
        </xdr:from>
        <xdr:to>
          <xdr:col>15</xdr:col>
          <xdr:colOff>38100</xdr:colOff>
          <xdr:row>25</xdr:row>
          <xdr:rowOff>190500</xdr:rowOff>
        </xdr:to>
        <xdr:sp macro="" textlink="">
          <xdr:nvSpPr>
            <xdr:cNvPr id="22654" name="Pos" hidden="1">
              <a:extLst>
                <a:ext uri="{63B3BB69-23CF-44E3-9099-C40C66FF867C}">
                  <a14:compatExt spid="_x0000_s226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1114425</xdr:colOff>
          <xdr:row>25</xdr:row>
          <xdr:rowOff>190500</xdr:rowOff>
        </xdr:from>
        <xdr:to>
          <xdr:col>15</xdr:col>
          <xdr:colOff>38100</xdr:colOff>
          <xdr:row>26</xdr:row>
          <xdr:rowOff>190500</xdr:rowOff>
        </xdr:to>
        <xdr:sp macro="" textlink="">
          <xdr:nvSpPr>
            <xdr:cNvPr id="22656" name="Pos" hidden="1">
              <a:extLst>
                <a:ext uri="{63B3BB69-23CF-44E3-9099-C40C66FF867C}">
                  <a14:compatExt spid="_x0000_s226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22</xdr:row>
          <xdr:rowOff>180975</xdr:rowOff>
        </xdr:from>
        <xdr:to>
          <xdr:col>9</xdr:col>
          <xdr:colOff>590550</xdr:colOff>
          <xdr:row>23</xdr:row>
          <xdr:rowOff>180975</xdr:rowOff>
        </xdr:to>
        <xdr:sp macro="" textlink="">
          <xdr:nvSpPr>
            <xdr:cNvPr id="22657" name="Drop Down 129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180975</xdr:rowOff>
        </xdr:from>
        <xdr:to>
          <xdr:col>13</xdr:col>
          <xdr:colOff>895350</xdr:colOff>
          <xdr:row>23</xdr:row>
          <xdr:rowOff>180975</xdr:rowOff>
        </xdr:to>
        <xdr:sp macro="" textlink="">
          <xdr:nvSpPr>
            <xdr:cNvPr id="22659" name="Drop Down 131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1114425</xdr:colOff>
          <xdr:row>22</xdr:row>
          <xdr:rowOff>190500</xdr:rowOff>
        </xdr:from>
        <xdr:to>
          <xdr:col>15</xdr:col>
          <xdr:colOff>38100</xdr:colOff>
          <xdr:row>23</xdr:row>
          <xdr:rowOff>190500</xdr:rowOff>
        </xdr:to>
        <xdr:sp macro="" textlink="">
          <xdr:nvSpPr>
            <xdr:cNvPr id="22661" name="Drop Down 133" hidden="1">
              <a:extLst>
                <a:ext uri="{63B3BB69-23CF-44E3-9099-C40C66FF867C}">
                  <a14:compatExt spid="_x0000_s22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0</xdr:rowOff>
        </xdr:from>
        <xdr:to>
          <xdr:col>11</xdr:col>
          <xdr:colOff>66675</xdr:colOff>
          <xdr:row>23</xdr:row>
          <xdr:rowOff>0</xdr:rowOff>
        </xdr:to>
        <xdr:sp macro="" textlink="">
          <xdr:nvSpPr>
            <xdr:cNvPr id="22662" name="Drop Down 134" hidden="1">
              <a:extLst>
                <a:ext uri="{63B3BB69-23CF-44E3-9099-C40C66FF867C}">
                  <a14:compatExt spid="_x0000_s226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23</xdr:row>
          <xdr:rowOff>180975</xdr:rowOff>
        </xdr:from>
        <xdr:to>
          <xdr:col>11</xdr:col>
          <xdr:colOff>66675</xdr:colOff>
          <xdr:row>24</xdr:row>
          <xdr:rowOff>180975</xdr:rowOff>
        </xdr:to>
        <xdr:sp macro="" textlink="">
          <xdr:nvSpPr>
            <xdr:cNvPr id="22663" name="Drop Down 135" hidden="1">
              <a:extLst>
                <a:ext uri="{63B3BB69-23CF-44E3-9099-C40C66FF867C}">
                  <a14:compatExt spid="_x0000_s226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24</xdr:row>
          <xdr:rowOff>180975</xdr:rowOff>
        </xdr:from>
        <xdr:to>
          <xdr:col>11</xdr:col>
          <xdr:colOff>66675</xdr:colOff>
          <xdr:row>25</xdr:row>
          <xdr:rowOff>180975</xdr:rowOff>
        </xdr:to>
        <xdr:sp macro="" textlink="">
          <xdr:nvSpPr>
            <xdr:cNvPr id="22664" name="Drop Down 136" hidden="1">
              <a:extLst>
                <a:ext uri="{63B3BB69-23CF-44E3-9099-C40C66FF867C}">
                  <a14:compatExt spid="_x0000_s226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25</xdr:row>
          <xdr:rowOff>180975</xdr:rowOff>
        </xdr:from>
        <xdr:to>
          <xdr:col>11</xdr:col>
          <xdr:colOff>66675</xdr:colOff>
          <xdr:row>26</xdr:row>
          <xdr:rowOff>180975</xdr:rowOff>
        </xdr:to>
        <xdr:sp macro="" textlink="">
          <xdr:nvSpPr>
            <xdr:cNvPr id="22665" name="Drop Down 137" hidden="1">
              <a:extLst>
                <a:ext uri="{63B3BB69-23CF-44E3-9099-C40C66FF867C}">
                  <a14:compatExt spid="_x0000_s226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180975</xdr:rowOff>
        </xdr:from>
        <xdr:to>
          <xdr:col>11</xdr:col>
          <xdr:colOff>66675</xdr:colOff>
          <xdr:row>23</xdr:row>
          <xdr:rowOff>180975</xdr:rowOff>
        </xdr:to>
        <xdr:sp macro="" textlink="">
          <xdr:nvSpPr>
            <xdr:cNvPr id="22666" name="Drop Down 138" hidden="1">
              <a:extLst>
                <a:ext uri="{63B3BB69-23CF-44E3-9099-C40C66FF867C}">
                  <a14:compatExt spid="_x0000_s226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25</xdr:row>
          <xdr:rowOff>142875</xdr:rowOff>
        </xdr:from>
        <xdr:to>
          <xdr:col>2</xdr:col>
          <xdr:colOff>800100</xdr:colOff>
          <xdr:row>26</xdr:row>
          <xdr:rowOff>161925</xdr:rowOff>
        </xdr:to>
        <xdr:sp macro="" textlink="">
          <xdr:nvSpPr>
            <xdr:cNvPr id="22668" name="Check Box 140" hidden="1">
              <a:extLst>
                <a:ext uri="{63B3BB69-23CF-44E3-9099-C40C66FF867C}">
                  <a14:compatExt spid="_x0000_s22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32</xdr:row>
          <xdr:rowOff>9525</xdr:rowOff>
        </xdr:from>
        <xdr:to>
          <xdr:col>7</xdr:col>
          <xdr:colOff>142875</xdr:colOff>
          <xdr:row>33</xdr:row>
          <xdr:rowOff>0</xdr:rowOff>
        </xdr:to>
        <xdr:sp macro="" textlink="">
          <xdr:nvSpPr>
            <xdr:cNvPr id="22669" name="Spinner 141" hidden="1">
              <a:extLst>
                <a:ext uri="{63B3BB69-23CF-44E3-9099-C40C66FF867C}">
                  <a14:compatExt spid="_x0000_s226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33</xdr:row>
          <xdr:rowOff>9525</xdr:rowOff>
        </xdr:from>
        <xdr:to>
          <xdr:col>7</xdr:col>
          <xdr:colOff>142875</xdr:colOff>
          <xdr:row>34</xdr:row>
          <xdr:rowOff>0</xdr:rowOff>
        </xdr:to>
        <xdr:sp macro="" textlink="">
          <xdr:nvSpPr>
            <xdr:cNvPr id="22670" name="Spinner 142" hidden="1">
              <a:extLst>
                <a:ext uri="{63B3BB69-23CF-44E3-9099-C40C66FF867C}">
                  <a14:compatExt spid="_x0000_s226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34</xdr:row>
          <xdr:rowOff>9525</xdr:rowOff>
        </xdr:from>
        <xdr:to>
          <xdr:col>7</xdr:col>
          <xdr:colOff>142875</xdr:colOff>
          <xdr:row>35</xdr:row>
          <xdr:rowOff>0</xdr:rowOff>
        </xdr:to>
        <xdr:sp macro="" textlink="">
          <xdr:nvSpPr>
            <xdr:cNvPr id="22671" name="Spinner 143" hidden="1">
              <a:extLst>
                <a:ext uri="{63B3BB69-23CF-44E3-9099-C40C66FF867C}">
                  <a14:compatExt spid="_x0000_s226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35</xdr:row>
          <xdr:rowOff>9525</xdr:rowOff>
        </xdr:from>
        <xdr:to>
          <xdr:col>7</xdr:col>
          <xdr:colOff>142875</xdr:colOff>
          <xdr:row>36</xdr:row>
          <xdr:rowOff>0</xdr:rowOff>
        </xdr:to>
        <xdr:sp macro="" textlink="">
          <xdr:nvSpPr>
            <xdr:cNvPr id="22672" name="Spinner 144" hidden="1">
              <a:extLst>
                <a:ext uri="{63B3BB69-23CF-44E3-9099-C40C66FF867C}">
                  <a14:compatExt spid="_x0000_s226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36</xdr:row>
          <xdr:rowOff>9525</xdr:rowOff>
        </xdr:from>
        <xdr:to>
          <xdr:col>7</xdr:col>
          <xdr:colOff>142875</xdr:colOff>
          <xdr:row>37</xdr:row>
          <xdr:rowOff>0</xdr:rowOff>
        </xdr:to>
        <xdr:sp macro="" textlink="">
          <xdr:nvSpPr>
            <xdr:cNvPr id="22673" name="Spinner 145" hidden="1">
              <a:extLst>
                <a:ext uri="{63B3BB69-23CF-44E3-9099-C40C66FF867C}">
                  <a14:compatExt spid="_x0000_s22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37</xdr:row>
          <xdr:rowOff>9525</xdr:rowOff>
        </xdr:from>
        <xdr:to>
          <xdr:col>7</xdr:col>
          <xdr:colOff>142875</xdr:colOff>
          <xdr:row>38</xdr:row>
          <xdr:rowOff>0</xdr:rowOff>
        </xdr:to>
        <xdr:sp macro="" textlink="">
          <xdr:nvSpPr>
            <xdr:cNvPr id="22674" name="Spinner 146" hidden="1">
              <a:extLst>
                <a:ext uri="{63B3BB69-23CF-44E3-9099-C40C66FF867C}">
                  <a14:compatExt spid="_x0000_s22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38</xdr:row>
          <xdr:rowOff>9525</xdr:rowOff>
        </xdr:from>
        <xdr:to>
          <xdr:col>7</xdr:col>
          <xdr:colOff>142875</xdr:colOff>
          <xdr:row>39</xdr:row>
          <xdr:rowOff>0</xdr:rowOff>
        </xdr:to>
        <xdr:sp macro="" textlink="">
          <xdr:nvSpPr>
            <xdr:cNvPr id="22675" name="Spinner 147" hidden="1">
              <a:extLst>
                <a:ext uri="{63B3BB69-23CF-44E3-9099-C40C66FF867C}">
                  <a14:compatExt spid="_x0000_s226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39</xdr:row>
          <xdr:rowOff>9525</xdr:rowOff>
        </xdr:from>
        <xdr:to>
          <xdr:col>7</xdr:col>
          <xdr:colOff>142875</xdr:colOff>
          <xdr:row>40</xdr:row>
          <xdr:rowOff>0</xdr:rowOff>
        </xdr:to>
        <xdr:sp macro="" textlink="">
          <xdr:nvSpPr>
            <xdr:cNvPr id="22676" name="Spinner 148" hidden="1">
              <a:extLst>
                <a:ext uri="{63B3BB69-23CF-44E3-9099-C40C66FF867C}">
                  <a14:compatExt spid="_x0000_s226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3</xdr:col>
          <xdr:colOff>28575</xdr:colOff>
          <xdr:row>47</xdr:row>
          <xdr:rowOff>190500</xdr:rowOff>
        </xdr:to>
        <xdr:sp macro="" textlink="">
          <xdr:nvSpPr>
            <xdr:cNvPr id="22677" name="Drop Down 149" hidden="1">
              <a:extLst>
                <a:ext uri="{63B3BB69-23CF-44E3-9099-C40C66FF867C}">
                  <a14:compatExt spid="_x0000_s226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6</xdr:col>
      <xdr:colOff>561975</xdr:colOff>
      <xdr:row>1</xdr:row>
      <xdr:rowOff>57150</xdr:rowOff>
    </xdr:to>
    <xdr:sp macro="" textlink="">
      <xdr:nvSpPr>
        <xdr:cNvPr id="2" name="AutoShape 1" descr="horistrp.gif (882 bytes)"/>
        <xdr:cNvSpPr>
          <a:spLocks noChangeAspect="1" noChangeArrowheads="1"/>
        </xdr:cNvSpPr>
      </xdr:nvSpPr>
      <xdr:spPr bwMode="auto">
        <a:xfrm>
          <a:off x="0" y="161925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6</xdr:row>
      <xdr:rowOff>0</xdr:rowOff>
    </xdr:from>
    <xdr:to>
      <xdr:col>6</xdr:col>
      <xdr:colOff>561975</xdr:colOff>
      <xdr:row>6</xdr:row>
      <xdr:rowOff>57150</xdr:rowOff>
    </xdr:to>
    <xdr:sp macro="" textlink="">
      <xdr:nvSpPr>
        <xdr:cNvPr id="3" name="AutoShape 2" descr="horistrp.gif (882 bytes)"/>
        <xdr:cNvSpPr>
          <a:spLocks noChangeAspect="1" noChangeArrowheads="1"/>
        </xdr:cNvSpPr>
      </xdr:nvSpPr>
      <xdr:spPr bwMode="auto">
        <a:xfrm>
          <a:off x="0" y="971550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409575</xdr:colOff>
          <xdr:row>2</xdr:row>
          <xdr:rowOff>0</xdr:rowOff>
        </xdr:from>
        <xdr:to>
          <xdr:col>9</xdr:col>
          <xdr:colOff>590550</xdr:colOff>
          <xdr:row>2</xdr:row>
          <xdr:rowOff>180975</xdr:rowOff>
        </xdr:to>
        <xdr:sp macro="" textlink="">
          <xdr:nvSpPr>
            <xdr:cNvPr id="65537" name="Spinner 1" hidden="1">
              <a:extLst>
                <a:ext uri="{63B3BB69-23CF-44E3-9099-C40C66FF867C}">
                  <a14:compatExt spid="_x0000_s65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3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4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2</xdr:row>
      <xdr:rowOff>0</xdr:rowOff>
    </xdr:from>
    <xdr:to>
      <xdr:col>3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1866900" y="381000"/>
          <a:ext cx="259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6</xdr:row>
          <xdr:rowOff>19050</xdr:rowOff>
        </xdr:from>
        <xdr:to>
          <xdr:col>5</xdr:col>
          <xdr:colOff>1228725</xdr:colOff>
          <xdr:row>6</xdr:row>
          <xdr:rowOff>219075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19050</xdr:rowOff>
        </xdr:from>
        <xdr:to>
          <xdr:col>5</xdr:col>
          <xdr:colOff>1219200</xdr:colOff>
          <xdr:row>7</xdr:row>
          <xdr:rowOff>219075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Faeces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12</xdr:row>
          <xdr:rowOff>19050</xdr:rowOff>
        </xdr:from>
        <xdr:to>
          <xdr:col>5</xdr:col>
          <xdr:colOff>1228725</xdr:colOff>
          <xdr:row>12</xdr:row>
          <xdr:rowOff>219075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Neusspoelsel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13</xdr:row>
          <xdr:rowOff>19050</xdr:rowOff>
        </xdr:from>
        <xdr:to>
          <xdr:col>5</xdr:col>
          <xdr:colOff>1228725</xdr:colOff>
          <xdr:row>13</xdr:row>
          <xdr:rowOff>219075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14</xdr:row>
          <xdr:rowOff>19050</xdr:rowOff>
        </xdr:from>
        <xdr:to>
          <xdr:col>5</xdr:col>
          <xdr:colOff>1228725</xdr:colOff>
          <xdr:row>14</xdr:row>
          <xdr:rowOff>219075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Oppervlakte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16</xdr:row>
          <xdr:rowOff>19050</xdr:rowOff>
        </xdr:from>
        <xdr:to>
          <xdr:col>5</xdr:col>
          <xdr:colOff>1228725</xdr:colOff>
          <xdr:row>16</xdr:row>
          <xdr:rowOff>219075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RS-diagnostiek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17</xdr:row>
          <xdr:rowOff>19050</xdr:rowOff>
        </xdr:from>
        <xdr:to>
          <xdr:col>5</xdr:col>
          <xdr:colOff>1228725</xdr:colOff>
          <xdr:row>17</xdr:row>
          <xdr:rowOff>219075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Sputum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20</xdr:row>
          <xdr:rowOff>19050</xdr:rowOff>
        </xdr:from>
        <xdr:to>
          <xdr:col>5</xdr:col>
          <xdr:colOff>1228725</xdr:colOff>
          <xdr:row>20</xdr:row>
          <xdr:rowOff>219075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Uitzuig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21</xdr:row>
          <xdr:rowOff>19050</xdr:rowOff>
        </xdr:from>
        <xdr:to>
          <xdr:col>5</xdr:col>
          <xdr:colOff>1228725</xdr:colOff>
          <xdr:row>21</xdr:row>
          <xdr:rowOff>219075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19050</xdr:rowOff>
        </xdr:from>
        <xdr:to>
          <xdr:col>6</xdr:col>
          <xdr:colOff>1228725</xdr:colOff>
          <xdr:row>8</xdr:row>
          <xdr:rowOff>219075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Rota / Adeno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9</xdr:row>
          <xdr:rowOff>19050</xdr:rowOff>
        </xdr:from>
        <xdr:to>
          <xdr:col>6</xdr:col>
          <xdr:colOff>1228725</xdr:colOff>
          <xdr:row>9</xdr:row>
          <xdr:rowOff>219075</xdr:rowOff>
        </xdr:to>
        <xdr:sp macro="" textlink="">
          <xdr:nvSpPr>
            <xdr:cNvPr id="65579" name="Check Box 43" hidden="1">
              <a:extLst>
                <a:ext uri="{63B3BB69-23CF-44E3-9099-C40C66FF867C}">
                  <a14:compatExt spid="_x0000_s65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Schimmel / Gist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10</xdr:row>
          <xdr:rowOff>19050</xdr:rowOff>
        </xdr:from>
        <xdr:to>
          <xdr:col>6</xdr:col>
          <xdr:colOff>1228725</xdr:colOff>
          <xdr:row>10</xdr:row>
          <xdr:rowOff>219075</xdr:rowOff>
        </xdr:to>
        <xdr:sp macro="" textlink="">
          <xdr:nvSpPr>
            <xdr:cNvPr id="65580" name="Check Box 44" hidden="1">
              <a:extLst>
                <a:ext uri="{63B3BB69-23CF-44E3-9099-C40C66FF867C}">
                  <a14:compatExt spid="_x0000_s65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19050</xdr:rowOff>
        </xdr:from>
        <xdr:to>
          <xdr:col>6</xdr:col>
          <xdr:colOff>1228725</xdr:colOff>
          <xdr:row>7</xdr:row>
          <xdr:rowOff>219075</xdr:rowOff>
        </xdr:to>
        <xdr:sp macro="" textlink="">
          <xdr:nvSpPr>
            <xdr:cNvPr id="65583" name="Check Box 47" hidden="1">
              <a:extLst>
                <a:ext uri="{63B3BB69-23CF-44E3-9099-C40C66FF867C}">
                  <a14:compatExt spid="_x0000_s65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11</xdr:row>
          <xdr:rowOff>19050</xdr:rowOff>
        </xdr:from>
        <xdr:to>
          <xdr:col>5</xdr:col>
          <xdr:colOff>1228725</xdr:colOff>
          <xdr:row>11</xdr:row>
          <xdr:rowOff>219075</xdr:rowOff>
        </xdr:to>
        <xdr:sp macro="" textlink="">
          <xdr:nvSpPr>
            <xdr:cNvPr id="65584" name="Check Box 48" hidden="1">
              <a:extLst>
                <a:ext uri="{63B3BB69-23CF-44E3-9099-C40C66FF867C}">
                  <a14:compatExt spid="_x0000_s65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Keel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1228725</xdr:colOff>
          <xdr:row>12</xdr:row>
          <xdr:rowOff>219075</xdr:rowOff>
        </xdr:to>
        <xdr:sp macro="" textlink="">
          <xdr:nvSpPr>
            <xdr:cNvPr id="65585" name="Check Box 49" hidden="1">
              <a:extLst>
                <a:ext uri="{63B3BB69-23CF-44E3-9099-C40C66FF867C}">
                  <a14:compatExt spid="_x0000_s65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1228725</xdr:colOff>
          <xdr:row>14</xdr:row>
          <xdr:rowOff>219075</xdr:rowOff>
        </xdr:to>
        <xdr:sp macro="" textlink="">
          <xdr:nvSpPr>
            <xdr:cNvPr id="65586" name="Check Box 50" hidden="1">
              <a:extLst>
                <a:ext uri="{63B3BB69-23CF-44E3-9099-C40C66FF867C}">
                  <a14:compatExt spid="_x0000_s65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15</xdr:row>
          <xdr:rowOff>19050</xdr:rowOff>
        </xdr:from>
        <xdr:to>
          <xdr:col>6</xdr:col>
          <xdr:colOff>1228725</xdr:colOff>
          <xdr:row>15</xdr:row>
          <xdr:rowOff>219075</xdr:rowOff>
        </xdr:to>
        <xdr:sp macro="" textlink="">
          <xdr:nvSpPr>
            <xdr:cNvPr id="65588" name="Check Box 52" hidden="1">
              <a:extLst>
                <a:ext uri="{63B3BB69-23CF-44E3-9099-C40C66FF867C}">
                  <a14:compatExt spid="_x0000_s65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Gist / Schimmel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17</xdr:row>
          <xdr:rowOff>19050</xdr:rowOff>
        </xdr:from>
        <xdr:to>
          <xdr:col>6</xdr:col>
          <xdr:colOff>1228725</xdr:colOff>
          <xdr:row>17</xdr:row>
          <xdr:rowOff>219075</xdr:rowOff>
        </xdr:to>
        <xdr:sp macro="" textlink="">
          <xdr:nvSpPr>
            <xdr:cNvPr id="65589" name="Check Box 53" hidden="1">
              <a:extLst>
                <a:ext uri="{63B3BB69-23CF-44E3-9099-C40C66FF867C}">
                  <a14:compatExt spid="_x0000_s65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19</xdr:row>
          <xdr:rowOff>19050</xdr:rowOff>
        </xdr:from>
        <xdr:to>
          <xdr:col>6</xdr:col>
          <xdr:colOff>1228725</xdr:colOff>
          <xdr:row>19</xdr:row>
          <xdr:rowOff>219075</xdr:rowOff>
        </xdr:to>
        <xdr:sp macro="" textlink="">
          <xdr:nvSpPr>
            <xdr:cNvPr id="65590" name="Check Box 54" hidden="1">
              <a:extLst>
                <a:ext uri="{63B3BB69-23CF-44E3-9099-C40C66FF867C}">
                  <a14:compatExt spid="_x0000_s65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18</xdr:row>
          <xdr:rowOff>19050</xdr:rowOff>
        </xdr:from>
        <xdr:to>
          <xdr:col>6</xdr:col>
          <xdr:colOff>1228725</xdr:colOff>
          <xdr:row>18</xdr:row>
          <xdr:rowOff>219075</xdr:rowOff>
        </xdr:to>
        <xdr:sp macro="" textlink="">
          <xdr:nvSpPr>
            <xdr:cNvPr id="65591" name="Check Box 55" hidden="1">
              <a:extLst>
                <a:ext uri="{63B3BB69-23CF-44E3-9099-C40C66FF867C}">
                  <a14:compatExt spid="_x0000_s65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Ureaplasma / Mycoplasma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21</xdr:row>
          <xdr:rowOff>19050</xdr:rowOff>
        </xdr:from>
        <xdr:to>
          <xdr:col>6</xdr:col>
          <xdr:colOff>1228725</xdr:colOff>
          <xdr:row>21</xdr:row>
          <xdr:rowOff>219075</xdr:rowOff>
        </xdr:to>
        <xdr:sp macro="" textlink="">
          <xdr:nvSpPr>
            <xdr:cNvPr id="65594" name="Check Box 58" hidden="1">
              <a:extLst>
                <a:ext uri="{63B3BB69-23CF-44E3-9099-C40C66FF867C}">
                  <a14:compatExt spid="_x0000_s65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22</xdr:row>
          <xdr:rowOff>19050</xdr:rowOff>
        </xdr:from>
        <xdr:to>
          <xdr:col>5</xdr:col>
          <xdr:colOff>1228725</xdr:colOff>
          <xdr:row>22</xdr:row>
          <xdr:rowOff>219075</xdr:rowOff>
        </xdr:to>
        <xdr:sp macro="" textlink="">
          <xdr:nvSpPr>
            <xdr:cNvPr id="65597" name="Check Box 61" hidden="1">
              <a:extLst>
                <a:ext uri="{63B3BB69-23CF-44E3-9099-C40C66FF867C}">
                  <a14:compatExt spid="_x0000_s65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22</xdr:row>
          <xdr:rowOff>19050</xdr:rowOff>
        </xdr:from>
        <xdr:to>
          <xdr:col>6</xdr:col>
          <xdr:colOff>1228725</xdr:colOff>
          <xdr:row>22</xdr:row>
          <xdr:rowOff>219075</xdr:rowOff>
        </xdr:to>
        <xdr:sp macro="" textlink="">
          <xdr:nvSpPr>
            <xdr:cNvPr id="65598" name="Check Box 62" hidden="1">
              <a:extLst>
                <a:ext uri="{63B3BB69-23CF-44E3-9099-C40C66FF867C}">
                  <a14:compatExt spid="_x0000_s65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Natrium / Kalium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23</xdr:row>
          <xdr:rowOff>19050</xdr:rowOff>
        </xdr:from>
        <xdr:to>
          <xdr:col>6</xdr:col>
          <xdr:colOff>1228725</xdr:colOff>
          <xdr:row>23</xdr:row>
          <xdr:rowOff>219075</xdr:rowOff>
        </xdr:to>
        <xdr:sp macro="" textlink="">
          <xdr:nvSpPr>
            <xdr:cNvPr id="65599" name="Check Box 63" hidden="1">
              <a:extLst>
                <a:ext uri="{63B3BB69-23CF-44E3-9099-C40C66FF867C}">
                  <a14:compatExt spid="_x0000_s65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24</xdr:row>
          <xdr:rowOff>19050</xdr:rowOff>
        </xdr:from>
        <xdr:to>
          <xdr:col>6</xdr:col>
          <xdr:colOff>1228725</xdr:colOff>
          <xdr:row>24</xdr:row>
          <xdr:rowOff>219075</xdr:rowOff>
        </xdr:to>
        <xdr:sp macro="" textlink="">
          <xdr:nvSpPr>
            <xdr:cNvPr id="65600" name="Check Box 64" hidden="1">
              <a:extLst>
                <a:ext uri="{63B3BB69-23CF-44E3-9099-C40C66FF867C}">
                  <a14:compatExt spid="_x0000_s65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en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25</xdr:row>
          <xdr:rowOff>19050</xdr:rowOff>
        </xdr:from>
        <xdr:to>
          <xdr:col>6</xdr:col>
          <xdr:colOff>1228725</xdr:colOff>
          <xdr:row>25</xdr:row>
          <xdr:rowOff>219075</xdr:rowOff>
        </xdr:to>
        <xdr:sp macro="" textlink="">
          <xdr:nvSpPr>
            <xdr:cNvPr id="65601" name="Check Box 65" hidden="1">
              <a:extLst>
                <a:ext uri="{63B3BB69-23CF-44E3-9099-C40C66FF867C}">
                  <a14:compatExt spid="_x0000_s6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ma-wo-vr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26</xdr:row>
          <xdr:rowOff>19050</xdr:rowOff>
        </xdr:from>
        <xdr:to>
          <xdr:col>6</xdr:col>
          <xdr:colOff>1228725</xdr:colOff>
          <xdr:row>26</xdr:row>
          <xdr:rowOff>219075</xdr:rowOff>
        </xdr:to>
        <xdr:sp macro="" textlink="">
          <xdr:nvSpPr>
            <xdr:cNvPr id="65602" name="Check Box 66" hidden="1">
              <a:extLst>
                <a:ext uri="{63B3BB69-23CF-44E3-9099-C40C66FF867C}">
                  <a14:compatExt spid="_x0000_s6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27</xdr:row>
          <xdr:rowOff>19050</xdr:rowOff>
        </xdr:from>
        <xdr:to>
          <xdr:col>6</xdr:col>
          <xdr:colOff>1228725</xdr:colOff>
          <xdr:row>27</xdr:row>
          <xdr:rowOff>219075</xdr:rowOff>
        </xdr:to>
        <xdr:sp macro="" textlink="">
          <xdr:nvSpPr>
            <xdr:cNvPr id="65603" name="Check Box 67" hidden="1">
              <a:extLst>
                <a:ext uri="{63B3BB69-23CF-44E3-9099-C40C66FF867C}">
                  <a14:compatExt spid="_x0000_s65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CMV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28</xdr:row>
          <xdr:rowOff>19050</xdr:rowOff>
        </xdr:from>
        <xdr:to>
          <xdr:col>6</xdr:col>
          <xdr:colOff>1228725</xdr:colOff>
          <xdr:row>28</xdr:row>
          <xdr:rowOff>219075</xdr:rowOff>
        </xdr:to>
        <xdr:sp macro="" textlink="">
          <xdr:nvSpPr>
            <xdr:cNvPr id="65604" name="Check Box 68" hidden="1">
              <a:extLst>
                <a:ext uri="{63B3BB69-23CF-44E3-9099-C40C66FF867C}">
                  <a14:compatExt spid="_x0000_s65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Metabool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29</xdr:row>
          <xdr:rowOff>19050</xdr:rowOff>
        </xdr:from>
        <xdr:to>
          <xdr:col>6</xdr:col>
          <xdr:colOff>1228725</xdr:colOff>
          <xdr:row>29</xdr:row>
          <xdr:rowOff>219075</xdr:rowOff>
        </xdr:to>
        <xdr:sp macro="" textlink="">
          <xdr:nvSpPr>
            <xdr:cNvPr id="65605" name="Check Box 69" hidden="1">
              <a:extLst>
                <a:ext uri="{63B3BB69-23CF-44E3-9099-C40C66FF867C}">
                  <a14:compatExt spid="_x0000_s65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Rachitis screen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30</xdr:row>
          <xdr:rowOff>19050</xdr:rowOff>
        </xdr:from>
        <xdr:to>
          <xdr:col>5</xdr:col>
          <xdr:colOff>1228725</xdr:colOff>
          <xdr:row>30</xdr:row>
          <xdr:rowOff>219075</xdr:rowOff>
        </xdr:to>
        <xdr:sp macro="" textlink="">
          <xdr:nvSpPr>
            <xdr:cNvPr id="65648" name="Check Box 112" hidden="1">
              <a:extLst>
                <a:ext uri="{63B3BB69-23CF-44E3-9099-C40C66FF867C}">
                  <a14:compatExt spid="_x0000_s656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Wond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6</xdr:row>
          <xdr:rowOff>19050</xdr:rowOff>
        </xdr:from>
        <xdr:to>
          <xdr:col>8</xdr:col>
          <xdr:colOff>1228725</xdr:colOff>
          <xdr:row>6</xdr:row>
          <xdr:rowOff>219075</xdr:rowOff>
        </xdr:to>
        <xdr:sp macro="" textlink="">
          <xdr:nvSpPr>
            <xdr:cNvPr id="157813" name="Check Box 1141" hidden="1">
              <a:extLst>
                <a:ext uri="{63B3BB69-23CF-44E3-9099-C40C66FF867C}">
                  <a14:compatExt spid="_x0000_s157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8</xdr:row>
          <xdr:rowOff>47625</xdr:rowOff>
        </xdr:from>
        <xdr:to>
          <xdr:col>8</xdr:col>
          <xdr:colOff>1752600</xdr:colOff>
          <xdr:row>8</xdr:row>
          <xdr:rowOff>219075</xdr:rowOff>
        </xdr:to>
        <xdr:sp macro="" textlink="">
          <xdr:nvSpPr>
            <xdr:cNvPr id="157814" name="Check Box 1142" hidden="1">
              <a:extLst>
                <a:ext uri="{63B3BB69-23CF-44E3-9099-C40C66FF867C}">
                  <a14:compatExt spid="_x0000_s157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Fototherapie, stop per 17:00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9</xdr:row>
          <xdr:rowOff>19050</xdr:rowOff>
        </xdr:from>
        <xdr:to>
          <xdr:col>8</xdr:col>
          <xdr:colOff>1228725</xdr:colOff>
          <xdr:row>9</xdr:row>
          <xdr:rowOff>219075</xdr:rowOff>
        </xdr:to>
        <xdr:sp macro="" textlink="">
          <xdr:nvSpPr>
            <xdr:cNvPr id="157815" name="Check Box 1143" hidden="1">
              <a:extLst>
                <a:ext uri="{63B3BB69-23CF-44E3-9099-C40C66FF867C}">
                  <a14:compatExt spid="_x0000_s157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10</xdr:row>
          <xdr:rowOff>19050</xdr:rowOff>
        </xdr:from>
        <xdr:to>
          <xdr:col>8</xdr:col>
          <xdr:colOff>1228725</xdr:colOff>
          <xdr:row>10</xdr:row>
          <xdr:rowOff>219075</xdr:rowOff>
        </xdr:to>
        <xdr:sp macro="" textlink="">
          <xdr:nvSpPr>
            <xdr:cNvPr id="157816" name="Check Box 1144" hidden="1">
              <a:extLst>
                <a:ext uri="{63B3BB69-23CF-44E3-9099-C40C66FF867C}">
                  <a14:compatExt spid="_x0000_s157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Infuus, op 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11</xdr:row>
          <xdr:rowOff>19050</xdr:rowOff>
        </xdr:from>
        <xdr:to>
          <xdr:col>8</xdr:col>
          <xdr:colOff>1409700</xdr:colOff>
          <xdr:row>11</xdr:row>
          <xdr:rowOff>219075</xdr:rowOff>
        </xdr:to>
        <xdr:sp macro="" textlink="">
          <xdr:nvSpPr>
            <xdr:cNvPr id="157818" name="Check Box 1146" hidden="1">
              <a:extLst>
                <a:ext uri="{63B3BB69-23CF-44E3-9099-C40C66FF867C}">
                  <a14:compatExt spid="_x0000_s157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open en hoog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12</xdr:row>
          <xdr:rowOff>19050</xdr:rowOff>
        </xdr:from>
        <xdr:to>
          <xdr:col>8</xdr:col>
          <xdr:colOff>1228725</xdr:colOff>
          <xdr:row>12</xdr:row>
          <xdr:rowOff>219075</xdr:rowOff>
        </xdr:to>
        <xdr:sp macro="" textlink="">
          <xdr:nvSpPr>
            <xdr:cNvPr id="157819" name="Check Box 1147" hidden="1">
              <a:extLst>
                <a:ext uri="{63B3BB69-23CF-44E3-9099-C40C66FF867C}">
                  <a14:compatExt spid="_x0000_s157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in overleg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13</xdr:row>
          <xdr:rowOff>19050</xdr:rowOff>
        </xdr:from>
        <xdr:to>
          <xdr:col>8</xdr:col>
          <xdr:colOff>1228725</xdr:colOff>
          <xdr:row>13</xdr:row>
          <xdr:rowOff>219075</xdr:rowOff>
        </xdr:to>
        <xdr:sp macro="" textlink="">
          <xdr:nvSpPr>
            <xdr:cNvPr id="157820" name="Check Box 1148" hidden="1">
              <a:extLst>
                <a:ext uri="{63B3BB69-23CF-44E3-9099-C40C66FF867C}">
                  <a14:compatExt spid="_x0000_s157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na visite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14</xdr:row>
          <xdr:rowOff>19050</xdr:rowOff>
        </xdr:from>
        <xdr:to>
          <xdr:col>8</xdr:col>
          <xdr:colOff>1666875</xdr:colOff>
          <xdr:row>14</xdr:row>
          <xdr:rowOff>219075</xdr:rowOff>
        </xdr:to>
        <xdr:sp macro="" textlink="">
          <xdr:nvSpPr>
            <xdr:cNvPr id="157821" name="Check Box 1149" hidden="1">
              <a:extLst>
                <a:ext uri="{63B3BB69-23CF-44E3-9099-C40C66FF867C}">
                  <a14:compatExt spid="_x0000_s157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voor 10 uur akkoord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15</xdr:row>
          <xdr:rowOff>19050</xdr:rowOff>
        </xdr:from>
        <xdr:to>
          <xdr:col>8</xdr:col>
          <xdr:colOff>1228725</xdr:colOff>
          <xdr:row>15</xdr:row>
          <xdr:rowOff>219075</xdr:rowOff>
        </xdr:to>
        <xdr:sp macro="" textlink="">
          <xdr:nvSpPr>
            <xdr:cNvPr id="157822" name="Check Box 1150" hidden="1">
              <a:extLst>
                <a:ext uri="{63B3BB69-23CF-44E3-9099-C40C66FF867C}">
                  <a14:compatExt spid="_x0000_s157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Pacemakerdraden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17</xdr:row>
          <xdr:rowOff>19050</xdr:rowOff>
        </xdr:from>
        <xdr:to>
          <xdr:col>8</xdr:col>
          <xdr:colOff>1228725</xdr:colOff>
          <xdr:row>17</xdr:row>
          <xdr:rowOff>219075</xdr:rowOff>
        </xdr:to>
        <xdr:sp macro="" textlink="">
          <xdr:nvSpPr>
            <xdr:cNvPr id="157825" name="Check Box 1153" hidden="1">
              <a:extLst>
                <a:ext uri="{63B3BB69-23CF-44E3-9099-C40C66FF867C}">
                  <a14:compatExt spid="_x0000_s157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16</xdr:row>
          <xdr:rowOff>19050</xdr:rowOff>
        </xdr:from>
        <xdr:to>
          <xdr:col>8</xdr:col>
          <xdr:colOff>1228725</xdr:colOff>
          <xdr:row>16</xdr:row>
          <xdr:rowOff>219075</xdr:rowOff>
        </xdr:to>
        <xdr:sp macro="" textlink="">
          <xdr:nvSpPr>
            <xdr:cNvPr id="157827" name="Check Box 1155" hidden="1">
              <a:extLst>
                <a:ext uri="{63B3BB69-23CF-44E3-9099-C40C66FF867C}">
                  <a14:compatExt spid="_x0000_s157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Rickham punctie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22</xdr:row>
          <xdr:rowOff>19050</xdr:rowOff>
        </xdr:from>
        <xdr:to>
          <xdr:col>8</xdr:col>
          <xdr:colOff>1228725</xdr:colOff>
          <xdr:row>22</xdr:row>
          <xdr:rowOff>219075</xdr:rowOff>
        </xdr:to>
        <xdr:sp macro="" textlink="">
          <xdr:nvSpPr>
            <xdr:cNvPr id="157828" name="Check Box 1156" hidden="1">
              <a:extLst>
                <a:ext uri="{63B3BB69-23CF-44E3-9099-C40C66FF867C}">
                  <a14:compatExt spid="_x0000_s157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Verwijderen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22</xdr:row>
          <xdr:rowOff>19050</xdr:rowOff>
        </xdr:from>
        <xdr:to>
          <xdr:col>9</xdr:col>
          <xdr:colOff>923925</xdr:colOff>
          <xdr:row>22</xdr:row>
          <xdr:rowOff>219075</xdr:rowOff>
        </xdr:to>
        <xdr:sp macro="" textlink="">
          <xdr:nvSpPr>
            <xdr:cNvPr id="157829" name="Check Box 1157" hidden="1">
              <a:extLst>
                <a:ext uri="{63B3BB69-23CF-44E3-9099-C40C66FF867C}">
                  <a14:compatExt spid="_x0000_s157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23</xdr:row>
          <xdr:rowOff>19050</xdr:rowOff>
        </xdr:from>
        <xdr:to>
          <xdr:col>9</xdr:col>
          <xdr:colOff>923925</xdr:colOff>
          <xdr:row>23</xdr:row>
          <xdr:rowOff>219075</xdr:rowOff>
        </xdr:to>
        <xdr:sp macro="" textlink="">
          <xdr:nvSpPr>
            <xdr:cNvPr id="157830" name="Check Box 1158" hidden="1">
              <a:extLst>
                <a:ext uri="{63B3BB69-23CF-44E3-9099-C40C66FF867C}">
                  <a14:compatExt spid="_x0000_s157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NVL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24</xdr:row>
          <xdr:rowOff>19050</xdr:rowOff>
        </xdr:from>
        <xdr:to>
          <xdr:col>9</xdr:col>
          <xdr:colOff>923925</xdr:colOff>
          <xdr:row>24</xdr:row>
          <xdr:rowOff>219075</xdr:rowOff>
        </xdr:to>
        <xdr:sp macro="" textlink="">
          <xdr:nvSpPr>
            <xdr:cNvPr id="157831" name="Check Box 1159" hidden="1">
              <a:extLst>
                <a:ext uri="{63B3BB69-23CF-44E3-9099-C40C66FF867C}">
                  <a14:compatExt spid="_x0000_s157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25</xdr:row>
          <xdr:rowOff>19050</xdr:rowOff>
        </xdr:from>
        <xdr:to>
          <xdr:col>9</xdr:col>
          <xdr:colOff>923925</xdr:colOff>
          <xdr:row>25</xdr:row>
          <xdr:rowOff>219075</xdr:rowOff>
        </xdr:to>
        <xdr:sp macro="" textlink="">
          <xdr:nvSpPr>
            <xdr:cNvPr id="157832" name="Check Box 1160" hidden="1">
              <a:extLst>
                <a:ext uri="{63B3BB69-23CF-44E3-9099-C40C66FF867C}">
                  <a14:compatExt spid="_x0000_s157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18</xdr:row>
          <xdr:rowOff>19050</xdr:rowOff>
        </xdr:from>
        <xdr:to>
          <xdr:col>8</xdr:col>
          <xdr:colOff>1228725</xdr:colOff>
          <xdr:row>18</xdr:row>
          <xdr:rowOff>219075</xdr:rowOff>
        </xdr:to>
        <xdr:sp macro="" textlink="">
          <xdr:nvSpPr>
            <xdr:cNvPr id="157833" name="Check Box 1161" hidden="1">
              <a:extLst>
                <a:ext uri="{63B3BB69-23CF-44E3-9099-C40C66FF867C}">
                  <a14:compatExt spid="_x0000_s157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19</xdr:row>
          <xdr:rowOff>19050</xdr:rowOff>
        </xdr:from>
        <xdr:to>
          <xdr:col>9</xdr:col>
          <xdr:colOff>923925</xdr:colOff>
          <xdr:row>19</xdr:row>
          <xdr:rowOff>219075</xdr:rowOff>
        </xdr:to>
        <xdr:sp macro="" textlink="">
          <xdr:nvSpPr>
            <xdr:cNvPr id="157835" name="Check Box 1163" hidden="1">
              <a:extLst>
                <a:ext uri="{63B3BB69-23CF-44E3-9099-C40C66FF867C}">
                  <a14:compatExt spid="_x0000_s1578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Ringerslactaat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20</xdr:row>
          <xdr:rowOff>19050</xdr:rowOff>
        </xdr:from>
        <xdr:to>
          <xdr:col>9</xdr:col>
          <xdr:colOff>923925</xdr:colOff>
          <xdr:row>20</xdr:row>
          <xdr:rowOff>219075</xdr:rowOff>
        </xdr:to>
        <xdr:sp macro="" textlink="">
          <xdr:nvSpPr>
            <xdr:cNvPr id="157836" name="Check Box 1164" hidden="1">
              <a:extLst>
                <a:ext uri="{63B3BB69-23CF-44E3-9099-C40C66FF867C}">
                  <a14:compatExt spid="_x0000_s157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NaCl 0,9%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21</xdr:row>
          <xdr:rowOff>19050</xdr:rowOff>
        </xdr:from>
        <xdr:to>
          <xdr:col>9</xdr:col>
          <xdr:colOff>923925</xdr:colOff>
          <xdr:row>21</xdr:row>
          <xdr:rowOff>219075</xdr:rowOff>
        </xdr:to>
        <xdr:sp macro="" textlink="">
          <xdr:nvSpPr>
            <xdr:cNvPr id="157837" name="Check Box 1165" hidden="1">
              <a:extLst>
                <a:ext uri="{63B3BB69-23CF-44E3-9099-C40C66FF867C}">
                  <a14:compatExt spid="_x0000_s157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FFP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11</xdr:row>
          <xdr:rowOff>28575</xdr:rowOff>
        </xdr:from>
        <xdr:to>
          <xdr:col>2</xdr:col>
          <xdr:colOff>714375</xdr:colOff>
          <xdr:row>11</xdr:row>
          <xdr:rowOff>209550</xdr:rowOff>
        </xdr:to>
        <xdr:sp macro="" textlink="">
          <xdr:nvSpPr>
            <xdr:cNvPr id="157838" name="Spinner 1166" hidden="1">
              <a:extLst>
                <a:ext uri="{63B3BB69-23CF-44E3-9099-C40C66FF867C}">
                  <a14:compatExt spid="_x0000_s157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752475</xdr:colOff>
          <xdr:row>16</xdr:row>
          <xdr:rowOff>38100</xdr:rowOff>
        </xdr:from>
        <xdr:to>
          <xdr:col>9</xdr:col>
          <xdr:colOff>933450</xdr:colOff>
          <xdr:row>16</xdr:row>
          <xdr:rowOff>219075</xdr:rowOff>
        </xdr:to>
        <xdr:sp macro="" textlink="">
          <xdr:nvSpPr>
            <xdr:cNvPr id="157840" name="Spinner 1168" hidden="1">
              <a:extLst>
                <a:ext uri="{63B3BB69-23CF-44E3-9099-C40C66FF867C}">
                  <a14:compatExt spid="_x0000_s1578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628650</xdr:colOff>
          <xdr:row>16</xdr:row>
          <xdr:rowOff>19050</xdr:rowOff>
        </xdr:from>
        <xdr:to>
          <xdr:col>10</xdr:col>
          <xdr:colOff>809625</xdr:colOff>
          <xdr:row>16</xdr:row>
          <xdr:rowOff>200025</xdr:rowOff>
        </xdr:to>
        <xdr:sp macro="" textlink="">
          <xdr:nvSpPr>
            <xdr:cNvPr id="157841" name="Spinner 1169" hidden="1">
              <a:extLst>
                <a:ext uri="{63B3BB69-23CF-44E3-9099-C40C66FF867C}">
                  <a14:compatExt spid="_x0000_s157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26</xdr:row>
          <xdr:rowOff>19050</xdr:rowOff>
        </xdr:from>
        <xdr:to>
          <xdr:col>1</xdr:col>
          <xdr:colOff>1228725</xdr:colOff>
          <xdr:row>26</xdr:row>
          <xdr:rowOff>219075</xdr:rowOff>
        </xdr:to>
        <xdr:sp macro="" textlink="">
          <xdr:nvSpPr>
            <xdr:cNvPr id="157842" name="Check Box 1170" hidden="1">
              <a:extLst>
                <a:ext uri="{63B3BB69-23CF-44E3-9099-C40C66FF867C}">
                  <a14:compatExt spid="_x0000_s157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27</xdr:row>
          <xdr:rowOff>19050</xdr:rowOff>
        </xdr:from>
        <xdr:to>
          <xdr:col>1</xdr:col>
          <xdr:colOff>1228725</xdr:colOff>
          <xdr:row>27</xdr:row>
          <xdr:rowOff>219075</xdr:rowOff>
        </xdr:to>
        <xdr:sp macro="" textlink="">
          <xdr:nvSpPr>
            <xdr:cNvPr id="157843" name="Check Box 1171" hidden="1">
              <a:extLst>
                <a:ext uri="{63B3BB69-23CF-44E3-9099-C40C66FF867C}">
                  <a14:compatExt spid="_x0000_s157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28</xdr:row>
          <xdr:rowOff>28575</xdr:rowOff>
        </xdr:from>
        <xdr:to>
          <xdr:col>1</xdr:col>
          <xdr:colOff>1562100</xdr:colOff>
          <xdr:row>28</xdr:row>
          <xdr:rowOff>219075</xdr:rowOff>
        </xdr:to>
        <xdr:sp macro="" textlink="">
          <xdr:nvSpPr>
            <xdr:cNvPr id="157844" name="Check Box 1172" hidden="1">
              <a:extLst>
                <a:ext uri="{63B3BB69-23CF-44E3-9099-C40C66FF867C}">
                  <a14:compatExt spid="_x0000_s157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29</xdr:row>
          <xdr:rowOff>19050</xdr:rowOff>
        </xdr:from>
        <xdr:to>
          <xdr:col>1</xdr:col>
          <xdr:colOff>1228725</xdr:colOff>
          <xdr:row>29</xdr:row>
          <xdr:rowOff>219075</xdr:rowOff>
        </xdr:to>
        <xdr:sp macro="" textlink="">
          <xdr:nvSpPr>
            <xdr:cNvPr id="157845" name="Check Box 1173" hidden="1">
              <a:extLst>
                <a:ext uri="{63B3BB69-23CF-44E3-9099-C40C66FF867C}">
                  <a14:compatExt spid="_x0000_s157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nier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34</xdr:row>
          <xdr:rowOff>19050</xdr:rowOff>
        </xdr:from>
        <xdr:to>
          <xdr:col>1</xdr:col>
          <xdr:colOff>1228725</xdr:colOff>
          <xdr:row>34</xdr:row>
          <xdr:rowOff>219075</xdr:rowOff>
        </xdr:to>
        <xdr:sp macro="" textlink="">
          <xdr:nvSpPr>
            <xdr:cNvPr id="157848" name="Check Box 1176" hidden="1">
              <a:extLst>
                <a:ext uri="{63B3BB69-23CF-44E3-9099-C40C66FF867C}">
                  <a14:compatExt spid="_x0000_s1578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0</xdr:rowOff>
        </xdr:from>
        <xdr:to>
          <xdr:col>2</xdr:col>
          <xdr:colOff>1019175</xdr:colOff>
          <xdr:row>35</xdr:row>
          <xdr:rowOff>200025</xdr:rowOff>
        </xdr:to>
        <xdr:sp macro="" textlink="">
          <xdr:nvSpPr>
            <xdr:cNvPr id="157849" name="Check Box 1177" hidden="1">
              <a:extLst>
                <a:ext uri="{63B3BB69-23CF-44E3-9099-C40C66FF867C}">
                  <a14:compatExt spid="_x0000_s157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0</xdr:rowOff>
        </xdr:from>
        <xdr:to>
          <xdr:col>2</xdr:col>
          <xdr:colOff>1019175</xdr:colOff>
          <xdr:row>35</xdr:row>
          <xdr:rowOff>200025</xdr:rowOff>
        </xdr:to>
        <xdr:sp macro="" textlink="">
          <xdr:nvSpPr>
            <xdr:cNvPr id="157850" name="Check Box 1178" hidden="1">
              <a:extLst>
                <a:ext uri="{63B3BB69-23CF-44E3-9099-C40C66FF867C}">
                  <a14:compatExt spid="_x0000_s157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9525</xdr:rowOff>
        </xdr:from>
        <xdr:to>
          <xdr:col>2</xdr:col>
          <xdr:colOff>923925</xdr:colOff>
          <xdr:row>34</xdr:row>
          <xdr:rowOff>219075</xdr:rowOff>
        </xdr:to>
        <xdr:sp macro="" textlink="">
          <xdr:nvSpPr>
            <xdr:cNvPr id="157851" name="Drop Down 1179" hidden="1">
              <a:extLst>
                <a:ext uri="{63B3BB69-23CF-44E3-9099-C40C66FF867C}">
                  <a14:compatExt spid="_x0000_s157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35</xdr:row>
          <xdr:rowOff>19050</xdr:rowOff>
        </xdr:from>
        <xdr:to>
          <xdr:col>1</xdr:col>
          <xdr:colOff>1228725</xdr:colOff>
          <xdr:row>35</xdr:row>
          <xdr:rowOff>219075</xdr:rowOff>
        </xdr:to>
        <xdr:sp macro="" textlink="">
          <xdr:nvSpPr>
            <xdr:cNvPr id="157859" name="Check Box 1187" hidden="1">
              <a:extLst>
                <a:ext uri="{63B3BB69-23CF-44E3-9099-C40C66FF867C}">
                  <a14:compatExt spid="_x0000_s157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9525</xdr:rowOff>
        </xdr:from>
        <xdr:to>
          <xdr:col>2</xdr:col>
          <xdr:colOff>923925</xdr:colOff>
          <xdr:row>35</xdr:row>
          <xdr:rowOff>219075</xdr:rowOff>
        </xdr:to>
        <xdr:sp macro="" textlink="">
          <xdr:nvSpPr>
            <xdr:cNvPr id="157862" name="Drop Down 1190" hidden="1">
              <a:extLst>
                <a:ext uri="{63B3BB69-23CF-44E3-9099-C40C66FF867C}">
                  <a14:compatExt spid="_x0000_s1578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</xdr:row>
          <xdr:rowOff>19050</xdr:rowOff>
        </xdr:from>
        <xdr:to>
          <xdr:col>1</xdr:col>
          <xdr:colOff>1228725</xdr:colOff>
          <xdr:row>6</xdr:row>
          <xdr:rowOff>219075</xdr:rowOff>
        </xdr:to>
        <xdr:sp macro="" textlink="">
          <xdr:nvSpPr>
            <xdr:cNvPr id="157865" name="Check Box 1193" hidden="1">
              <a:extLst>
                <a:ext uri="{63B3BB69-23CF-44E3-9099-C40C66FF867C}">
                  <a14:compatExt spid="_x0000_s157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Finnigan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19050</xdr:rowOff>
        </xdr:from>
        <xdr:to>
          <xdr:col>1</xdr:col>
          <xdr:colOff>1228725</xdr:colOff>
          <xdr:row>7</xdr:row>
          <xdr:rowOff>219075</xdr:rowOff>
        </xdr:to>
        <xdr:sp macro="" textlink="">
          <xdr:nvSpPr>
            <xdr:cNvPr id="157869" name="Check Box 1197" hidden="1">
              <a:extLst>
                <a:ext uri="{63B3BB69-23CF-44E3-9099-C40C66FF867C}">
                  <a14:compatExt spid="_x0000_s1578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8</xdr:row>
          <xdr:rowOff>19050</xdr:rowOff>
        </xdr:from>
        <xdr:to>
          <xdr:col>1</xdr:col>
          <xdr:colOff>1228725</xdr:colOff>
          <xdr:row>8</xdr:row>
          <xdr:rowOff>219075</xdr:rowOff>
        </xdr:to>
        <xdr:sp macro="" textlink="">
          <xdr:nvSpPr>
            <xdr:cNvPr id="157870" name="Check Box 1198" hidden="1">
              <a:extLst>
                <a:ext uri="{63B3BB69-23CF-44E3-9099-C40C66FF867C}">
                  <a14:compatExt spid="_x0000_s1578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19050</xdr:rowOff>
        </xdr:from>
        <xdr:to>
          <xdr:col>1</xdr:col>
          <xdr:colOff>1228725</xdr:colOff>
          <xdr:row>10</xdr:row>
          <xdr:rowOff>219075</xdr:rowOff>
        </xdr:to>
        <xdr:sp macro="" textlink="">
          <xdr:nvSpPr>
            <xdr:cNvPr id="157873" name="Check Box 1201" hidden="1">
              <a:extLst>
                <a:ext uri="{63B3BB69-23CF-44E3-9099-C40C66FF867C}">
                  <a14:compatExt spid="_x0000_s157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1228725</xdr:colOff>
          <xdr:row>21</xdr:row>
          <xdr:rowOff>219075</xdr:rowOff>
        </xdr:to>
        <xdr:sp macro="" textlink="">
          <xdr:nvSpPr>
            <xdr:cNvPr id="157877" name="Check Box 1205" hidden="1">
              <a:extLst>
                <a:ext uri="{63B3BB69-23CF-44E3-9099-C40C66FF867C}">
                  <a14:compatExt spid="_x0000_s157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aEEG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9525</xdr:rowOff>
        </xdr:from>
        <xdr:to>
          <xdr:col>2</xdr:col>
          <xdr:colOff>923925</xdr:colOff>
          <xdr:row>21</xdr:row>
          <xdr:rowOff>219075</xdr:rowOff>
        </xdr:to>
        <xdr:sp macro="" textlink="">
          <xdr:nvSpPr>
            <xdr:cNvPr id="157878" name="Drop Down 1206" hidden="1">
              <a:extLst>
                <a:ext uri="{63B3BB69-23CF-44E3-9099-C40C66FF867C}">
                  <a14:compatExt spid="_x0000_s157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1228725</xdr:colOff>
          <xdr:row>22</xdr:row>
          <xdr:rowOff>219075</xdr:rowOff>
        </xdr:to>
        <xdr:sp macro="" textlink="">
          <xdr:nvSpPr>
            <xdr:cNvPr id="157879" name="Check Box 1207" hidden="1">
              <a:extLst>
                <a:ext uri="{63B3BB69-23CF-44E3-9099-C40C66FF867C}">
                  <a14:compatExt spid="_x0000_s157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CT scan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24</xdr:row>
          <xdr:rowOff>19050</xdr:rowOff>
        </xdr:from>
        <xdr:to>
          <xdr:col>1</xdr:col>
          <xdr:colOff>1228725</xdr:colOff>
          <xdr:row>24</xdr:row>
          <xdr:rowOff>219075</xdr:rowOff>
        </xdr:to>
        <xdr:sp macro="" textlink="">
          <xdr:nvSpPr>
            <xdr:cNvPr id="157881" name="Check Box 1209" hidden="1">
              <a:extLst>
                <a:ext uri="{63B3BB69-23CF-44E3-9099-C40C66FF867C}">
                  <a14:compatExt spid="_x0000_s157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buik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25</xdr:row>
          <xdr:rowOff>19050</xdr:rowOff>
        </xdr:from>
        <xdr:to>
          <xdr:col>1</xdr:col>
          <xdr:colOff>1228725</xdr:colOff>
          <xdr:row>25</xdr:row>
          <xdr:rowOff>219075</xdr:rowOff>
        </xdr:to>
        <xdr:sp macro="" textlink="">
          <xdr:nvSpPr>
            <xdr:cNvPr id="157882" name="Check Box 1210" hidden="1">
              <a:extLst>
                <a:ext uri="{63B3BB69-23CF-44E3-9099-C40C66FF867C}">
                  <a14:compatExt spid="_x0000_s157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hart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23</xdr:row>
          <xdr:rowOff>19050</xdr:rowOff>
        </xdr:from>
        <xdr:to>
          <xdr:col>1</xdr:col>
          <xdr:colOff>1228725</xdr:colOff>
          <xdr:row>23</xdr:row>
          <xdr:rowOff>219075</xdr:rowOff>
        </xdr:to>
        <xdr:sp macro="" textlink="">
          <xdr:nvSpPr>
            <xdr:cNvPr id="157883" name="Check Box 1211" hidden="1">
              <a:extLst>
                <a:ext uri="{63B3BB69-23CF-44E3-9099-C40C66FF867C}">
                  <a14:compatExt spid="_x0000_s157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30</xdr:row>
          <xdr:rowOff>19050</xdr:rowOff>
        </xdr:from>
        <xdr:to>
          <xdr:col>1</xdr:col>
          <xdr:colOff>1228725</xdr:colOff>
          <xdr:row>30</xdr:row>
          <xdr:rowOff>219075</xdr:rowOff>
        </xdr:to>
        <xdr:sp macro="" textlink="">
          <xdr:nvSpPr>
            <xdr:cNvPr id="157886" name="Check Box 1214" hidden="1">
              <a:extLst>
                <a:ext uri="{63B3BB69-23CF-44E3-9099-C40C66FF867C}">
                  <a14:compatExt spid="_x0000_s157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X-BOZ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31</xdr:row>
          <xdr:rowOff>19050</xdr:rowOff>
        </xdr:from>
        <xdr:to>
          <xdr:col>1</xdr:col>
          <xdr:colOff>1228725</xdr:colOff>
          <xdr:row>31</xdr:row>
          <xdr:rowOff>219075</xdr:rowOff>
        </xdr:to>
        <xdr:sp macro="" textlink="">
          <xdr:nvSpPr>
            <xdr:cNvPr id="157887" name="Check Box 1215" hidden="1">
              <a:extLst>
                <a:ext uri="{63B3BB69-23CF-44E3-9099-C40C66FF867C}">
                  <a14:compatExt spid="_x0000_s157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X-thorax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11</xdr:row>
          <xdr:rowOff>19050</xdr:rowOff>
        </xdr:from>
        <xdr:to>
          <xdr:col>1</xdr:col>
          <xdr:colOff>1228725</xdr:colOff>
          <xdr:row>11</xdr:row>
          <xdr:rowOff>219075</xdr:rowOff>
        </xdr:to>
        <xdr:sp macro="" textlink="">
          <xdr:nvSpPr>
            <xdr:cNvPr id="157891" name="Check Box 1219" hidden="1">
              <a:extLst>
                <a:ext uri="{63B3BB69-23CF-44E3-9099-C40C66FF867C}">
                  <a14:compatExt spid="_x0000_s1578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15</xdr:row>
          <xdr:rowOff>19050</xdr:rowOff>
        </xdr:from>
        <xdr:to>
          <xdr:col>1</xdr:col>
          <xdr:colOff>1495425</xdr:colOff>
          <xdr:row>15</xdr:row>
          <xdr:rowOff>219075</xdr:rowOff>
        </xdr:to>
        <xdr:sp macro="" textlink="">
          <xdr:nvSpPr>
            <xdr:cNvPr id="157897" name="Check Box 1225" hidden="1">
              <a:extLst>
                <a:ext uri="{63B3BB69-23CF-44E3-9099-C40C66FF867C}">
                  <a14:compatExt spid="_x0000_s157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16</xdr:row>
          <xdr:rowOff>19050</xdr:rowOff>
        </xdr:from>
        <xdr:to>
          <xdr:col>1</xdr:col>
          <xdr:colOff>1495425</xdr:colOff>
          <xdr:row>16</xdr:row>
          <xdr:rowOff>219075</xdr:rowOff>
        </xdr:to>
        <xdr:sp macro="" textlink="">
          <xdr:nvSpPr>
            <xdr:cNvPr id="157898" name="Check Box 1226" hidden="1">
              <a:extLst>
                <a:ext uri="{63B3BB69-23CF-44E3-9099-C40C66FF867C}">
                  <a14:compatExt spid="_x0000_s157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17</xdr:row>
          <xdr:rowOff>19050</xdr:rowOff>
        </xdr:from>
        <xdr:to>
          <xdr:col>1</xdr:col>
          <xdr:colOff>1495425</xdr:colOff>
          <xdr:row>17</xdr:row>
          <xdr:rowOff>219075</xdr:rowOff>
        </xdr:to>
        <xdr:sp macro="" textlink="">
          <xdr:nvSpPr>
            <xdr:cNvPr id="157899" name="Check Box 1227" hidden="1">
              <a:extLst>
                <a:ext uri="{63B3BB69-23CF-44E3-9099-C40C66FF867C}">
                  <a14:compatExt spid="_x0000_s1578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1228725</xdr:colOff>
          <xdr:row>18</xdr:row>
          <xdr:rowOff>219075</xdr:rowOff>
        </xdr:to>
        <xdr:sp macro="" textlink="">
          <xdr:nvSpPr>
            <xdr:cNvPr id="157901" name="Check Box 1229" hidden="1">
              <a:extLst>
                <a:ext uri="{63B3BB69-23CF-44E3-9099-C40C66FF867C}">
                  <a14:compatExt spid="_x0000_s157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Vochtbalans 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19050</xdr:rowOff>
        </xdr:from>
        <xdr:to>
          <xdr:col>3</xdr:col>
          <xdr:colOff>923925</xdr:colOff>
          <xdr:row>11</xdr:row>
          <xdr:rowOff>219075</xdr:rowOff>
        </xdr:to>
        <xdr:sp macro="" textlink="">
          <xdr:nvSpPr>
            <xdr:cNvPr id="157903" name="Check Box 1231" hidden="1">
              <a:extLst>
                <a:ext uri="{63B3BB69-23CF-44E3-9099-C40C66FF867C}">
                  <a14:compatExt spid="_x0000_s157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19050</xdr:rowOff>
        </xdr:from>
        <xdr:to>
          <xdr:col>3</xdr:col>
          <xdr:colOff>923925</xdr:colOff>
          <xdr:row>12</xdr:row>
          <xdr:rowOff>219075</xdr:rowOff>
        </xdr:to>
        <xdr:sp macro="" textlink="">
          <xdr:nvSpPr>
            <xdr:cNvPr id="157904" name="Check Box 1232" hidden="1">
              <a:extLst>
                <a:ext uri="{63B3BB69-23CF-44E3-9099-C40C66FF867C}">
                  <a14:compatExt spid="_x0000_s157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19050</xdr:rowOff>
        </xdr:from>
        <xdr:to>
          <xdr:col>3</xdr:col>
          <xdr:colOff>923925</xdr:colOff>
          <xdr:row>13</xdr:row>
          <xdr:rowOff>219075</xdr:rowOff>
        </xdr:to>
        <xdr:sp macro="" textlink="">
          <xdr:nvSpPr>
            <xdr:cNvPr id="157905" name="Check Box 1233" hidden="1">
              <a:extLst>
                <a:ext uri="{63B3BB69-23CF-44E3-9099-C40C66FF867C}">
                  <a14:compatExt spid="_x0000_s157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14</xdr:row>
          <xdr:rowOff>19050</xdr:rowOff>
        </xdr:from>
        <xdr:to>
          <xdr:col>3</xdr:col>
          <xdr:colOff>923925</xdr:colOff>
          <xdr:row>14</xdr:row>
          <xdr:rowOff>219075</xdr:rowOff>
        </xdr:to>
        <xdr:sp macro="" textlink="">
          <xdr:nvSpPr>
            <xdr:cNvPr id="157906" name="Check Box 1234" hidden="1">
              <a:extLst>
                <a:ext uri="{63B3BB69-23CF-44E3-9099-C40C66FF867C}">
                  <a14:compatExt spid="_x0000_s1579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752475</xdr:colOff>
          <xdr:row>26</xdr:row>
          <xdr:rowOff>28575</xdr:rowOff>
        </xdr:from>
        <xdr:to>
          <xdr:col>3</xdr:col>
          <xdr:colOff>933450</xdr:colOff>
          <xdr:row>26</xdr:row>
          <xdr:rowOff>209550</xdr:rowOff>
        </xdr:to>
        <xdr:sp macro="" textlink="">
          <xdr:nvSpPr>
            <xdr:cNvPr id="157907" name="Spinner 1235" hidden="1">
              <a:extLst>
                <a:ext uri="{63B3BB69-23CF-44E3-9099-C40C66FF867C}">
                  <a14:compatExt spid="_x0000_s157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0</xdr:colOff>
      <xdr:row>30</xdr:row>
      <xdr:rowOff>19050</xdr:rowOff>
    </xdr:from>
    <xdr:to>
      <xdr:col>7</xdr:col>
      <xdr:colOff>914400</xdr:colOff>
      <xdr:row>32</xdr:row>
      <xdr:rowOff>190500</xdr:rowOff>
    </xdr:to>
    <xdr:sp macro="[0]!NeoAfspr_WondText" textlink="">
      <xdr:nvSpPr>
        <xdr:cNvPr id="192" name="Rectangle 165"/>
        <xdr:cNvSpPr>
          <a:spLocks noChangeArrowheads="1"/>
        </xdr:cNvSpPr>
      </xdr:nvSpPr>
      <xdr:spPr bwMode="auto">
        <a:xfrm>
          <a:off x="5848350" y="6648450"/>
          <a:ext cx="2371725" cy="6286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34</xdr:row>
          <xdr:rowOff>9525</xdr:rowOff>
        </xdr:from>
        <xdr:to>
          <xdr:col>4</xdr:col>
          <xdr:colOff>923925</xdr:colOff>
          <xdr:row>34</xdr:row>
          <xdr:rowOff>219075</xdr:rowOff>
        </xdr:to>
        <xdr:sp macro="" textlink="">
          <xdr:nvSpPr>
            <xdr:cNvPr id="157909" name="Drop Down 1237" hidden="1">
              <a:extLst>
                <a:ext uri="{63B3BB69-23CF-44E3-9099-C40C66FF867C}">
                  <a14:compatExt spid="_x0000_s1579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35</xdr:row>
          <xdr:rowOff>9525</xdr:rowOff>
        </xdr:from>
        <xdr:to>
          <xdr:col>4</xdr:col>
          <xdr:colOff>923925</xdr:colOff>
          <xdr:row>35</xdr:row>
          <xdr:rowOff>219075</xdr:rowOff>
        </xdr:to>
        <xdr:sp macro="" textlink="">
          <xdr:nvSpPr>
            <xdr:cNvPr id="157910" name="Drop Down 1238" hidden="1">
              <a:extLst>
                <a:ext uri="{63B3BB69-23CF-44E3-9099-C40C66FF867C}">
                  <a14:compatExt spid="_x0000_s1579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57911" name="Drop Down 1239" hidden="1">
              <a:extLst>
                <a:ext uri="{63B3BB69-23CF-44E3-9099-C40C66FF867C}">
                  <a14:compatExt spid="_x0000_s1579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9525</xdr:rowOff>
        </xdr:from>
        <xdr:to>
          <xdr:col>3</xdr:col>
          <xdr:colOff>923925</xdr:colOff>
          <xdr:row>35</xdr:row>
          <xdr:rowOff>219075</xdr:rowOff>
        </xdr:to>
        <xdr:sp macro="" textlink="">
          <xdr:nvSpPr>
            <xdr:cNvPr id="157912" name="Drop Down 1240" hidden="1">
              <a:extLst>
                <a:ext uri="{63B3BB69-23CF-44E3-9099-C40C66FF867C}">
                  <a14:compatExt spid="_x0000_s157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0</xdr:rowOff>
        </xdr:from>
        <xdr:to>
          <xdr:col>2</xdr:col>
          <xdr:colOff>1019175</xdr:colOff>
          <xdr:row>36</xdr:row>
          <xdr:rowOff>200025</xdr:rowOff>
        </xdr:to>
        <xdr:sp macro="" textlink="">
          <xdr:nvSpPr>
            <xdr:cNvPr id="157913" name="Check Box 1241" hidden="1">
              <a:extLst>
                <a:ext uri="{63B3BB69-23CF-44E3-9099-C40C66FF867C}">
                  <a14:compatExt spid="_x0000_s157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0</xdr:rowOff>
        </xdr:from>
        <xdr:to>
          <xdr:col>2</xdr:col>
          <xdr:colOff>1019175</xdr:colOff>
          <xdr:row>36</xdr:row>
          <xdr:rowOff>200025</xdr:rowOff>
        </xdr:to>
        <xdr:sp macro="" textlink="">
          <xdr:nvSpPr>
            <xdr:cNvPr id="157914" name="Check Box 1242" hidden="1">
              <a:extLst>
                <a:ext uri="{63B3BB69-23CF-44E3-9099-C40C66FF867C}">
                  <a14:compatExt spid="_x0000_s157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1228725</xdr:colOff>
          <xdr:row>36</xdr:row>
          <xdr:rowOff>219075</xdr:rowOff>
        </xdr:to>
        <xdr:sp macro="" textlink="">
          <xdr:nvSpPr>
            <xdr:cNvPr id="157915" name="Check Box 1243" hidden="1">
              <a:extLst>
                <a:ext uri="{63B3BB69-23CF-44E3-9099-C40C66FF867C}">
                  <a14:compatExt spid="_x0000_s1579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9525</xdr:rowOff>
        </xdr:from>
        <xdr:to>
          <xdr:col>2</xdr:col>
          <xdr:colOff>923925</xdr:colOff>
          <xdr:row>36</xdr:row>
          <xdr:rowOff>219075</xdr:rowOff>
        </xdr:to>
        <xdr:sp macro="" textlink="">
          <xdr:nvSpPr>
            <xdr:cNvPr id="157916" name="Drop Down 1244" hidden="1">
              <a:extLst>
                <a:ext uri="{63B3BB69-23CF-44E3-9099-C40C66FF867C}">
                  <a14:compatExt spid="_x0000_s1579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36</xdr:row>
          <xdr:rowOff>9525</xdr:rowOff>
        </xdr:from>
        <xdr:to>
          <xdr:col>4</xdr:col>
          <xdr:colOff>923925</xdr:colOff>
          <xdr:row>36</xdr:row>
          <xdr:rowOff>219075</xdr:rowOff>
        </xdr:to>
        <xdr:sp macro="" textlink="">
          <xdr:nvSpPr>
            <xdr:cNvPr id="157917" name="Drop Down 1245" hidden="1">
              <a:extLst>
                <a:ext uri="{63B3BB69-23CF-44E3-9099-C40C66FF867C}">
                  <a14:compatExt spid="_x0000_s157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9525</xdr:rowOff>
        </xdr:from>
        <xdr:to>
          <xdr:col>3</xdr:col>
          <xdr:colOff>923925</xdr:colOff>
          <xdr:row>36</xdr:row>
          <xdr:rowOff>219075</xdr:rowOff>
        </xdr:to>
        <xdr:sp macro="" textlink="">
          <xdr:nvSpPr>
            <xdr:cNvPr id="157918" name="Drop Down 1246" hidden="1">
              <a:extLst>
                <a:ext uri="{63B3BB69-23CF-44E3-9099-C40C66FF867C}">
                  <a14:compatExt spid="_x0000_s1579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37</xdr:row>
          <xdr:rowOff>19050</xdr:rowOff>
        </xdr:from>
        <xdr:to>
          <xdr:col>1</xdr:col>
          <xdr:colOff>1228725</xdr:colOff>
          <xdr:row>37</xdr:row>
          <xdr:rowOff>219075</xdr:rowOff>
        </xdr:to>
        <xdr:sp macro="" textlink="">
          <xdr:nvSpPr>
            <xdr:cNvPr id="157919" name="Check Box 1247" hidden="1">
              <a:extLst>
                <a:ext uri="{63B3BB69-23CF-44E3-9099-C40C66FF867C}">
                  <a14:compatExt spid="_x0000_s157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39</xdr:row>
          <xdr:rowOff>19050</xdr:rowOff>
        </xdr:from>
        <xdr:to>
          <xdr:col>1</xdr:col>
          <xdr:colOff>1228725</xdr:colOff>
          <xdr:row>39</xdr:row>
          <xdr:rowOff>219075</xdr:rowOff>
        </xdr:to>
        <xdr:sp macro="" textlink="">
          <xdr:nvSpPr>
            <xdr:cNvPr id="157921" name="Check Box 1249" hidden="1">
              <a:extLst>
                <a:ext uri="{63B3BB69-23CF-44E3-9099-C40C66FF867C}">
                  <a14:compatExt spid="_x0000_s157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1228725</xdr:colOff>
          <xdr:row>38</xdr:row>
          <xdr:rowOff>219075</xdr:rowOff>
        </xdr:to>
        <xdr:sp macro="" textlink="">
          <xdr:nvSpPr>
            <xdr:cNvPr id="157922" name="Check Box 1250" hidden="1">
              <a:extLst>
                <a:ext uri="{63B3BB69-23CF-44E3-9099-C40C66FF867C}">
                  <a14:compatExt spid="_x0000_s157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37</xdr:row>
          <xdr:rowOff>19050</xdr:rowOff>
        </xdr:from>
        <xdr:to>
          <xdr:col>3</xdr:col>
          <xdr:colOff>142875</xdr:colOff>
          <xdr:row>37</xdr:row>
          <xdr:rowOff>219075</xdr:rowOff>
        </xdr:to>
        <xdr:sp macro="" textlink="">
          <xdr:nvSpPr>
            <xdr:cNvPr id="157923" name="Check Box 1251" hidden="1">
              <a:extLst>
                <a:ext uri="{63B3BB69-23CF-44E3-9099-C40C66FF867C}">
                  <a14:compatExt spid="_x0000_s157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38</xdr:row>
          <xdr:rowOff>19050</xdr:rowOff>
        </xdr:from>
        <xdr:to>
          <xdr:col>3</xdr:col>
          <xdr:colOff>142875</xdr:colOff>
          <xdr:row>38</xdr:row>
          <xdr:rowOff>219075</xdr:rowOff>
        </xdr:to>
        <xdr:sp macro="" textlink="">
          <xdr:nvSpPr>
            <xdr:cNvPr id="157924" name="Check Box 1252" hidden="1">
              <a:extLst>
                <a:ext uri="{63B3BB69-23CF-44E3-9099-C40C66FF867C}">
                  <a14:compatExt spid="_x0000_s1579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39</xdr:row>
          <xdr:rowOff>19050</xdr:rowOff>
        </xdr:from>
        <xdr:to>
          <xdr:col>3</xdr:col>
          <xdr:colOff>142875</xdr:colOff>
          <xdr:row>39</xdr:row>
          <xdr:rowOff>219075</xdr:rowOff>
        </xdr:to>
        <xdr:sp macro="" textlink="">
          <xdr:nvSpPr>
            <xdr:cNvPr id="157925" name="Check Box 1253" hidden="1">
              <a:extLst>
                <a:ext uri="{63B3BB69-23CF-44E3-9099-C40C66FF867C}">
                  <a14:compatExt spid="_x0000_s1579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40</xdr:row>
          <xdr:rowOff>9525</xdr:rowOff>
        </xdr:from>
        <xdr:to>
          <xdr:col>2</xdr:col>
          <xdr:colOff>923925</xdr:colOff>
          <xdr:row>40</xdr:row>
          <xdr:rowOff>219075</xdr:rowOff>
        </xdr:to>
        <xdr:sp macro="" textlink="">
          <xdr:nvSpPr>
            <xdr:cNvPr id="157927" name="Drop Down 1255" hidden="1">
              <a:extLst>
                <a:ext uri="{63B3BB69-23CF-44E3-9099-C40C66FF867C}">
                  <a14:compatExt spid="_x0000_s157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40</xdr:row>
          <xdr:rowOff>28575</xdr:rowOff>
        </xdr:from>
        <xdr:to>
          <xdr:col>3</xdr:col>
          <xdr:colOff>714375</xdr:colOff>
          <xdr:row>40</xdr:row>
          <xdr:rowOff>209550</xdr:rowOff>
        </xdr:to>
        <xdr:sp macro="" textlink="">
          <xdr:nvSpPr>
            <xdr:cNvPr id="157928" name="Spinner 1256" hidden="1">
              <a:extLst>
                <a:ext uri="{63B3BB69-23CF-44E3-9099-C40C66FF867C}">
                  <a14:compatExt spid="_x0000_s1579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40</xdr:row>
          <xdr:rowOff>19050</xdr:rowOff>
        </xdr:from>
        <xdr:to>
          <xdr:col>1</xdr:col>
          <xdr:colOff>1228725</xdr:colOff>
          <xdr:row>40</xdr:row>
          <xdr:rowOff>219075</xdr:rowOff>
        </xdr:to>
        <xdr:sp macro="" textlink="">
          <xdr:nvSpPr>
            <xdr:cNvPr id="157929" name="Check Box 1257" hidden="1">
              <a:extLst>
                <a:ext uri="{63B3BB69-23CF-44E3-9099-C40C66FF867C}">
                  <a14:compatExt spid="_x0000_s157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26</xdr:row>
          <xdr:rowOff>19050</xdr:rowOff>
        </xdr:from>
        <xdr:to>
          <xdr:col>10</xdr:col>
          <xdr:colOff>190500</xdr:colOff>
          <xdr:row>26</xdr:row>
          <xdr:rowOff>219075</xdr:rowOff>
        </xdr:to>
        <xdr:sp macro="" textlink="">
          <xdr:nvSpPr>
            <xdr:cNvPr id="157930" name="Check Box 1258" hidden="1">
              <a:extLst>
                <a:ext uri="{63B3BB69-23CF-44E3-9099-C40C66FF867C}">
                  <a14:compatExt spid="_x0000_s1579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7</xdr:row>
          <xdr:rowOff>28575</xdr:rowOff>
        </xdr:from>
        <xdr:to>
          <xdr:col>2</xdr:col>
          <xdr:colOff>714375</xdr:colOff>
          <xdr:row>7</xdr:row>
          <xdr:rowOff>209550</xdr:rowOff>
        </xdr:to>
        <xdr:sp macro="" textlink="">
          <xdr:nvSpPr>
            <xdr:cNvPr id="157931" name="Spinner 1259" hidden="1">
              <a:extLst>
                <a:ext uri="{63B3BB69-23CF-44E3-9099-C40C66FF867C}">
                  <a14:compatExt spid="_x0000_s1579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8</xdr:row>
          <xdr:rowOff>28575</xdr:rowOff>
        </xdr:from>
        <xdr:to>
          <xdr:col>2</xdr:col>
          <xdr:colOff>714375</xdr:colOff>
          <xdr:row>8</xdr:row>
          <xdr:rowOff>209550</xdr:rowOff>
        </xdr:to>
        <xdr:sp macro="" textlink="">
          <xdr:nvSpPr>
            <xdr:cNvPr id="157932" name="Spinner 1260" hidden="1">
              <a:extLst>
                <a:ext uri="{63B3BB69-23CF-44E3-9099-C40C66FF867C}">
                  <a14:compatExt spid="_x0000_s1579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</xdr:rowOff>
        </xdr:from>
        <xdr:to>
          <xdr:col>3</xdr:col>
          <xdr:colOff>1028700</xdr:colOff>
          <xdr:row>7</xdr:row>
          <xdr:rowOff>219075</xdr:rowOff>
        </xdr:to>
        <xdr:sp macro="" textlink="">
          <xdr:nvSpPr>
            <xdr:cNvPr id="157933" name="Drop Down 1261" hidden="1">
              <a:extLst>
                <a:ext uri="{63B3BB69-23CF-44E3-9099-C40C66FF867C}">
                  <a14:compatExt spid="_x0000_s1579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9525</xdr:rowOff>
        </xdr:from>
        <xdr:to>
          <xdr:col>3</xdr:col>
          <xdr:colOff>1028700</xdr:colOff>
          <xdr:row>8</xdr:row>
          <xdr:rowOff>219075</xdr:rowOff>
        </xdr:to>
        <xdr:sp macro="" textlink="">
          <xdr:nvSpPr>
            <xdr:cNvPr id="157934" name="Drop Down 1262" hidden="1">
              <a:extLst>
                <a:ext uri="{63B3BB69-23CF-44E3-9099-C40C66FF867C}">
                  <a14:compatExt spid="_x0000_s1579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8</xdr:row>
          <xdr:rowOff>28575</xdr:rowOff>
        </xdr:from>
        <xdr:to>
          <xdr:col>2</xdr:col>
          <xdr:colOff>714375</xdr:colOff>
          <xdr:row>8</xdr:row>
          <xdr:rowOff>209550</xdr:rowOff>
        </xdr:to>
        <xdr:sp macro="" textlink="">
          <xdr:nvSpPr>
            <xdr:cNvPr id="157935" name="Spinner 1263" hidden="1">
              <a:extLst>
                <a:ext uri="{63B3BB69-23CF-44E3-9099-C40C66FF867C}">
                  <a14:compatExt spid="_x0000_s157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8</xdr:row>
          <xdr:rowOff>28575</xdr:rowOff>
        </xdr:from>
        <xdr:to>
          <xdr:col>2</xdr:col>
          <xdr:colOff>714375</xdr:colOff>
          <xdr:row>8</xdr:row>
          <xdr:rowOff>209550</xdr:rowOff>
        </xdr:to>
        <xdr:sp macro="" textlink="">
          <xdr:nvSpPr>
            <xdr:cNvPr id="157936" name="Spinner 1264" hidden="1">
              <a:extLst>
                <a:ext uri="{63B3BB69-23CF-44E3-9099-C40C66FF867C}">
                  <a14:compatExt spid="_x0000_s1579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628650</xdr:colOff>
          <xdr:row>18</xdr:row>
          <xdr:rowOff>28575</xdr:rowOff>
        </xdr:from>
        <xdr:to>
          <xdr:col>9</xdr:col>
          <xdr:colOff>809625</xdr:colOff>
          <xdr:row>18</xdr:row>
          <xdr:rowOff>209550</xdr:rowOff>
        </xdr:to>
        <xdr:sp macro="" textlink="">
          <xdr:nvSpPr>
            <xdr:cNvPr id="157937" name="Spinner 1265" hidden="1">
              <a:extLst>
                <a:ext uri="{63B3BB69-23CF-44E3-9099-C40C66FF867C}">
                  <a14:compatExt spid="_x0000_s157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7</xdr:row>
          <xdr:rowOff>19050</xdr:rowOff>
        </xdr:from>
        <xdr:to>
          <xdr:col>8</xdr:col>
          <xdr:colOff>1228725</xdr:colOff>
          <xdr:row>7</xdr:row>
          <xdr:rowOff>219075</xdr:rowOff>
        </xdr:to>
        <xdr:sp macro="" textlink="">
          <xdr:nvSpPr>
            <xdr:cNvPr id="157938" name="Check Box 1266" hidden="1">
              <a:extLst>
                <a:ext uri="{63B3BB69-23CF-44E3-9099-C40C66FF867C}">
                  <a14:compatExt spid="_x0000_s1579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676275</xdr:colOff>
          <xdr:row>7</xdr:row>
          <xdr:rowOff>28575</xdr:rowOff>
        </xdr:from>
        <xdr:to>
          <xdr:col>9</xdr:col>
          <xdr:colOff>857250</xdr:colOff>
          <xdr:row>7</xdr:row>
          <xdr:rowOff>209550</xdr:rowOff>
        </xdr:to>
        <xdr:sp macro="" textlink="">
          <xdr:nvSpPr>
            <xdr:cNvPr id="157939" name="Spinner 1267" hidden="1">
              <a:extLst>
                <a:ext uri="{63B3BB69-23CF-44E3-9099-C40C66FF867C}">
                  <a14:compatExt spid="_x0000_s1579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1</xdr:col>
          <xdr:colOff>1228725</xdr:colOff>
          <xdr:row>9</xdr:row>
          <xdr:rowOff>219075</xdr:rowOff>
        </xdr:to>
        <xdr:sp macro="" textlink="">
          <xdr:nvSpPr>
            <xdr:cNvPr id="157940" name="Check Box 1268" hidden="1">
              <a:extLst>
                <a:ext uri="{63B3BB69-23CF-44E3-9099-C40C66FF867C}">
                  <a14:compatExt spid="_x0000_s157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9</xdr:row>
          <xdr:rowOff>28575</xdr:rowOff>
        </xdr:from>
        <xdr:to>
          <xdr:col>2</xdr:col>
          <xdr:colOff>714375</xdr:colOff>
          <xdr:row>9</xdr:row>
          <xdr:rowOff>209550</xdr:rowOff>
        </xdr:to>
        <xdr:sp macro="" textlink="">
          <xdr:nvSpPr>
            <xdr:cNvPr id="157941" name="Spinner 1269" hidden="1">
              <a:extLst>
                <a:ext uri="{63B3BB69-23CF-44E3-9099-C40C66FF867C}">
                  <a14:compatExt spid="_x0000_s157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9525</xdr:rowOff>
        </xdr:from>
        <xdr:to>
          <xdr:col>3</xdr:col>
          <xdr:colOff>1028700</xdr:colOff>
          <xdr:row>9</xdr:row>
          <xdr:rowOff>219075</xdr:rowOff>
        </xdr:to>
        <xdr:sp macro="" textlink="">
          <xdr:nvSpPr>
            <xdr:cNvPr id="157942" name="Drop Down 1270" hidden="1">
              <a:extLst>
                <a:ext uri="{63B3BB69-23CF-44E3-9099-C40C66FF867C}">
                  <a14:compatExt spid="_x0000_s157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9</xdr:row>
          <xdr:rowOff>28575</xdr:rowOff>
        </xdr:from>
        <xdr:to>
          <xdr:col>2</xdr:col>
          <xdr:colOff>714375</xdr:colOff>
          <xdr:row>9</xdr:row>
          <xdr:rowOff>209550</xdr:rowOff>
        </xdr:to>
        <xdr:sp macro="" textlink="">
          <xdr:nvSpPr>
            <xdr:cNvPr id="157943" name="Spinner 1271" hidden="1">
              <a:extLst>
                <a:ext uri="{63B3BB69-23CF-44E3-9099-C40C66FF867C}">
                  <a14:compatExt spid="_x0000_s157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9</xdr:row>
          <xdr:rowOff>28575</xdr:rowOff>
        </xdr:from>
        <xdr:to>
          <xdr:col>2</xdr:col>
          <xdr:colOff>714375</xdr:colOff>
          <xdr:row>9</xdr:row>
          <xdr:rowOff>209550</xdr:rowOff>
        </xdr:to>
        <xdr:sp macro="" textlink="">
          <xdr:nvSpPr>
            <xdr:cNvPr id="157944" name="Spinner 1272" hidden="1">
              <a:extLst>
                <a:ext uri="{63B3BB69-23CF-44E3-9099-C40C66FF867C}">
                  <a14:compatExt spid="_x0000_s157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10</xdr:row>
          <xdr:rowOff>0</xdr:rowOff>
        </xdr:from>
        <xdr:to>
          <xdr:col>2</xdr:col>
          <xdr:colOff>628650</xdr:colOff>
          <xdr:row>10</xdr:row>
          <xdr:rowOff>219075</xdr:rowOff>
        </xdr:to>
        <xdr:sp macro="" textlink="">
          <xdr:nvSpPr>
            <xdr:cNvPr id="71681" name="Check Box 1" hidden="1">
              <a:extLst>
                <a:ext uri="{63B3BB69-23CF-44E3-9099-C40C66FF867C}">
                  <a14:compatExt spid="_x0000_s71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0</xdr:rowOff>
        </xdr:from>
        <xdr:to>
          <xdr:col>2</xdr:col>
          <xdr:colOff>628650</xdr:colOff>
          <xdr:row>11</xdr:row>
          <xdr:rowOff>219075</xdr:rowOff>
        </xdr:to>
        <xdr:sp macro="" textlink="">
          <xdr:nvSpPr>
            <xdr:cNvPr id="71682" name="Check Box 2" hidden="1">
              <a:extLst>
                <a:ext uri="{63B3BB69-23CF-44E3-9099-C40C66FF867C}">
                  <a14:compatExt spid="_x0000_s71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0</xdr:rowOff>
        </xdr:from>
        <xdr:to>
          <xdr:col>2</xdr:col>
          <xdr:colOff>628650</xdr:colOff>
          <xdr:row>13</xdr:row>
          <xdr:rowOff>219075</xdr:rowOff>
        </xdr:to>
        <xdr:sp macro="" textlink="">
          <xdr:nvSpPr>
            <xdr:cNvPr id="71683" name="Check Box 3" hidden="1">
              <a:extLst>
                <a:ext uri="{63B3BB69-23CF-44E3-9099-C40C66FF867C}">
                  <a14:compatExt spid="_x0000_s716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14</xdr:row>
          <xdr:rowOff>0</xdr:rowOff>
        </xdr:from>
        <xdr:to>
          <xdr:col>2</xdr:col>
          <xdr:colOff>628650</xdr:colOff>
          <xdr:row>14</xdr:row>
          <xdr:rowOff>219075</xdr:rowOff>
        </xdr:to>
        <xdr:sp macro="" textlink="">
          <xdr:nvSpPr>
            <xdr:cNvPr id="71684" name="Check Box 4" hidden="1">
              <a:extLst>
                <a:ext uri="{63B3BB69-23CF-44E3-9099-C40C66FF867C}">
                  <a14:compatExt spid="_x0000_s716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20</xdr:row>
          <xdr:rowOff>0</xdr:rowOff>
        </xdr:from>
        <xdr:to>
          <xdr:col>2</xdr:col>
          <xdr:colOff>619125</xdr:colOff>
          <xdr:row>20</xdr:row>
          <xdr:rowOff>219075</xdr:rowOff>
        </xdr:to>
        <xdr:sp macro="" textlink="">
          <xdr:nvSpPr>
            <xdr:cNvPr id="71685" name="Check Box 5" hidden="1">
              <a:extLst>
                <a:ext uri="{63B3BB69-23CF-44E3-9099-C40C66FF867C}">
                  <a14:compatExt spid="_x0000_s716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19</xdr:row>
          <xdr:rowOff>0</xdr:rowOff>
        </xdr:from>
        <xdr:to>
          <xdr:col>2</xdr:col>
          <xdr:colOff>628650</xdr:colOff>
          <xdr:row>19</xdr:row>
          <xdr:rowOff>219075</xdr:rowOff>
        </xdr:to>
        <xdr:sp macro="" textlink="">
          <xdr:nvSpPr>
            <xdr:cNvPr id="71686" name="Check Box 6" hidden="1">
              <a:extLst>
                <a:ext uri="{63B3BB69-23CF-44E3-9099-C40C66FF867C}">
                  <a14:compatExt spid="_x0000_s716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</xdr:row>
          <xdr:rowOff>0</xdr:rowOff>
        </xdr:from>
        <xdr:to>
          <xdr:col>2</xdr:col>
          <xdr:colOff>628650</xdr:colOff>
          <xdr:row>36</xdr:row>
          <xdr:rowOff>228600</xdr:rowOff>
        </xdr:to>
        <xdr:sp macro="" textlink="">
          <xdr:nvSpPr>
            <xdr:cNvPr id="71687" name="Check Box 7" hidden="1">
              <a:extLst>
                <a:ext uri="{63B3BB69-23CF-44E3-9099-C40C66FF867C}">
                  <a14:compatExt spid="_x0000_s716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</xdr:row>
          <xdr:rowOff>0</xdr:rowOff>
        </xdr:from>
        <xdr:to>
          <xdr:col>2</xdr:col>
          <xdr:colOff>628650</xdr:colOff>
          <xdr:row>22</xdr:row>
          <xdr:rowOff>219075</xdr:rowOff>
        </xdr:to>
        <xdr:sp macro="" textlink="">
          <xdr:nvSpPr>
            <xdr:cNvPr id="71688" name="Check Box 8" hidden="1">
              <a:extLst>
                <a:ext uri="{63B3BB69-23CF-44E3-9099-C40C66FF867C}">
                  <a14:compatExt spid="_x0000_s716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25</xdr:row>
          <xdr:rowOff>0</xdr:rowOff>
        </xdr:from>
        <xdr:to>
          <xdr:col>2</xdr:col>
          <xdr:colOff>628650</xdr:colOff>
          <xdr:row>25</xdr:row>
          <xdr:rowOff>219075</xdr:rowOff>
        </xdr:to>
        <xdr:sp macro="" textlink="">
          <xdr:nvSpPr>
            <xdr:cNvPr id="71689" name="Check Box 9" hidden="1">
              <a:extLst>
                <a:ext uri="{63B3BB69-23CF-44E3-9099-C40C66FF867C}">
                  <a14:compatExt spid="_x0000_s71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26</xdr:row>
          <xdr:rowOff>0</xdr:rowOff>
        </xdr:from>
        <xdr:to>
          <xdr:col>2</xdr:col>
          <xdr:colOff>628650</xdr:colOff>
          <xdr:row>26</xdr:row>
          <xdr:rowOff>219075</xdr:rowOff>
        </xdr:to>
        <xdr:sp macro="" textlink="">
          <xdr:nvSpPr>
            <xdr:cNvPr id="71690" name="Check Box 10" hidden="1">
              <a:extLst>
                <a:ext uri="{63B3BB69-23CF-44E3-9099-C40C66FF867C}">
                  <a14:compatExt spid="_x0000_s71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27</xdr:row>
          <xdr:rowOff>0</xdr:rowOff>
        </xdr:from>
        <xdr:to>
          <xdr:col>2</xdr:col>
          <xdr:colOff>628650</xdr:colOff>
          <xdr:row>27</xdr:row>
          <xdr:rowOff>219075</xdr:rowOff>
        </xdr:to>
        <xdr:sp macro="" textlink="">
          <xdr:nvSpPr>
            <xdr:cNvPr id="71691" name="Check Box 11" hidden="1">
              <a:extLst>
                <a:ext uri="{63B3BB69-23CF-44E3-9099-C40C66FF867C}">
                  <a14:compatExt spid="_x0000_s71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18</xdr:row>
          <xdr:rowOff>0</xdr:rowOff>
        </xdr:from>
        <xdr:to>
          <xdr:col>2</xdr:col>
          <xdr:colOff>619125</xdr:colOff>
          <xdr:row>18</xdr:row>
          <xdr:rowOff>219075</xdr:rowOff>
        </xdr:to>
        <xdr:sp macro="" textlink="">
          <xdr:nvSpPr>
            <xdr:cNvPr id="71692" name="Check Box 12" hidden="1">
              <a:extLst>
                <a:ext uri="{63B3BB69-23CF-44E3-9099-C40C66FF867C}">
                  <a14:compatExt spid="_x0000_s71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34</xdr:row>
          <xdr:rowOff>19050</xdr:rowOff>
        </xdr:from>
        <xdr:to>
          <xdr:col>2</xdr:col>
          <xdr:colOff>628650</xdr:colOff>
          <xdr:row>34</xdr:row>
          <xdr:rowOff>238125</xdr:rowOff>
        </xdr:to>
        <xdr:sp macro="" textlink="">
          <xdr:nvSpPr>
            <xdr:cNvPr id="71693" name="Check Box 13" hidden="1">
              <a:extLst>
                <a:ext uri="{63B3BB69-23CF-44E3-9099-C40C66FF867C}">
                  <a14:compatExt spid="_x0000_s71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0</xdr:rowOff>
        </xdr:from>
        <xdr:to>
          <xdr:col>6</xdr:col>
          <xdr:colOff>628650</xdr:colOff>
          <xdr:row>10</xdr:row>
          <xdr:rowOff>219075</xdr:rowOff>
        </xdr:to>
        <xdr:sp macro="" textlink="">
          <xdr:nvSpPr>
            <xdr:cNvPr id="71694" name="Check Box 14" hidden="1">
              <a:extLst>
                <a:ext uri="{63B3BB69-23CF-44E3-9099-C40C66FF867C}">
                  <a14:compatExt spid="_x0000_s71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0</xdr:rowOff>
        </xdr:from>
        <xdr:to>
          <xdr:col>6</xdr:col>
          <xdr:colOff>628650</xdr:colOff>
          <xdr:row>11</xdr:row>
          <xdr:rowOff>219075</xdr:rowOff>
        </xdr:to>
        <xdr:sp macro="" textlink="">
          <xdr:nvSpPr>
            <xdr:cNvPr id="71695" name="Check Box 15" hidden="1">
              <a:extLst>
                <a:ext uri="{63B3BB69-23CF-44E3-9099-C40C66FF867C}">
                  <a14:compatExt spid="_x0000_s71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0</xdr:rowOff>
        </xdr:from>
        <xdr:to>
          <xdr:col>6</xdr:col>
          <xdr:colOff>628650</xdr:colOff>
          <xdr:row>13</xdr:row>
          <xdr:rowOff>219075</xdr:rowOff>
        </xdr:to>
        <xdr:sp macro="" textlink="">
          <xdr:nvSpPr>
            <xdr:cNvPr id="71696" name="Check Box 16" hidden="1">
              <a:extLst>
                <a:ext uri="{63B3BB69-23CF-44E3-9099-C40C66FF867C}">
                  <a14:compatExt spid="_x0000_s71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0</xdr:rowOff>
        </xdr:from>
        <xdr:to>
          <xdr:col>6</xdr:col>
          <xdr:colOff>628650</xdr:colOff>
          <xdr:row>14</xdr:row>
          <xdr:rowOff>219075</xdr:rowOff>
        </xdr:to>
        <xdr:sp macro="" textlink="">
          <xdr:nvSpPr>
            <xdr:cNvPr id="71697" name="Check Box 17" hidden="1">
              <a:extLst>
                <a:ext uri="{63B3BB69-23CF-44E3-9099-C40C66FF867C}">
                  <a14:compatExt spid="_x0000_s71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20</xdr:row>
          <xdr:rowOff>0</xdr:rowOff>
        </xdr:from>
        <xdr:to>
          <xdr:col>6</xdr:col>
          <xdr:colOff>619125</xdr:colOff>
          <xdr:row>20</xdr:row>
          <xdr:rowOff>219075</xdr:rowOff>
        </xdr:to>
        <xdr:sp macro="" textlink="">
          <xdr:nvSpPr>
            <xdr:cNvPr id="71698" name="Check Box 18" hidden="1">
              <a:extLst>
                <a:ext uri="{63B3BB69-23CF-44E3-9099-C40C66FF867C}">
                  <a14:compatExt spid="_x0000_s71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19</xdr:row>
          <xdr:rowOff>0</xdr:rowOff>
        </xdr:from>
        <xdr:to>
          <xdr:col>6</xdr:col>
          <xdr:colOff>628650</xdr:colOff>
          <xdr:row>19</xdr:row>
          <xdr:rowOff>219075</xdr:rowOff>
        </xdr:to>
        <xdr:sp macro="" textlink="">
          <xdr:nvSpPr>
            <xdr:cNvPr id="71699" name="Check Box 19" hidden="1">
              <a:extLst>
                <a:ext uri="{63B3BB69-23CF-44E3-9099-C40C66FF867C}">
                  <a14:compatExt spid="_x0000_s71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36</xdr:row>
          <xdr:rowOff>0</xdr:rowOff>
        </xdr:from>
        <xdr:to>
          <xdr:col>6</xdr:col>
          <xdr:colOff>628650</xdr:colOff>
          <xdr:row>36</xdr:row>
          <xdr:rowOff>228600</xdr:rowOff>
        </xdr:to>
        <xdr:sp macro="" textlink="">
          <xdr:nvSpPr>
            <xdr:cNvPr id="71700" name="Check Box 20" hidden="1">
              <a:extLst>
                <a:ext uri="{63B3BB69-23CF-44E3-9099-C40C66FF867C}">
                  <a14:compatExt spid="_x0000_s71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22</xdr:row>
          <xdr:rowOff>0</xdr:rowOff>
        </xdr:from>
        <xdr:to>
          <xdr:col>6</xdr:col>
          <xdr:colOff>628650</xdr:colOff>
          <xdr:row>22</xdr:row>
          <xdr:rowOff>219075</xdr:rowOff>
        </xdr:to>
        <xdr:sp macro="" textlink="">
          <xdr:nvSpPr>
            <xdr:cNvPr id="71701" name="Check Box 21" hidden="1">
              <a:extLst>
                <a:ext uri="{63B3BB69-23CF-44E3-9099-C40C66FF867C}">
                  <a14:compatExt spid="_x0000_s71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0</xdr:rowOff>
        </xdr:from>
        <xdr:to>
          <xdr:col>6</xdr:col>
          <xdr:colOff>628650</xdr:colOff>
          <xdr:row>25</xdr:row>
          <xdr:rowOff>219075</xdr:rowOff>
        </xdr:to>
        <xdr:sp macro="" textlink="">
          <xdr:nvSpPr>
            <xdr:cNvPr id="71702" name="Check Box 22" hidden="1">
              <a:extLst>
                <a:ext uri="{63B3BB69-23CF-44E3-9099-C40C66FF867C}">
                  <a14:compatExt spid="_x0000_s71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26</xdr:row>
          <xdr:rowOff>0</xdr:rowOff>
        </xdr:from>
        <xdr:to>
          <xdr:col>6</xdr:col>
          <xdr:colOff>628650</xdr:colOff>
          <xdr:row>26</xdr:row>
          <xdr:rowOff>219075</xdr:rowOff>
        </xdr:to>
        <xdr:sp macro="" textlink="">
          <xdr:nvSpPr>
            <xdr:cNvPr id="71703" name="Check Box 23" hidden="1">
              <a:extLst>
                <a:ext uri="{63B3BB69-23CF-44E3-9099-C40C66FF867C}">
                  <a14:compatExt spid="_x0000_s71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27</xdr:row>
          <xdr:rowOff>0</xdr:rowOff>
        </xdr:from>
        <xdr:to>
          <xdr:col>6</xdr:col>
          <xdr:colOff>628650</xdr:colOff>
          <xdr:row>27</xdr:row>
          <xdr:rowOff>219075</xdr:rowOff>
        </xdr:to>
        <xdr:sp macro="" textlink="">
          <xdr:nvSpPr>
            <xdr:cNvPr id="71704" name="Check Box 24" hidden="1">
              <a:extLst>
                <a:ext uri="{63B3BB69-23CF-44E3-9099-C40C66FF867C}">
                  <a14:compatExt spid="_x0000_s71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18</xdr:row>
          <xdr:rowOff>0</xdr:rowOff>
        </xdr:from>
        <xdr:to>
          <xdr:col>6</xdr:col>
          <xdr:colOff>619125</xdr:colOff>
          <xdr:row>18</xdr:row>
          <xdr:rowOff>219075</xdr:rowOff>
        </xdr:to>
        <xdr:sp macro="" textlink="">
          <xdr:nvSpPr>
            <xdr:cNvPr id="71705" name="Check Box 25" hidden="1">
              <a:extLst>
                <a:ext uri="{63B3BB69-23CF-44E3-9099-C40C66FF867C}">
                  <a14:compatExt spid="_x0000_s71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34</xdr:row>
          <xdr:rowOff>19050</xdr:rowOff>
        </xdr:from>
        <xdr:to>
          <xdr:col>6</xdr:col>
          <xdr:colOff>628650</xdr:colOff>
          <xdr:row>34</xdr:row>
          <xdr:rowOff>238125</xdr:rowOff>
        </xdr:to>
        <xdr:sp macro="" textlink="">
          <xdr:nvSpPr>
            <xdr:cNvPr id="71706" name="Check Box 26" hidden="1">
              <a:extLst>
                <a:ext uri="{63B3BB69-23CF-44E3-9099-C40C66FF867C}">
                  <a14:compatExt spid="_x0000_s71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10</xdr:row>
          <xdr:rowOff>0</xdr:rowOff>
        </xdr:from>
        <xdr:to>
          <xdr:col>8</xdr:col>
          <xdr:colOff>628650</xdr:colOff>
          <xdr:row>10</xdr:row>
          <xdr:rowOff>219075</xdr:rowOff>
        </xdr:to>
        <xdr:sp macro="" textlink="">
          <xdr:nvSpPr>
            <xdr:cNvPr id="71707" name="Check Box 27" hidden="1">
              <a:extLst>
                <a:ext uri="{63B3BB69-23CF-44E3-9099-C40C66FF867C}">
                  <a14:compatExt spid="_x0000_s71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11</xdr:row>
          <xdr:rowOff>0</xdr:rowOff>
        </xdr:from>
        <xdr:to>
          <xdr:col>8</xdr:col>
          <xdr:colOff>628650</xdr:colOff>
          <xdr:row>11</xdr:row>
          <xdr:rowOff>219075</xdr:rowOff>
        </xdr:to>
        <xdr:sp macro="" textlink="">
          <xdr:nvSpPr>
            <xdr:cNvPr id="71708" name="Check Box 28" hidden="1">
              <a:extLst>
                <a:ext uri="{63B3BB69-23CF-44E3-9099-C40C66FF867C}">
                  <a14:compatExt spid="_x0000_s71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13</xdr:row>
          <xdr:rowOff>0</xdr:rowOff>
        </xdr:from>
        <xdr:to>
          <xdr:col>8</xdr:col>
          <xdr:colOff>628650</xdr:colOff>
          <xdr:row>13</xdr:row>
          <xdr:rowOff>219075</xdr:rowOff>
        </xdr:to>
        <xdr:sp macro="" textlink="">
          <xdr:nvSpPr>
            <xdr:cNvPr id="71709" name="Check Box 29" hidden="1">
              <a:extLst>
                <a:ext uri="{63B3BB69-23CF-44E3-9099-C40C66FF867C}">
                  <a14:compatExt spid="_x0000_s71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14</xdr:row>
          <xdr:rowOff>0</xdr:rowOff>
        </xdr:from>
        <xdr:to>
          <xdr:col>8</xdr:col>
          <xdr:colOff>628650</xdr:colOff>
          <xdr:row>14</xdr:row>
          <xdr:rowOff>219075</xdr:rowOff>
        </xdr:to>
        <xdr:sp macro="" textlink="">
          <xdr:nvSpPr>
            <xdr:cNvPr id="71710" name="Check Box 30" hidden="1">
              <a:extLst>
                <a:ext uri="{63B3BB69-23CF-44E3-9099-C40C66FF867C}">
                  <a14:compatExt spid="_x0000_s71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20</xdr:row>
          <xdr:rowOff>0</xdr:rowOff>
        </xdr:from>
        <xdr:to>
          <xdr:col>8</xdr:col>
          <xdr:colOff>619125</xdr:colOff>
          <xdr:row>20</xdr:row>
          <xdr:rowOff>219075</xdr:rowOff>
        </xdr:to>
        <xdr:sp macro="" textlink="">
          <xdr:nvSpPr>
            <xdr:cNvPr id="71711" name="Check Box 31" hidden="1">
              <a:extLst>
                <a:ext uri="{63B3BB69-23CF-44E3-9099-C40C66FF867C}">
                  <a14:compatExt spid="_x0000_s71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19</xdr:row>
          <xdr:rowOff>0</xdr:rowOff>
        </xdr:from>
        <xdr:to>
          <xdr:col>8</xdr:col>
          <xdr:colOff>628650</xdr:colOff>
          <xdr:row>19</xdr:row>
          <xdr:rowOff>219075</xdr:rowOff>
        </xdr:to>
        <xdr:sp macro="" textlink="">
          <xdr:nvSpPr>
            <xdr:cNvPr id="71712" name="Check Box 32" hidden="1">
              <a:extLst>
                <a:ext uri="{63B3BB69-23CF-44E3-9099-C40C66FF867C}">
                  <a14:compatExt spid="_x0000_s71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36</xdr:row>
          <xdr:rowOff>0</xdr:rowOff>
        </xdr:from>
        <xdr:to>
          <xdr:col>8</xdr:col>
          <xdr:colOff>628650</xdr:colOff>
          <xdr:row>36</xdr:row>
          <xdr:rowOff>228600</xdr:rowOff>
        </xdr:to>
        <xdr:sp macro="" textlink="">
          <xdr:nvSpPr>
            <xdr:cNvPr id="71713" name="Check Box 33" hidden="1">
              <a:extLst>
                <a:ext uri="{63B3BB69-23CF-44E3-9099-C40C66FF867C}">
                  <a14:compatExt spid="_x0000_s71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22</xdr:row>
          <xdr:rowOff>0</xdr:rowOff>
        </xdr:from>
        <xdr:to>
          <xdr:col>8</xdr:col>
          <xdr:colOff>628650</xdr:colOff>
          <xdr:row>22</xdr:row>
          <xdr:rowOff>219075</xdr:rowOff>
        </xdr:to>
        <xdr:sp macro="" textlink="">
          <xdr:nvSpPr>
            <xdr:cNvPr id="71714" name="Check Box 34" hidden="1">
              <a:extLst>
                <a:ext uri="{63B3BB69-23CF-44E3-9099-C40C66FF867C}">
                  <a14:compatExt spid="_x0000_s71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25</xdr:row>
          <xdr:rowOff>0</xdr:rowOff>
        </xdr:from>
        <xdr:to>
          <xdr:col>8</xdr:col>
          <xdr:colOff>628650</xdr:colOff>
          <xdr:row>25</xdr:row>
          <xdr:rowOff>219075</xdr:rowOff>
        </xdr:to>
        <xdr:sp macro="" textlink="">
          <xdr:nvSpPr>
            <xdr:cNvPr id="71715" name="Check Box 35" hidden="1">
              <a:extLst>
                <a:ext uri="{63B3BB69-23CF-44E3-9099-C40C66FF867C}">
                  <a14:compatExt spid="_x0000_s71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26</xdr:row>
          <xdr:rowOff>0</xdr:rowOff>
        </xdr:from>
        <xdr:to>
          <xdr:col>8</xdr:col>
          <xdr:colOff>628650</xdr:colOff>
          <xdr:row>26</xdr:row>
          <xdr:rowOff>219075</xdr:rowOff>
        </xdr:to>
        <xdr:sp macro="" textlink="">
          <xdr:nvSpPr>
            <xdr:cNvPr id="71716" name="Check Box 36" hidden="1">
              <a:extLst>
                <a:ext uri="{63B3BB69-23CF-44E3-9099-C40C66FF867C}">
                  <a14:compatExt spid="_x0000_s71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27</xdr:row>
          <xdr:rowOff>0</xdr:rowOff>
        </xdr:from>
        <xdr:to>
          <xdr:col>8</xdr:col>
          <xdr:colOff>628650</xdr:colOff>
          <xdr:row>27</xdr:row>
          <xdr:rowOff>219075</xdr:rowOff>
        </xdr:to>
        <xdr:sp macro="" textlink="">
          <xdr:nvSpPr>
            <xdr:cNvPr id="71717" name="Check Box 37" hidden="1">
              <a:extLst>
                <a:ext uri="{63B3BB69-23CF-44E3-9099-C40C66FF867C}">
                  <a14:compatExt spid="_x0000_s71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18</xdr:row>
          <xdr:rowOff>0</xdr:rowOff>
        </xdr:from>
        <xdr:to>
          <xdr:col>8</xdr:col>
          <xdr:colOff>619125</xdr:colOff>
          <xdr:row>18</xdr:row>
          <xdr:rowOff>219075</xdr:rowOff>
        </xdr:to>
        <xdr:sp macro="" textlink="">
          <xdr:nvSpPr>
            <xdr:cNvPr id="71718" name="Check Box 38" hidden="1">
              <a:extLst>
                <a:ext uri="{63B3BB69-23CF-44E3-9099-C40C66FF867C}">
                  <a14:compatExt spid="_x0000_s71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34</xdr:row>
          <xdr:rowOff>19050</xdr:rowOff>
        </xdr:from>
        <xdr:to>
          <xdr:col>8</xdr:col>
          <xdr:colOff>628650</xdr:colOff>
          <xdr:row>34</xdr:row>
          <xdr:rowOff>238125</xdr:rowOff>
        </xdr:to>
        <xdr:sp macro="" textlink="">
          <xdr:nvSpPr>
            <xdr:cNvPr id="71719" name="Check Box 39" hidden="1">
              <a:extLst>
                <a:ext uri="{63B3BB69-23CF-44E3-9099-C40C66FF867C}">
                  <a14:compatExt spid="_x0000_s71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10</xdr:row>
          <xdr:rowOff>0</xdr:rowOff>
        </xdr:from>
        <xdr:to>
          <xdr:col>16</xdr:col>
          <xdr:colOff>628650</xdr:colOff>
          <xdr:row>10</xdr:row>
          <xdr:rowOff>219075</xdr:rowOff>
        </xdr:to>
        <xdr:sp macro="" textlink="">
          <xdr:nvSpPr>
            <xdr:cNvPr id="71720" name="Check Box 40" hidden="1">
              <a:extLst>
                <a:ext uri="{63B3BB69-23CF-44E3-9099-C40C66FF867C}">
                  <a14:compatExt spid="_x0000_s71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11</xdr:row>
          <xdr:rowOff>0</xdr:rowOff>
        </xdr:from>
        <xdr:to>
          <xdr:col>16</xdr:col>
          <xdr:colOff>628650</xdr:colOff>
          <xdr:row>11</xdr:row>
          <xdr:rowOff>219075</xdr:rowOff>
        </xdr:to>
        <xdr:sp macro="" textlink="">
          <xdr:nvSpPr>
            <xdr:cNvPr id="71721" name="Check Box 41" hidden="1">
              <a:extLst>
                <a:ext uri="{63B3BB69-23CF-44E3-9099-C40C66FF867C}">
                  <a14:compatExt spid="_x0000_s71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13</xdr:row>
          <xdr:rowOff>0</xdr:rowOff>
        </xdr:from>
        <xdr:to>
          <xdr:col>16</xdr:col>
          <xdr:colOff>628650</xdr:colOff>
          <xdr:row>13</xdr:row>
          <xdr:rowOff>219075</xdr:rowOff>
        </xdr:to>
        <xdr:sp macro="" textlink="">
          <xdr:nvSpPr>
            <xdr:cNvPr id="71722" name="Check Box 42" hidden="1">
              <a:extLst>
                <a:ext uri="{63B3BB69-23CF-44E3-9099-C40C66FF867C}">
                  <a14:compatExt spid="_x0000_s71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14</xdr:row>
          <xdr:rowOff>0</xdr:rowOff>
        </xdr:from>
        <xdr:to>
          <xdr:col>16</xdr:col>
          <xdr:colOff>628650</xdr:colOff>
          <xdr:row>14</xdr:row>
          <xdr:rowOff>219075</xdr:rowOff>
        </xdr:to>
        <xdr:sp macro="" textlink="">
          <xdr:nvSpPr>
            <xdr:cNvPr id="71723" name="Check Box 43" hidden="1">
              <a:extLst>
                <a:ext uri="{63B3BB69-23CF-44E3-9099-C40C66FF867C}">
                  <a14:compatExt spid="_x0000_s71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38100</xdr:colOff>
          <xdr:row>20</xdr:row>
          <xdr:rowOff>0</xdr:rowOff>
        </xdr:from>
        <xdr:to>
          <xdr:col>16</xdr:col>
          <xdr:colOff>619125</xdr:colOff>
          <xdr:row>20</xdr:row>
          <xdr:rowOff>219075</xdr:rowOff>
        </xdr:to>
        <xdr:sp macro="" textlink="">
          <xdr:nvSpPr>
            <xdr:cNvPr id="71724" name="Check Box 44" hidden="1">
              <a:extLst>
                <a:ext uri="{63B3BB69-23CF-44E3-9099-C40C66FF867C}">
                  <a14:compatExt spid="_x0000_s71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19</xdr:row>
          <xdr:rowOff>0</xdr:rowOff>
        </xdr:from>
        <xdr:to>
          <xdr:col>16</xdr:col>
          <xdr:colOff>628650</xdr:colOff>
          <xdr:row>19</xdr:row>
          <xdr:rowOff>219075</xdr:rowOff>
        </xdr:to>
        <xdr:sp macro="" textlink="">
          <xdr:nvSpPr>
            <xdr:cNvPr id="71725" name="Check Box 45" hidden="1">
              <a:extLst>
                <a:ext uri="{63B3BB69-23CF-44E3-9099-C40C66FF867C}">
                  <a14:compatExt spid="_x0000_s71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36</xdr:row>
          <xdr:rowOff>0</xdr:rowOff>
        </xdr:from>
        <xdr:to>
          <xdr:col>16</xdr:col>
          <xdr:colOff>628650</xdr:colOff>
          <xdr:row>36</xdr:row>
          <xdr:rowOff>228600</xdr:rowOff>
        </xdr:to>
        <xdr:sp macro="" textlink="">
          <xdr:nvSpPr>
            <xdr:cNvPr id="71726" name="Check Box 46" hidden="1">
              <a:extLst>
                <a:ext uri="{63B3BB69-23CF-44E3-9099-C40C66FF867C}">
                  <a14:compatExt spid="_x0000_s71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22</xdr:row>
          <xdr:rowOff>0</xdr:rowOff>
        </xdr:from>
        <xdr:to>
          <xdr:col>16</xdr:col>
          <xdr:colOff>628650</xdr:colOff>
          <xdr:row>22</xdr:row>
          <xdr:rowOff>219075</xdr:rowOff>
        </xdr:to>
        <xdr:sp macro="" textlink="">
          <xdr:nvSpPr>
            <xdr:cNvPr id="71727" name="Check Box 47" hidden="1">
              <a:extLst>
                <a:ext uri="{63B3BB69-23CF-44E3-9099-C40C66FF867C}">
                  <a14:compatExt spid="_x0000_s71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25</xdr:row>
          <xdr:rowOff>0</xdr:rowOff>
        </xdr:from>
        <xdr:to>
          <xdr:col>16</xdr:col>
          <xdr:colOff>628650</xdr:colOff>
          <xdr:row>25</xdr:row>
          <xdr:rowOff>219075</xdr:rowOff>
        </xdr:to>
        <xdr:sp macro="" textlink="">
          <xdr:nvSpPr>
            <xdr:cNvPr id="71728" name="Check Box 48" hidden="1">
              <a:extLst>
                <a:ext uri="{63B3BB69-23CF-44E3-9099-C40C66FF867C}">
                  <a14:compatExt spid="_x0000_s71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26</xdr:row>
          <xdr:rowOff>0</xdr:rowOff>
        </xdr:from>
        <xdr:to>
          <xdr:col>16</xdr:col>
          <xdr:colOff>628650</xdr:colOff>
          <xdr:row>26</xdr:row>
          <xdr:rowOff>219075</xdr:rowOff>
        </xdr:to>
        <xdr:sp macro="" textlink="">
          <xdr:nvSpPr>
            <xdr:cNvPr id="71729" name="Check Box 49" hidden="1">
              <a:extLst>
                <a:ext uri="{63B3BB69-23CF-44E3-9099-C40C66FF867C}">
                  <a14:compatExt spid="_x0000_s71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27</xdr:row>
          <xdr:rowOff>0</xdr:rowOff>
        </xdr:from>
        <xdr:to>
          <xdr:col>16</xdr:col>
          <xdr:colOff>628650</xdr:colOff>
          <xdr:row>27</xdr:row>
          <xdr:rowOff>219075</xdr:rowOff>
        </xdr:to>
        <xdr:sp macro="" textlink="">
          <xdr:nvSpPr>
            <xdr:cNvPr id="71730" name="Check Box 50" hidden="1">
              <a:extLst>
                <a:ext uri="{63B3BB69-23CF-44E3-9099-C40C66FF867C}">
                  <a14:compatExt spid="_x0000_s71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38100</xdr:colOff>
          <xdr:row>18</xdr:row>
          <xdr:rowOff>0</xdr:rowOff>
        </xdr:from>
        <xdr:to>
          <xdr:col>16</xdr:col>
          <xdr:colOff>619125</xdr:colOff>
          <xdr:row>18</xdr:row>
          <xdr:rowOff>219075</xdr:rowOff>
        </xdr:to>
        <xdr:sp macro="" textlink="">
          <xdr:nvSpPr>
            <xdr:cNvPr id="71731" name="Check Box 51" hidden="1">
              <a:extLst>
                <a:ext uri="{63B3BB69-23CF-44E3-9099-C40C66FF867C}">
                  <a14:compatExt spid="_x0000_s71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34</xdr:row>
          <xdr:rowOff>19050</xdr:rowOff>
        </xdr:from>
        <xdr:to>
          <xdr:col>16</xdr:col>
          <xdr:colOff>628650</xdr:colOff>
          <xdr:row>34</xdr:row>
          <xdr:rowOff>238125</xdr:rowOff>
        </xdr:to>
        <xdr:sp macro="" textlink="">
          <xdr:nvSpPr>
            <xdr:cNvPr id="71732" name="Check Box 52" hidden="1">
              <a:extLst>
                <a:ext uri="{63B3BB69-23CF-44E3-9099-C40C66FF867C}">
                  <a14:compatExt spid="_x0000_s71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19050</xdr:rowOff>
        </xdr:from>
        <xdr:to>
          <xdr:col>2</xdr:col>
          <xdr:colOff>628650</xdr:colOff>
          <xdr:row>38</xdr:row>
          <xdr:rowOff>238125</xdr:rowOff>
        </xdr:to>
        <xdr:sp macro="" textlink="">
          <xdr:nvSpPr>
            <xdr:cNvPr id="71733" name="Check Box 53" hidden="1">
              <a:extLst>
                <a:ext uri="{63B3BB69-23CF-44E3-9099-C40C66FF867C}">
                  <a14:compatExt spid="_x0000_s71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38</xdr:row>
          <xdr:rowOff>19050</xdr:rowOff>
        </xdr:from>
        <xdr:to>
          <xdr:col>6</xdr:col>
          <xdr:colOff>628650</xdr:colOff>
          <xdr:row>38</xdr:row>
          <xdr:rowOff>238125</xdr:rowOff>
        </xdr:to>
        <xdr:sp macro="" textlink="">
          <xdr:nvSpPr>
            <xdr:cNvPr id="71734" name="Check Box 54" hidden="1">
              <a:extLst>
                <a:ext uri="{63B3BB69-23CF-44E3-9099-C40C66FF867C}">
                  <a14:compatExt spid="_x0000_s71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38</xdr:row>
          <xdr:rowOff>19050</xdr:rowOff>
        </xdr:from>
        <xdr:to>
          <xdr:col>8</xdr:col>
          <xdr:colOff>628650</xdr:colOff>
          <xdr:row>38</xdr:row>
          <xdr:rowOff>238125</xdr:rowOff>
        </xdr:to>
        <xdr:sp macro="" textlink="">
          <xdr:nvSpPr>
            <xdr:cNvPr id="71735" name="Check Box 55" hidden="1">
              <a:extLst>
                <a:ext uri="{63B3BB69-23CF-44E3-9099-C40C66FF867C}">
                  <a14:compatExt spid="_x0000_s71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38</xdr:row>
          <xdr:rowOff>19050</xdr:rowOff>
        </xdr:from>
        <xdr:to>
          <xdr:col>16</xdr:col>
          <xdr:colOff>628650</xdr:colOff>
          <xdr:row>38</xdr:row>
          <xdr:rowOff>238125</xdr:rowOff>
        </xdr:to>
        <xdr:sp macro="" textlink="">
          <xdr:nvSpPr>
            <xdr:cNvPr id="71736" name="Check Box 56" hidden="1">
              <a:extLst>
                <a:ext uri="{63B3BB69-23CF-44E3-9099-C40C66FF867C}">
                  <a14:compatExt spid="_x0000_s71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</xdr:row>
          <xdr:rowOff>0</xdr:rowOff>
        </xdr:from>
        <xdr:to>
          <xdr:col>2</xdr:col>
          <xdr:colOff>628650</xdr:colOff>
          <xdr:row>12</xdr:row>
          <xdr:rowOff>219075</xdr:rowOff>
        </xdr:to>
        <xdr:sp macro="" textlink="">
          <xdr:nvSpPr>
            <xdr:cNvPr id="71737" name="Check Box 57" hidden="1">
              <a:extLst>
                <a:ext uri="{63B3BB69-23CF-44E3-9099-C40C66FF867C}">
                  <a14:compatExt spid="_x0000_s71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12</xdr:row>
          <xdr:rowOff>0</xdr:rowOff>
        </xdr:from>
        <xdr:to>
          <xdr:col>6</xdr:col>
          <xdr:colOff>628650</xdr:colOff>
          <xdr:row>12</xdr:row>
          <xdr:rowOff>219075</xdr:rowOff>
        </xdr:to>
        <xdr:sp macro="" textlink="">
          <xdr:nvSpPr>
            <xdr:cNvPr id="71738" name="Check Box 58" hidden="1">
              <a:extLst>
                <a:ext uri="{63B3BB69-23CF-44E3-9099-C40C66FF867C}">
                  <a14:compatExt spid="_x0000_s71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12</xdr:row>
          <xdr:rowOff>0</xdr:rowOff>
        </xdr:from>
        <xdr:to>
          <xdr:col>8</xdr:col>
          <xdr:colOff>628650</xdr:colOff>
          <xdr:row>12</xdr:row>
          <xdr:rowOff>219075</xdr:rowOff>
        </xdr:to>
        <xdr:sp macro="" textlink="">
          <xdr:nvSpPr>
            <xdr:cNvPr id="71739" name="Check Box 59" hidden="1">
              <a:extLst>
                <a:ext uri="{63B3BB69-23CF-44E3-9099-C40C66FF867C}">
                  <a14:compatExt spid="_x0000_s71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12</xdr:row>
          <xdr:rowOff>0</xdr:rowOff>
        </xdr:from>
        <xdr:to>
          <xdr:col>16</xdr:col>
          <xdr:colOff>628650</xdr:colOff>
          <xdr:row>12</xdr:row>
          <xdr:rowOff>219075</xdr:rowOff>
        </xdr:to>
        <xdr:sp macro="" textlink="">
          <xdr:nvSpPr>
            <xdr:cNvPr id="71740" name="Check Box 60" hidden="1">
              <a:extLst>
                <a:ext uri="{63B3BB69-23CF-44E3-9099-C40C66FF867C}">
                  <a14:compatExt spid="_x0000_s71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23</xdr:row>
          <xdr:rowOff>0</xdr:rowOff>
        </xdr:from>
        <xdr:to>
          <xdr:col>2</xdr:col>
          <xdr:colOff>628650</xdr:colOff>
          <xdr:row>23</xdr:row>
          <xdr:rowOff>219075</xdr:rowOff>
        </xdr:to>
        <xdr:sp macro="" textlink="">
          <xdr:nvSpPr>
            <xdr:cNvPr id="71741" name="Check Box 61" hidden="1">
              <a:extLst>
                <a:ext uri="{63B3BB69-23CF-44E3-9099-C40C66FF867C}">
                  <a14:compatExt spid="_x0000_s71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23</xdr:row>
          <xdr:rowOff>0</xdr:rowOff>
        </xdr:from>
        <xdr:to>
          <xdr:col>6</xdr:col>
          <xdr:colOff>628650</xdr:colOff>
          <xdr:row>23</xdr:row>
          <xdr:rowOff>219075</xdr:rowOff>
        </xdr:to>
        <xdr:sp macro="" textlink="">
          <xdr:nvSpPr>
            <xdr:cNvPr id="71742" name="Check Box 62" hidden="1">
              <a:extLst>
                <a:ext uri="{63B3BB69-23CF-44E3-9099-C40C66FF867C}">
                  <a14:compatExt spid="_x0000_s71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23</xdr:row>
          <xdr:rowOff>0</xdr:rowOff>
        </xdr:from>
        <xdr:to>
          <xdr:col>8</xdr:col>
          <xdr:colOff>628650</xdr:colOff>
          <xdr:row>23</xdr:row>
          <xdr:rowOff>219075</xdr:rowOff>
        </xdr:to>
        <xdr:sp macro="" textlink="">
          <xdr:nvSpPr>
            <xdr:cNvPr id="71743" name="Check Box 63" hidden="1">
              <a:extLst>
                <a:ext uri="{63B3BB69-23CF-44E3-9099-C40C66FF867C}">
                  <a14:compatExt spid="_x0000_s71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23</xdr:row>
          <xdr:rowOff>0</xdr:rowOff>
        </xdr:from>
        <xdr:to>
          <xdr:col>16</xdr:col>
          <xdr:colOff>628650</xdr:colOff>
          <xdr:row>23</xdr:row>
          <xdr:rowOff>219075</xdr:rowOff>
        </xdr:to>
        <xdr:sp macro="" textlink="">
          <xdr:nvSpPr>
            <xdr:cNvPr id="71744" name="Check Box 64" hidden="1">
              <a:extLst>
                <a:ext uri="{63B3BB69-23CF-44E3-9099-C40C66FF867C}">
                  <a14:compatExt spid="_x0000_s71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10</xdr:row>
          <xdr:rowOff>0</xdr:rowOff>
        </xdr:from>
        <xdr:to>
          <xdr:col>4</xdr:col>
          <xdr:colOff>628650</xdr:colOff>
          <xdr:row>10</xdr:row>
          <xdr:rowOff>219075</xdr:rowOff>
        </xdr:to>
        <xdr:sp macro="" textlink="">
          <xdr:nvSpPr>
            <xdr:cNvPr id="71745" name="Check Box 65" hidden="1">
              <a:extLst>
                <a:ext uri="{63B3BB69-23CF-44E3-9099-C40C66FF867C}">
                  <a14:compatExt spid="_x0000_s71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11</xdr:row>
          <xdr:rowOff>0</xdr:rowOff>
        </xdr:from>
        <xdr:to>
          <xdr:col>4</xdr:col>
          <xdr:colOff>628650</xdr:colOff>
          <xdr:row>11</xdr:row>
          <xdr:rowOff>219075</xdr:rowOff>
        </xdr:to>
        <xdr:sp macro="" textlink="">
          <xdr:nvSpPr>
            <xdr:cNvPr id="71746" name="Check Box 66" hidden="1">
              <a:extLst>
                <a:ext uri="{63B3BB69-23CF-44E3-9099-C40C66FF867C}">
                  <a14:compatExt spid="_x0000_s71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13</xdr:row>
          <xdr:rowOff>0</xdr:rowOff>
        </xdr:from>
        <xdr:to>
          <xdr:col>4</xdr:col>
          <xdr:colOff>628650</xdr:colOff>
          <xdr:row>13</xdr:row>
          <xdr:rowOff>219075</xdr:rowOff>
        </xdr:to>
        <xdr:sp macro="" textlink="">
          <xdr:nvSpPr>
            <xdr:cNvPr id="71747" name="Check Box 67" hidden="1">
              <a:extLst>
                <a:ext uri="{63B3BB69-23CF-44E3-9099-C40C66FF867C}">
                  <a14:compatExt spid="_x0000_s71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14</xdr:row>
          <xdr:rowOff>0</xdr:rowOff>
        </xdr:from>
        <xdr:to>
          <xdr:col>4</xdr:col>
          <xdr:colOff>628650</xdr:colOff>
          <xdr:row>14</xdr:row>
          <xdr:rowOff>219075</xdr:rowOff>
        </xdr:to>
        <xdr:sp macro="" textlink="">
          <xdr:nvSpPr>
            <xdr:cNvPr id="71748" name="Check Box 68" hidden="1">
              <a:extLst>
                <a:ext uri="{63B3BB69-23CF-44E3-9099-C40C66FF867C}">
                  <a14:compatExt spid="_x0000_s71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20</xdr:row>
          <xdr:rowOff>0</xdr:rowOff>
        </xdr:from>
        <xdr:to>
          <xdr:col>4</xdr:col>
          <xdr:colOff>619125</xdr:colOff>
          <xdr:row>20</xdr:row>
          <xdr:rowOff>219075</xdr:rowOff>
        </xdr:to>
        <xdr:sp macro="" textlink="">
          <xdr:nvSpPr>
            <xdr:cNvPr id="71749" name="Check Box 69" hidden="1">
              <a:extLst>
                <a:ext uri="{63B3BB69-23CF-44E3-9099-C40C66FF867C}">
                  <a14:compatExt spid="_x0000_s71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19</xdr:row>
          <xdr:rowOff>0</xdr:rowOff>
        </xdr:from>
        <xdr:to>
          <xdr:col>4</xdr:col>
          <xdr:colOff>628650</xdr:colOff>
          <xdr:row>19</xdr:row>
          <xdr:rowOff>219075</xdr:rowOff>
        </xdr:to>
        <xdr:sp macro="" textlink="">
          <xdr:nvSpPr>
            <xdr:cNvPr id="71750" name="Check Box 70" hidden="1">
              <a:extLst>
                <a:ext uri="{63B3BB69-23CF-44E3-9099-C40C66FF867C}">
                  <a14:compatExt spid="_x0000_s71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0</xdr:rowOff>
        </xdr:from>
        <xdr:to>
          <xdr:col>4</xdr:col>
          <xdr:colOff>628650</xdr:colOff>
          <xdr:row>36</xdr:row>
          <xdr:rowOff>228600</xdr:rowOff>
        </xdr:to>
        <xdr:sp macro="" textlink="">
          <xdr:nvSpPr>
            <xdr:cNvPr id="71751" name="Check Box 71" hidden="1">
              <a:extLst>
                <a:ext uri="{63B3BB69-23CF-44E3-9099-C40C66FF867C}">
                  <a14:compatExt spid="_x0000_s71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22</xdr:row>
          <xdr:rowOff>0</xdr:rowOff>
        </xdr:from>
        <xdr:to>
          <xdr:col>4</xdr:col>
          <xdr:colOff>628650</xdr:colOff>
          <xdr:row>22</xdr:row>
          <xdr:rowOff>219075</xdr:rowOff>
        </xdr:to>
        <xdr:sp macro="" textlink="">
          <xdr:nvSpPr>
            <xdr:cNvPr id="71752" name="Check Box 72" hidden="1">
              <a:extLst>
                <a:ext uri="{63B3BB69-23CF-44E3-9099-C40C66FF867C}">
                  <a14:compatExt spid="_x0000_s71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25</xdr:row>
          <xdr:rowOff>0</xdr:rowOff>
        </xdr:from>
        <xdr:to>
          <xdr:col>4</xdr:col>
          <xdr:colOff>628650</xdr:colOff>
          <xdr:row>25</xdr:row>
          <xdr:rowOff>219075</xdr:rowOff>
        </xdr:to>
        <xdr:sp macro="" textlink="">
          <xdr:nvSpPr>
            <xdr:cNvPr id="71753" name="Check Box 73" hidden="1">
              <a:extLst>
                <a:ext uri="{63B3BB69-23CF-44E3-9099-C40C66FF867C}">
                  <a14:compatExt spid="_x0000_s71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26</xdr:row>
          <xdr:rowOff>0</xdr:rowOff>
        </xdr:from>
        <xdr:to>
          <xdr:col>4</xdr:col>
          <xdr:colOff>628650</xdr:colOff>
          <xdr:row>26</xdr:row>
          <xdr:rowOff>219075</xdr:rowOff>
        </xdr:to>
        <xdr:sp macro="" textlink="">
          <xdr:nvSpPr>
            <xdr:cNvPr id="71754" name="Check Box 74" hidden="1">
              <a:extLst>
                <a:ext uri="{63B3BB69-23CF-44E3-9099-C40C66FF867C}">
                  <a14:compatExt spid="_x0000_s71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4</xdr:col>
          <xdr:colOff>628650</xdr:colOff>
          <xdr:row>27</xdr:row>
          <xdr:rowOff>219075</xdr:rowOff>
        </xdr:to>
        <xdr:sp macro="" textlink="">
          <xdr:nvSpPr>
            <xdr:cNvPr id="71755" name="Check Box 75" hidden="1">
              <a:extLst>
                <a:ext uri="{63B3BB69-23CF-44E3-9099-C40C66FF867C}">
                  <a14:compatExt spid="_x0000_s71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18</xdr:row>
          <xdr:rowOff>0</xdr:rowOff>
        </xdr:from>
        <xdr:to>
          <xdr:col>4</xdr:col>
          <xdr:colOff>619125</xdr:colOff>
          <xdr:row>18</xdr:row>
          <xdr:rowOff>219075</xdr:rowOff>
        </xdr:to>
        <xdr:sp macro="" textlink="">
          <xdr:nvSpPr>
            <xdr:cNvPr id="71756" name="Check Box 76" hidden="1">
              <a:extLst>
                <a:ext uri="{63B3BB69-23CF-44E3-9099-C40C66FF867C}">
                  <a14:compatExt spid="_x0000_s71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19050</xdr:rowOff>
        </xdr:from>
        <xdr:to>
          <xdr:col>4</xdr:col>
          <xdr:colOff>628650</xdr:colOff>
          <xdr:row>34</xdr:row>
          <xdr:rowOff>238125</xdr:rowOff>
        </xdr:to>
        <xdr:sp macro="" textlink="">
          <xdr:nvSpPr>
            <xdr:cNvPr id="71757" name="Check Box 77" hidden="1">
              <a:extLst>
                <a:ext uri="{63B3BB69-23CF-44E3-9099-C40C66FF867C}">
                  <a14:compatExt spid="_x0000_s71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38</xdr:row>
          <xdr:rowOff>19050</xdr:rowOff>
        </xdr:from>
        <xdr:to>
          <xdr:col>4</xdr:col>
          <xdr:colOff>628650</xdr:colOff>
          <xdr:row>38</xdr:row>
          <xdr:rowOff>238125</xdr:rowOff>
        </xdr:to>
        <xdr:sp macro="" textlink="">
          <xdr:nvSpPr>
            <xdr:cNvPr id="71758" name="Check Box 78" hidden="1">
              <a:extLst>
                <a:ext uri="{63B3BB69-23CF-44E3-9099-C40C66FF867C}">
                  <a14:compatExt spid="_x0000_s71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12</xdr:row>
          <xdr:rowOff>0</xdr:rowOff>
        </xdr:from>
        <xdr:to>
          <xdr:col>4</xdr:col>
          <xdr:colOff>628650</xdr:colOff>
          <xdr:row>12</xdr:row>
          <xdr:rowOff>219075</xdr:rowOff>
        </xdr:to>
        <xdr:sp macro="" textlink="">
          <xdr:nvSpPr>
            <xdr:cNvPr id="71759" name="Check Box 79" hidden="1">
              <a:extLst>
                <a:ext uri="{63B3BB69-23CF-44E3-9099-C40C66FF867C}">
                  <a14:compatExt spid="_x0000_s71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23</xdr:row>
          <xdr:rowOff>0</xdr:rowOff>
        </xdr:from>
        <xdr:to>
          <xdr:col>4</xdr:col>
          <xdr:colOff>628650</xdr:colOff>
          <xdr:row>23</xdr:row>
          <xdr:rowOff>219075</xdr:rowOff>
        </xdr:to>
        <xdr:sp macro="" textlink="">
          <xdr:nvSpPr>
            <xdr:cNvPr id="71760" name="Check Box 80" hidden="1">
              <a:extLst>
                <a:ext uri="{63B3BB69-23CF-44E3-9099-C40C66FF867C}">
                  <a14:compatExt spid="_x0000_s71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16</xdr:col>
      <xdr:colOff>704850</xdr:colOff>
      <xdr:row>43</xdr:row>
      <xdr:rowOff>0</xdr:rowOff>
    </xdr:to>
    <xdr:sp macro="[0]!NeoLab_EnterText" textlink="">
      <xdr:nvSpPr>
        <xdr:cNvPr id="82" name="Rectangle 123"/>
        <xdr:cNvSpPr>
          <a:spLocks noChangeArrowheads="1"/>
        </xdr:cNvSpPr>
      </xdr:nvSpPr>
      <xdr:spPr bwMode="auto">
        <a:xfrm>
          <a:off x="257175" y="11220450"/>
          <a:ext cx="10267950" cy="1524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7</xdr:row>
      <xdr:rowOff>0</xdr:rowOff>
    </xdr:from>
    <xdr:to>
      <xdr:col>2</xdr:col>
      <xdr:colOff>152400</xdr:colOff>
      <xdr:row>7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19050</xdr:rowOff>
        </xdr:from>
        <xdr:to>
          <xdr:col>2</xdr:col>
          <xdr:colOff>628650</xdr:colOff>
          <xdr:row>39</xdr:row>
          <xdr:rowOff>238125</xdr:rowOff>
        </xdr:to>
        <xdr:sp macro="" textlink="">
          <xdr:nvSpPr>
            <xdr:cNvPr id="71793" name="Check Box 113" hidden="1">
              <a:extLst>
                <a:ext uri="{63B3BB69-23CF-44E3-9099-C40C66FF867C}">
                  <a14:compatExt spid="_x0000_s71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39</xdr:row>
          <xdr:rowOff>19050</xdr:rowOff>
        </xdr:from>
        <xdr:to>
          <xdr:col>6</xdr:col>
          <xdr:colOff>628650</xdr:colOff>
          <xdr:row>39</xdr:row>
          <xdr:rowOff>238125</xdr:rowOff>
        </xdr:to>
        <xdr:sp macro="" textlink="">
          <xdr:nvSpPr>
            <xdr:cNvPr id="71794" name="Check Box 114" hidden="1">
              <a:extLst>
                <a:ext uri="{63B3BB69-23CF-44E3-9099-C40C66FF867C}">
                  <a14:compatExt spid="_x0000_s717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39</xdr:row>
          <xdr:rowOff>19050</xdr:rowOff>
        </xdr:from>
        <xdr:to>
          <xdr:col>8</xdr:col>
          <xdr:colOff>628650</xdr:colOff>
          <xdr:row>39</xdr:row>
          <xdr:rowOff>238125</xdr:rowOff>
        </xdr:to>
        <xdr:sp macro="" textlink="">
          <xdr:nvSpPr>
            <xdr:cNvPr id="71795" name="Check Box 115" hidden="1">
              <a:extLst>
                <a:ext uri="{63B3BB69-23CF-44E3-9099-C40C66FF867C}">
                  <a14:compatExt spid="_x0000_s717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39</xdr:row>
          <xdr:rowOff>19050</xdr:rowOff>
        </xdr:from>
        <xdr:to>
          <xdr:col>16</xdr:col>
          <xdr:colOff>628650</xdr:colOff>
          <xdr:row>39</xdr:row>
          <xdr:rowOff>238125</xdr:rowOff>
        </xdr:to>
        <xdr:sp macro="" textlink="">
          <xdr:nvSpPr>
            <xdr:cNvPr id="71796" name="Check Box 116" hidden="1">
              <a:extLst>
                <a:ext uri="{63B3BB69-23CF-44E3-9099-C40C66FF867C}">
                  <a14:compatExt spid="_x0000_s71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39</xdr:row>
          <xdr:rowOff>19050</xdr:rowOff>
        </xdr:from>
        <xdr:to>
          <xdr:col>4</xdr:col>
          <xdr:colOff>628650</xdr:colOff>
          <xdr:row>39</xdr:row>
          <xdr:rowOff>238125</xdr:rowOff>
        </xdr:to>
        <xdr:sp macro="" textlink="">
          <xdr:nvSpPr>
            <xdr:cNvPr id="71797" name="Check Box 117" hidden="1">
              <a:extLst>
                <a:ext uri="{63B3BB69-23CF-44E3-9099-C40C66FF867C}">
                  <a14:compatExt spid="_x0000_s71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40</xdr:row>
          <xdr:rowOff>19050</xdr:rowOff>
        </xdr:from>
        <xdr:to>
          <xdr:col>2</xdr:col>
          <xdr:colOff>628650</xdr:colOff>
          <xdr:row>40</xdr:row>
          <xdr:rowOff>238125</xdr:rowOff>
        </xdr:to>
        <xdr:sp macro="" textlink="">
          <xdr:nvSpPr>
            <xdr:cNvPr id="71800" name="Check Box 120" hidden="1">
              <a:extLst>
                <a:ext uri="{63B3BB69-23CF-44E3-9099-C40C66FF867C}">
                  <a14:compatExt spid="_x0000_s71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40</xdr:row>
          <xdr:rowOff>19050</xdr:rowOff>
        </xdr:from>
        <xdr:to>
          <xdr:col>6</xdr:col>
          <xdr:colOff>628650</xdr:colOff>
          <xdr:row>40</xdr:row>
          <xdr:rowOff>238125</xdr:rowOff>
        </xdr:to>
        <xdr:sp macro="" textlink="">
          <xdr:nvSpPr>
            <xdr:cNvPr id="71801" name="Check Box 121" hidden="1">
              <a:extLst>
                <a:ext uri="{63B3BB69-23CF-44E3-9099-C40C66FF867C}">
                  <a14:compatExt spid="_x0000_s71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40</xdr:row>
          <xdr:rowOff>19050</xdr:rowOff>
        </xdr:from>
        <xdr:to>
          <xdr:col>8</xdr:col>
          <xdr:colOff>628650</xdr:colOff>
          <xdr:row>40</xdr:row>
          <xdr:rowOff>238125</xdr:rowOff>
        </xdr:to>
        <xdr:sp macro="" textlink="">
          <xdr:nvSpPr>
            <xdr:cNvPr id="71802" name="Check Box 122" hidden="1">
              <a:extLst>
                <a:ext uri="{63B3BB69-23CF-44E3-9099-C40C66FF867C}">
                  <a14:compatExt spid="_x0000_s71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40</xdr:row>
          <xdr:rowOff>19050</xdr:rowOff>
        </xdr:from>
        <xdr:to>
          <xdr:col>16</xdr:col>
          <xdr:colOff>628650</xdr:colOff>
          <xdr:row>40</xdr:row>
          <xdr:rowOff>238125</xdr:rowOff>
        </xdr:to>
        <xdr:sp macro="" textlink="">
          <xdr:nvSpPr>
            <xdr:cNvPr id="71803" name="Check Box 123" hidden="1">
              <a:extLst>
                <a:ext uri="{63B3BB69-23CF-44E3-9099-C40C66FF867C}">
                  <a14:compatExt spid="_x0000_s71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40</xdr:row>
          <xdr:rowOff>19050</xdr:rowOff>
        </xdr:from>
        <xdr:to>
          <xdr:col>4</xdr:col>
          <xdr:colOff>628650</xdr:colOff>
          <xdr:row>40</xdr:row>
          <xdr:rowOff>238125</xdr:rowOff>
        </xdr:to>
        <xdr:sp macro="" textlink="">
          <xdr:nvSpPr>
            <xdr:cNvPr id="71804" name="Check Box 124" hidden="1">
              <a:extLst>
                <a:ext uri="{63B3BB69-23CF-44E3-9099-C40C66FF867C}">
                  <a14:compatExt spid="_x0000_s71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0</xdr:rowOff>
        </xdr:from>
        <xdr:to>
          <xdr:col>2</xdr:col>
          <xdr:colOff>628650</xdr:colOff>
          <xdr:row>15</xdr:row>
          <xdr:rowOff>219075</xdr:rowOff>
        </xdr:to>
        <xdr:sp macro="" textlink="">
          <xdr:nvSpPr>
            <xdr:cNvPr id="71807" name="Check Box 127" hidden="1">
              <a:extLst>
                <a:ext uri="{63B3BB69-23CF-44E3-9099-C40C66FF867C}">
                  <a14:compatExt spid="_x0000_s71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0</xdr:rowOff>
        </xdr:from>
        <xdr:to>
          <xdr:col>6</xdr:col>
          <xdr:colOff>628650</xdr:colOff>
          <xdr:row>15</xdr:row>
          <xdr:rowOff>219075</xdr:rowOff>
        </xdr:to>
        <xdr:sp macro="" textlink="">
          <xdr:nvSpPr>
            <xdr:cNvPr id="71808" name="Check Box 128" hidden="1">
              <a:extLst>
                <a:ext uri="{63B3BB69-23CF-44E3-9099-C40C66FF867C}">
                  <a14:compatExt spid="_x0000_s71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15</xdr:row>
          <xdr:rowOff>0</xdr:rowOff>
        </xdr:from>
        <xdr:to>
          <xdr:col>8</xdr:col>
          <xdr:colOff>628650</xdr:colOff>
          <xdr:row>15</xdr:row>
          <xdr:rowOff>219075</xdr:rowOff>
        </xdr:to>
        <xdr:sp macro="" textlink="">
          <xdr:nvSpPr>
            <xdr:cNvPr id="71809" name="Check Box 129" hidden="1">
              <a:extLst>
                <a:ext uri="{63B3BB69-23CF-44E3-9099-C40C66FF867C}">
                  <a14:compatExt spid="_x0000_s71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15</xdr:row>
          <xdr:rowOff>0</xdr:rowOff>
        </xdr:from>
        <xdr:to>
          <xdr:col>16</xdr:col>
          <xdr:colOff>628650</xdr:colOff>
          <xdr:row>15</xdr:row>
          <xdr:rowOff>219075</xdr:rowOff>
        </xdr:to>
        <xdr:sp macro="" textlink="">
          <xdr:nvSpPr>
            <xdr:cNvPr id="71810" name="Check Box 130" hidden="1">
              <a:extLst>
                <a:ext uri="{63B3BB69-23CF-44E3-9099-C40C66FF867C}">
                  <a14:compatExt spid="_x0000_s71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15</xdr:row>
          <xdr:rowOff>0</xdr:rowOff>
        </xdr:from>
        <xdr:to>
          <xdr:col>4</xdr:col>
          <xdr:colOff>628650</xdr:colOff>
          <xdr:row>15</xdr:row>
          <xdr:rowOff>219075</xdr:rowOff>
        </xdr:to>
        <xdr:sp macro="" textlink="">
          <xdr:nvSpPr>
            <xdr:cNvPr id="71811" name="Check Box 131" hidden="1">
              <a:extLst>
                <a:ext uri="{63B3BB69-23CF-44E3-9099-C40C66FF867C}">
                  <a14:compatExt spid="_x0000_s71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0</xdr:rowOff>
        </xdr:from>
        <xdr:to>
          <xdr:col>2</xdr:col>
          <xdr:colOff>628650</xdr:colOff>
          <xdr:row>17</xdr:row>
          <xdr:rowOff>219075</xdr:rowOff>
        </xdr:to>
        <xdr:sp macro="" textlink="">
          <xdr:nvSpPr>
            <xdr:cNvPr id="71814" name="Check Box 134" hidden="1">
              <a:extLst>
                <a:ext uri="{63B3BB69-23CF-44E3-9099-C40C66FF867C}">
                  <a14:compatExt spid="_x0000_s71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17</xdr:row>
          <xdr:rowOff>0</xdr:rowOff>
        </xdr:from>
        <xdr:to>
          <xdr:col>6</xdr:col>
          <xdr:colOff>628650</xdr:colOff>
          <xdr:row>17</xdr:row>
          <xdr:rowOff>219075</xdr:rowOff>
        </xdr:to>
        <xdr:sp macro="" textlink="">
          <xdr:nvSpPr>
            <xdr:cNvPr id="71815" name="Check Box 135" hidden="1">
              <a:extLst>
                <a:ext uri="{63B3BB69-23CF-44E3-9099-C40C66FF867C}">
                  <a14:compatExt spid="_x0000_s71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17</xdr:row>
          <xdr:rowOff>0</xdr:rowOff>
        </xdr:from>
        <xdr:to>
          <xdr:col>8</xdr:col>
          <xdr:colOff>628650</xdr:colOff>
          <xdr:row>17</xdr:row>
          <xdr:rowOff>219075</xdr:rowOff>
        </xdr:to>
        <xdr:sp macro="" textlink="">
          <xdr:nvSpPr>
            <xdr:cNvPr id="71816" name="Check Box 136" hidden="1">
              <a:extLst>
                <a:ext uri="{63B3BB69-23CF-44E3-9099-C40C66FF867C}">
                  <a14:compatExt spid="_x0000_s71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17</xdr:row>
          <xdr:rowOff>0</xdr:rowOff>
        </xdr:from>
        <xdr:to>
          <xdr:col>16</xdr:col>
          <xdr:colOff>628650</xdr:colOff>
          <xdr:row>17</xdr:row>
          <xdr:rowOff>219075</xdr:rowOff>
        </xdr:to>
        <xdr:sp macro="" textlink="">
          <xdr:nvSpPr>
            <xdr:cNvPr id="71817" name="Check Box 137" hidden="1">
              <a:extLst>
                <a:ext uri="{63B3BB69-23CF-44E3-9099-C40C66FF867C}">
                  <a14:compatExt spid="_x0000_s71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17</xdr:row>
          <xdr:rowOff>0</xdr:rowOff>
        </xdr:from>
        <xdr:to>
          <xdr:col>4</xdr:col>
          <xdr:colOff>628650</xdr:colOff>
          <xdr:row>17</xdr:row>
          <xdr:rowOff>219075</xdr:rowOff>
        </xdr:to>
        <xdr:sp macro="" textlink="">
          <xdr:nvSpPr>
            <xdr:cNvPr id="71818" name="Check Box 138" hidden="1">
              <a:extLst>
                <a:ext uri="{63B3BB69-23CF-44E3-9099-C40C66FF867C}">
                  <a14:compatExt spid="_x0000_s71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21</xdr:row>
          <xdr:rowOff>0</xdr:rowOff>
        </xdr:from>
        <xdr:to>
          <xdr:col>2</xdr:col>
          <xdr:colOff>619125</xdr:colOff>
          <xdr:row>21</xdr:row>
          <xdr:rowOff>219075</xdr:rowOff>
        </xdr:to>
        <xdr:sp macro="" textlink="">
          <xdr:nvSpPr>
            <xdr:cNvPr id="71821" name="Check Box 141" hidden="1">
              <a:extLst>
                <a:ext uri="{63B3BB69-23CF-44E3-9099-C40C66FF867C}">
                  <a14:compatExt spid="_x0000_s71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21</xdr:row>
          <xdr:rowOff>0</xdr:rowOff>
        </xdr:from>
        <xdr:to>
          <xdr:col>6</xdr:col>
          <xdr:colOff>619125</xdr:colOff>
          <xdr:row>21</xdr:row>
          <xdr:rowOff>219075</xdr:rowOff>
        </xdr:to>
        <xdr:sp macro="" textlink="">
          <xdr:nvSpPr>
            <xdr:cNvPr id="71822" name="Check Box 142" hidden="1">
              <a:extLst>
                <a:ext uri="{63B3BB69-23CF-44E3-9099-C40C66FF867C}">
                  <a14:compatExt spid="_x0000_s71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21</xdr:row>
          <xdr:rowOff>0</xdr:rowOff>
        </xdr:from>
        <xdr:to>
          <xdr:col>8</xdr:col>
          <xdr:colOff>619125</xdr:colOff>
          <xdr:row>21</xdr:row>
          <xdr:rowOff>219075</xdr:rowOff>
        </xdr:to>
        <xdr:sp macro="" textlink="">
          <xdr:nvSpPr>
            <xdr:cNvPr id="71823" name="Check Box 143" hidden="1">
              <a:extLst>
                <a:ext uri="{63B3BB69-23CF-44E3-9099-C40C66FF867C}">
                  <a14:compatExt spid="_x0000_s71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38100</xdr:colOff>
          <xdr:row>21</xdr:row>
          <xdr:rowOff>0</xdr:rowOff>
        </xdr:from>
        <xdr:to>
          <xdr:col>16</xdr:col>
          <xdr:colOff>619125</xdr:colOff>
          <xdr:row>21</xdr:row>
          <xdr:rowOff>219075</xdr:rowOff>
        </xdr:to>
        <xdr:sp macro="" textlink="">
          <xdr:nvSpPr>
            <xdr:cNvPr id="71824" name="Check Box 144" hidden="1">
              <a:extLst>
                <a:ext uri="{63B3BB69-23CF-44E3-9099-C40C66FF867C}">
                  <a14:compatExt spid="_x0000_s71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21</xdr:row>
          <xdr:rowOff>0</xdr:rowOff>
        </xdr:from>
        <xdr:to>
          <xdr:col>4</xdr:col>
          <xdr:colOff>619125</xdr:colOff>
          <xdr:row>21</xdr:row>
          <xdr:rowOff>219075</xdr:rowOff>
        </xdr:to>
        <xdr:sp macro="" textlink="">
          <xdr:nvSpPr>
            <xdr:cNvPr id="71825" name="Check Box 145" hidden="1">
              <a:extLst>
                <a:ext uri="{63B3BB69-23CF-44E3-9099-C40C66FF867C}">
                  <a14:compatExt spid="_x0000_s71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</xdr:row>
          <xdr:rowOff>0</xdr:rowOff>
        </xdr:from>
        <xdr:to>
          <xdr:col>2</xdr:col>
          <xdr:colOff>628650</xdr:colOff>
          <xdr:row>28</xdr:row>
          <xdr:rowOff>219075</xdr:rowOff>
        </xdr:to>
        <xdr:sp macro="" textlink="">
          <xdr:nvSpPr>
            <xdr:cNvPr id="71828" name="Check Box 148" hidden="1">
              <a:extLst>
                <a:ext uri="{63B3BB69-23CF-44E3-9099-C40C66FF867C}">
                  <a14:compatExt spid="_x0000_s71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28</xdr:row>
          <xdr:rowOff>0</xdr:rowOff>
        </xdr:from>
        <xdr:to>
          <xdr:col>6</xdr:col>
          <xdr:colOff>628650</xdr:colOff>
          <xdr:row>28</xdr:row>
          <xdr:rowOff>219075</xdr:rowOff>
        </xdr:to>
        <xdr:sp macro="" textlink="">
          <xdr:nvSpPr>
            <xdr:cNvPr id="71829" name="Check Box 149" hidden="1">
              <a:extLst>
                <a:ext uri="{63B3BB69-23CF-44E3-9099-C40C66FF867C}">
                  <a14:compatExt spid="_x0000_s71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28</xdr:row>
          <xdr:rowOff>0</xdr:rowOff>
        </xdr:from>
        <xdr:to>
          <xdr:col>8</xdr:col>
          <xdr:colOff>628650</xdr:colOff>
          <xdr:row>28</xdr:row>
          <xdr:rowOff>219075</xdr:rowOff>
        </xdr:to>
        <xdr:sp macro="" textlink="">
          <xdr:nvSpPr>
            <xdr:cNvPr id="71830" name="Check Box 150" hidden="1">
              <a:extLst>
                <a:ext uri="{63B3BB69-23CF-44E3-9099-C40C66FF867C}">
                  <a14:compatExt spid="_x0000_s71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28</xdr:row>
          <xdr:rowOff>0</xdr:rowOff>
        </xdr:from>
        <xdr:to>
          <xdr:col>16</xdr:col>
          <xdr:colOff>628650</xdr:colOff>
          <xdr:row>28</xdr:row>
          <xdr:rowOff>219075</xdr:rowOff>
        </xdr:to>
        <xdr:sp macro="" textlink="">
          <xdr:nvSpPr>
            <xdr:cNvPr id="71831" name="Check Box 151" hidden="1">
              <a:extLst>
                <a:ext uri="{63B3BB69-23CF-44E3-9099-C40C66FF867C}">
                  <a14:compatExt spid="_x0000_s71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28</xdr:row>
          <xdr:rowOff>0</xdr:rowOff>
        </xdr:from>
        <xdr:to>
          <xdr:col>4</xdr:col>
          <xdr:colOff>628650</xdr:colOff>
          <xdr:row>28</xdr:row>
          <xdr:rowOff>219075</xdr:rowOff>
        </xdr:to>
        <xdr:sp macro="" textlink="">
          <xdr:nvSpPr>
            <xdr:cNvPr id="71832" name="Check Box 152" hidden="1">
              <a:extLst>
                <a:ext uri="{63B3BB69-23CF-44E3-9099-C40C66FF867C}">
                  <a14:compatExt spid="_x0000_s71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29</xdr:row>
          <xdr:rowOff>0</xdr:rowOff>
        </xdr:from>
        <xdr:to>
          <xdr:col>2</xdr:col>
          <xdr:colOff>628650</xdr:colOff>
          <xdr:row>29</xdr:row>
          <xdr:rowOff>219075</xdr:rowOff>
        </xdr:to>
        <xdr:sp macro="" textlink="">
          <xdr:nvSpPr>
            <xdr:cNvPr id="71835" name="Check Box 155" hidden="1">
              <a:extLst>
                <a:ext uri="{63B3BB69-23CF-44E3-9099-C40C66FF867C}">
                  <a14:compatExt spid="_x0000_s718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29</xdr:row>
          <xdr:rowOff>0</xdr:rowOff>
        </xdr:from>
        <xdr:to>
          <xdr:col>6</xdr:col>
          <xdr:colOff>628650</xdr:colOff>
          <xdr:row>29</xdr:row>
          <xdr:rowOff>219075</xdr:rowOff>
        </xdr:to>
        <xdr:sp macro="" textlink="">
          <xdr:nvSpPr>
            <xdr:cNvPr id="71836" name="Check Box 156" hidden="1">
              <a:extLst>
                <a:ext uri="{63B3BB69-23CF-44E3-9099-C40C66FF867C}">
                  <a14:compatExt spid="_x0000_s71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29</xdr:row>
          <xdr:rowOff>0</xdr:rowOff>
        </xdr:from>
        <xdr:to>
          <xdr:col>8</xdr:col>
          <xdr:colOff>628650</xdr:colOff>
          <xdr:row>29</xdr:row>
          <xdr:rowOff>219075</xdr:rowOff>
        </xdr:to>
        <xdr:sp macro="" textlink="">
          <xdr:nvSpPr>
            <xdr:cNvPr id="71837" name="Check Box 157" hidden="1">
              <a:extLst>
                <a:ext uri="{63B3BB69-23CF-44E3-9099-C40C66FF867C}">
                  <a14:compatExt spid="_x0000_s71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29</xdr:row>
          <xdr:rowOff>0</xdr:rowOff>
        </xdr:from>
        <xdr:to>
          <xdr:col>16</xdr:col>
          <xdr:colOff>628650</xdr:colOff>
          <xdr:row>29</xdr:row>
          <xdr:rowOff>219075</xdr:rowOff>
        </xdr:to>
        <xdr:sp macro="" textlink="">
          <xdr:nvSpPr>
            <xdr:cNvPr id="71838" name="Check Box 158" hidden="1">
              <a:extLst>
                <a:ext uri="{63B3BB69-23CF-44E3-9099-C40C66FF867C}">
                  <a14:compatExt spid="_x0000_s71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0</xdr:rowOff>
        </xdr:from>
        <xdr:to>
          <xdr:col>4</xdr:col>
          <xdr:colOff>628650</xdr:colOff>
          <xdr:row>29</xdr:row>
          <xdr:rowOff>219075</xdr:rowOff>
        </xdr:to>
        <xdr:sp macro="" textlink="">
          <xdr:nvSpPr>
            <xdr:cNvPr id="71839" name="Check Box 159" hidden="1">
              <a:extLst>
                <a:ext uri="{63B3BB69-23CF-44E3-9099-C40C66FF867C}">
                  <a14:compatExt spid="_x0000_s718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30</xdr:row>
          <xdr:rowOff>0</xdr:rowOff>
        </xdr:from>
        <xdr:to>
          <xdr:col>2</xdr:col>
          <xdr:colOff>628650</xdr:colOff>
          <xdr:row>30</xdr:row>
          <xdr:rowOff>219075</xdr:rowOff>
        </xdr:to>
        <xdr:sp macro="" textlink="">
          <xdr:nvSpPr>
            <xdr:cNvPr id="71842" name="Check Box 162" hidden="1">
              <a:extLst>
                <a:ext uri="{63B3BB69-23CF-44E3-9099-C40C66FF867C}">
                  <a14:compatExt spid="_x0000_s71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30</xdr:row>
          <xdr:rowOff>0</xdr:rowOff>
        </xdr:from>
        <xdr:to>
          <xdr:col>6</xdr:col>
          <xdr:colOff>628650</xdr:colOff>
          <xdr:row>30</xdr:row>
          <xdr:rowOff>219075</xdr:rowOff>
        </xdr:to>
        <xdr:sp macro="" textlink="">
          <xdr:nvSpPr>
            <xdr:cNvPr id="71843" name="Check Box 163" hidden="1">
              <a:extLst>
                <a:ext uri="{63B3BB69-23CF-44E3-9099-C40C66FF867C}">
                  <a14:compatExt spid="_x0000_s71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30</xdr:row>
          <xdr:rowOff>0</xdr:rowOff>
        </xdr:from>
        <xdr:to>
          <xdr:col>8</xdr:col>
          <xdr:colOff>628650</xdr:colOff>
          <xdr:row>30</xdr:row>
          <xdr:rowOff>219075</xdr:rowOff>
        </xdr:to>
        <xdr:sp macro="" textlink="">
          <xdr:nvSpPr>
            <xdr:cNvPr id="71844" name="Check Box 164" hidden="1">
              <a:extLst>
                <a:ext uri="{63B3BB69-23CF-44E3-9099-C40C66FF867C}">
                  <a14:compatExt spid="_x0000_s71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30</xdr:row>
          <xdr:rowOff>0</xdr:rowOff>
        </xdr:from>
        <xdr:to>
          <xdr:col>16</xdr:col>
          <xdr:colOff>628650</xdr:colOff>
          <xdr:row>30</xdr:row>
          <xdr:rowOff>219075</xdr:rowOff>
        </xdr:to>
        <xdr:sp macro="" textlink="">
          <xdr:nvSpPr>
            <xdr:cNvPr id="71845" name="Check Box 165" hidden="1">
              <a:extLst>
                <a:ext uri="{63B3BB69-23CF-44E3-9099-C40C66FF867C}">
                  <a14:compatExt spid="_x0000_s71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0</xdr:rowOff>
        </xdr:from>
        <xdr:to>
          <xdr:col>4</xdr:col>
          <xdr:colOff>628650</xdr:colOff>
          <xdr:row>30</xdr:row>
          <xdr:rowOff>219075</xdr:rowOff>
        </xdr:to>
        <xdr:sp macro="" textlink="">
          <xdr:nvSpPr>
            <xdr:cNvPr id="71846" name="Check Box 166" hidden="1">
              <a:extLst>
                <a:ext uri="{63B3BB69-23CF-44E3-9099-C40C66FF867C}">
                  <a14:compatExt spid="_x0000_s718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</xdr:row>
          <xdr:rowOff>0</xdr:rowOff>
        </xdr:from>
        <xdr:to>
          <xdr:col>2</xdr:col>
          <xdr:colOff>628650</xdr:colOff>
          <xdr:row>31</xdr:row>
          <xdr:rowOff>219075</xdr:rowOff>
        </xdr:to>
        <xdr:sp macro="" textlink="">
          <xdr:nvSpPr>
            <xdr:cNvPr id="71849" name="Check Box 169" hidden="1">
              <a:extLst>
                <a:ext uri="{63B3BB69-23CF-44E3-9099-C40C66FF867C}">
                  <a14:compatExt spid="_x0000_s71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31</xdr:row>
          <xdr:rowOff>0</xdr:rowOff>
        </xdr:from>
        <xdr:to>
          <xdr:col>6</xdr:col>
          <xdr:colOff>628650</xdr:colOff>
          <xdr:row>31</xdr:row>
          <xdr:rowOff>219075</xdr:rowOff>
        </xdr:to>
        <xdr:sp macro="" textlink="">
          <xdr:nvSpPr>
            <xdr:cNvPr id="71850" name="Check Box 170" hidden="1">
              <a:extLst>
                <a:ext uri="{63B3BB69-23CF-44E3-9099-C40C66FF867C}">
                  <a14:compatExt spid="_x0000_s71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31</xdr:row>
          <xdr:rowOff>0</xdr:rowOff>
        </xdr:from>
        <xdr:to>
          <xdr:col>8</xdr:col>
          <xdr:colOff>628650</xdr:colOff>
          <xdr:row>31</xdr:row>
          <xdr:rowOff>219075</xdr:rowOff>
        </xdr:to>
        <xdr:sp macro="" textlink="">
          <xdr:nvSpPr>
            <xdr:cNvPr id="71851" name="Check Box 171" hidden="1">
              <a:extLst>
                <a:ext uri="{63B3BB69-23CF-44E3-9099-C40C66FF867C}">
                  <a14:compatExt spid="_x0000_s71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31</xdr:row>
          <xdr:rowOff>0</xdr:rowOff>
        </xdr:from>
        <xdr:to>
          <xdr:col>16</xdr:col>
          <xdr:colOff>628650</xdr:colOff>
          <xdr:row>31</xdr:row>
          <xdr:rowOff>219075</xdr:rowOff>
        </xdr:to>
        <xdr:sp macro="" textlink="">
          <xdr:nvSpPr>
            <xdr:cNvPr id="71852" name="Check Box 172" hidden="1">
              <a:extLst>
                <a:ext uri="{63B3BB69-23CF-44E3-9099-C40C66FF867C}">
                  <a14:compatExt spid="_x0000_s71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0</xdr:rowOff>
        </xdr:from>
        <xdr:to>
          <xdr:col>4</xdr:col>
          <xdr:colOff>628650</xdr:colOff>
          <xdr:row>31</xdr:row>
          <xdr:rowOff>219075</xdr:rowOff>
        </xdr:to>
        <xdr:sp macro="" textlink="">
          <xdr:nvSpPr>
            <xdr:cNvPr id="71853" name="Check Box 173" hidden="1">
              <a:extLst>
                <a:ext uri="{63B3BB69-23CF-44E3-9099-C40C66FF867C}">
                  <a14:compatExt spid="_x0000_s71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0</xdr:rowOff>
        </xdr:from>
        <xdr:to>
          <xdr:col>2</xdr:col>
          <xdr:colOff>628650</xdr:colOff>
          <xdr:row>32</xdr:row>
          <xdr:rowOff>219075</xdr:rowOff>
        </xdr:to>
        <xdr:sp macro="" textlink="">
          <xdr:nvSpPr>
            <xdr:cNvPr id="71856" name="Check Box 176" hidden="1">
              <a:extLst>
                <a:ext uri="{63B3BB69-23CF-44E3-9099-C40C66FF867C}">
                  <a14:compatExt spid="_x0000_s718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32</xdr:row>
          <xdr:rowOff>0</xdr:rowOff>
        </xdr:from>
        <xdr:to>
          <xdr:col>6</xdr:col>
          <xdr:colOff>628650</xdr:colOff>
          <xdr:row>32</xdr:row>
          <xdr:rowOff>219075</xdr:rowOff>
        </xdr:to>
        <xdr:sp macro="" textlink="">
          <xdr:nvSpPr>
            <xdr:cNvPr id="71857" name="Check Box 177" hidden="1">
              <a:extLst>
                <a:ext uri="{63B3BB69-23CF-44E3-9099-C40C66FF867C}">
                  <a14:compatExt spid="_x0000_s71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32</xdr:row>
          <xdr:rowOff>0</xdr:rowOff>
        </xdr:from>
        <xdr:to>
          <xdr:col>8</xdr:col>
          <xdr:colOff>628650</xdr:colOff>
          <xdr:row>32</xdr:row>
          <xdr:rowOff>219075</xdr:rowOff>
        </xdr:to>
        <xdr:sp macro="" textlink="">
          <xdr:nvSpPr>
            <xdr:cNvPr id="71858" name="Check Box 178" hidden="1">
              <a:extLst>
                <a:ext uri="{63B3BB69-23CF-44E3-9099-C40C66FF867C}">
                  <a14:compatExt spid="_x0000_s71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32</xdr:row>
          <xdr:rowOff>0</xdr:rowOff>
        </xdr:from>
        <xdr:to>
          <xdr:col>16</xdr:col>
          <xdr:colOff>628650</xdr:colOff>
          <xdr:row>32</xdr:row>
          <xdr:rowOff>219075</xdr:rowOff>
        </xdr:to>
        <xdr:sp macro="" textlink="">
          <xdr:nvSpPr>
            <xdr:cNvPr id="71859" name="Check Box 179" hidden="1">
              <a:extLst>
                <a:ext uri="{63B3BB69-23CF-44E3-9099-C40C66FF867C}">
                  <a14:compatExt spid="_x0000_s71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0</xdr:rowOff>
        </xdr:from>
        <xdr:to>
          <xdr:col>4</xdr:col>
          <xdr:colOff>628650</xdr:colOff>
          <xdr:row>32</xdr:row>
          <xdr:rowOff>219075</xdr:rowOff>
        </xdr:to>
        <xdr:sp macro="" textlink="">
          <xdr:nvSpPr>
            <xdr:cNvPr id="71860" name="Check Box 180" hidden="1">
              <a:extLst>
                <a:ext uri="{63B3BB69-23CF-44E3-9099-C40C66FF867C}">
                  <a14:compatExt spid="_x0000_s71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</xdr:row>
          <xdr:rowOff>0</xdr:rowOff>
        </xdr:from>
        <xdr:to>
          <xdr:col>2</xdr:col>
          <xdr:colOff>628650</xdr:colOff>
          <xdr:row>35</xdr:row>
          <xdr:rowOff>228600</xdr:rowOff>
        </xdr:to>
        <xdr:sp macro="" textlink="">
          <xdr:nvSpPr>
            <xdr:cNvPr id="71863" name="Check Box 183" hidden="1">
              <a:extLst>
                <a:ext uri="{63B3BB69-23CF-44E3-9099-C40C66FF867C}">
                  <a14:compatExt spid="_x0000_s71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35</xdr:row>
          <xdr:rowOff>0</xdr:rowOff>
        </xdr:from>
        <xdr:to>
          <xdr:col>6</xdr:col>
          <xdr:colOff>628650</xdr:colOff>
          <xdr:row>35</xdr:row>
          <xdr:rowOff>228600</xdr:rowOff>
        </xdr:to>
        <xdr:sp macro="" textlink="">
          <xdr:nvSpPr>
            <xdr:cNvPr id="71864" name="Check Box 184" hidden="1">
              <a:extLst>
                <a:ext uri="{63B3BB69-23CF-44E3-9099-C40C66FF867C}">
                  <a14:compatExt spid="_x0000_s71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35</xdr:row>
          <xdr:rowOff>0</xdr:rowOff>
        </xdr:from>
        <xdr:to>
          <xdr:col>8</xdr:col>
          <xdr:colOff>628650</xdr:colOff>
          <xdr:row>35</xdr:row>
          <xdr:rowOff>228600</xdr:rowOff>
        </xdr:to>
        <xdr:sp macro="" textlink="">
          <xdr:nvSpPr>
            <xdr:cNvPr id="71865" name="Check Box 185" hidden="1">
              <a:extLst>
                <a:ext uri="{63B3BB69-23CF-44E3-9099-C40C66FF867C}">
                  <a14:compatExt spid="_x0000_s71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35</xdr:row>
          <xdr:rowOff>0</xdr:rowOff>
        </xdr:from>
        <xdr:to>
          <xdr:col>16</xdr:col>
          <xdr:colOff>628650</xdr:colOff>
          <xdr:row>35</xdr:row>
          <xdr:rowOff>228600</xdr:rowOff>
        </xdr:to>
        <xdr:sp macro="" textlink="">
          <xdr:nvSpPr>
            <xdr:cNvPr id="71866" name="Check Box 186" hidden="1">
              <a:extLst>
                <a:ext uri="{63B3BB69-23CF-44E3-9099-C40C66FF867C}">
                  <a14:compatExt spid="_x0000_s71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0</xdr:rowOff>
        </xdr:from>
        <xdr:to>
          <xdr:col>4</xdr:col>
          <xdr:colOff>628650</xdr:colOff>
          <xdr:row>35</xdr:row>
          <xdr:rowOff>228600</xdr:rowOff>
        </xdr:to>
        <xdr:sp macro="" textlink="">
          <xdr:nvSpPr>
            <xdr:cNvPr id="71867" name="Check Box 187" hidden="1">
              <a:extLst>
                <a:ext uri="{63B3BB69-23CF-44E3-9099-C40C66FF867C}">
                  <a14:compatExt spid="_x0000_s71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24</xdr:row>
          <xdr:rowOff>19050</xdr:rowOff>
        </xdr:from>
        <xdr:to>
          <xdr:col>2</xdr:col>
          <xdr:colOff>628650</xdr:colOff>
          <xdr:row>24</xdr:row>
          <xdr:rowOff>238125</xdr:rowOff>
        </xdr:to>
        <xdr:sp macro="" textlink="">
          <xdr:nvSpPr>
            <xdr:cNvPr id="71870" name="Check Box 190" descr="Fosfaat" hidden="1">
              <a:extLst>
                <a:ext uri="{63B3BB69-23CF-44E3-9099-C40C66FF867C}">
                  <a14:compatExt spid="_x0000_s718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24</xdr:row>
          <xdr:rowOff>19050</xdr:rowOff>
        </xdr:from>
        <xdr:to>
          <xdr:col>6</xdr:col>
          <xdr:colOff>628650</xdr:colOff>
          <xdr:row>24</xdr:row>
          <xdr:rowOff>238125</xdr:rowOff>
        </xdr:to>
        <xdr:sp macro="" textlink="">
          <xdr:nvSpPr>
            <xdr:cNvPr id="71871" name="Check Box 191" descr="Fosfaat" hidden="1">
              <a:extLst>
                <a:ext uri="{63B3BB69-23CF-44E3-9099-C40C66FF867C}">
                  <a14:compatExt spid="_x0000_s718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24</xdr:row>
          <xdr:rowOff>19050</xdr:rowOff>
        </xdr:from>
        <xdr:to>
          <xdr:col>8</xdr:col>
          <xdr:colOff>628650</xdr:colOff>
          <xdr:row>24</xdr:row>
          <xdr:rowOff>238125</xdr:rowOff>
        </xdr:to>
        <xdr:sp macro="" textlink="">
          <xdr:nvSpPr>
            <xdr:cNvPr id="71872" name="Check Box 192" descr="Fosfaat" hidden="1">
              <a:extLst>
                <a:ext uri="{63B3BB69-23CF-44E3-9099-C40C66FF867C}">
                  <a14:compatExt spid="_x0000_s718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24</xdr:row>
          <xdr:rowOff>19050</xdr:rowOff>
        </xdr:from>
        <xdr:to>
          <xdr:col>16</xdr:col>
          <xdr:colOff>628650</xdr:colOff>
          <xdr:row>24</xdr:row>
          <xdr:rowOff>238125</xdr:rowOff>
        </xdr:to>
        <xdr:sp macro="" textlink="">
          <xdr:nvSpPr>
            <xdr:cNvPr id="71873" name="Check Box 193" descr="Fosfaat" hidden="1">
              <a:extLst>
                <a:ext uri="{63B3BB69-23CF-44E3-9099-C40C66FF867C}">
                  <a14:compatExt spid="_x0000_s71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24</xdr:row>
          <xdr:rowOff>19050</xdr:rowOff>
        </xdr:from>
        <xdr:to>
          <xdr:col>4</xdr:col>
          <xdr:colOff>628650</xdr:colOff>
          <xdr:row>24</xdr:row>
          <xdr:rowOff>238125</xdr:rowOff>
        </xdr:to>
        <xdr:sp macro="" textlink="">
          <xdr:nvSpPr>
            <xdr:cNvPr id="71874" name="Check Box 194" descr="Fosfaat" hidden="1">
              <a:extLst>
                <a:ext uri="{63B3BB69-23CF-44E3-9099-C40C66FF867C}">
                  <a14:compatExt spid="_x0000_s71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10</xdr:row>
          <xdr:rowOff>0</xdr:rowOff>
        </xdr:from>
        <xdr:to>
          <xdr:col>10</xdr:col>
          <xdr:colOff>628650</xdr:colOff>
          <xdr:row>10</xdr:row>
          <xdr:rowOff>219075</xdr:rowOff>
        </xdr:to>
        <xdr:sp macro="" textlink="">
          <xdr:nvSpPr>
            <xdr:cNvPr id="71877" name="Check Box 197" hidden="1">
              <a:extLst>
                <a:ext uri="{63B3BB69-23CF-44E3-9099-C40C66FF867C}">
                  <a14:compatExt spid="_x0000_s71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11</xdr:row>
          <xdr:rowOff>0</xdr:rowOff>
        </xdr:from>
        <xdr:to>
          <xdr:col>10</xdr:col>
          <xdr:colOff>628650</xdr:colOff>
          <xdr:row>11</xdr:row>
          <xdr:rowOff>219075</xdr:rowOff>
        </xdr:to>
        <xdr:sp macro="" textlink="">
          <xdr:nvSpPr>
            <xdr:cNvPr id="71878" name="Check Box 198" hidden="1">
              <a:extLst>
                <a:ext uri="{63B3BB69-23CF-44E3-9099-C40C66FF867C}">
                  <a14:compatExt spid="_x0000_s71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13</xdr:row>
          <xdr:rowOff>0</xdr:rowOff>
        </xdr:from>
        <xdr:to>
          <xdr:col>10</xdr:col>
          <xdr:colOff>628650</xdr:colOff>
          <xdr:row>13</xdr:row>
          <xdr:rowOff>219075</xdr:rowOff>
        </xdr:to>
        <xdr:sp macro="" textlink="">
          <xdr:nvSpPr>
            <xdr:cNvPr id="71879" name="Check Box 199" hidden="1">
              <a:extLst>
                <a:ext uri="{63B3BB69-23CF-44E3-9099-C40C66FF867C}">
                  <a14:compatExt spid="_x0000_s71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14</xdr:row>
          <xdr:rowOff>0</xdr:rowOff>
        </xdr:from>
        <xdr:to>
          <xdr:col>10</xdr:col>
          <xdr:colOff>628650</xdr:colOff>
          <xdr:row>14</xdr:row>
          <xdr:rowOff>219075</xdr:rowOff>
        </xdr:to>
        <xdr:sp macro="" textlink="">
          <xdr:nvSpPr>
            <xdr:cNvPr id="71880" name="Check Box 200" hidden="1">
              <a:extLst>
                <a:ext uri="{63B3BB69-23CF-44E3-9099-C40C66FF867C}">
                  <a14:compatExt spid="_x0000_s718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20</xdr:row>
          <xdr:rowOff>0</xdr:rowOff>
        </xdr:from>
        <xdr:to>
          <xdr:col>10</xdr:col>
          <xdr:colOff>619125</xdr:colOff>
          <xdr:row>20</xdr:row>
          <xdr:rowOff>219075</xdr:rowOff>
        </xdr:to>
        <xdr:sp macro="" textlink="">
          <xdr:nvSpPr>
            <xdr:cNvPr id="71881" name="Check Box 201" hidden="1">
              <a:extLst>
                <a:ext uri="{63B3BB69-23CF-44E3-9099-C40C66FF867C}">
                  <a14:compatExt spid="_x0000_s71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19</xdr:row>
          <xdr:rowOff>0</xdr:rowOff>
        </xdr:from>
        <xdr:to>
          <xdr:col>10</xdr:col>
          <xdr:colOff>628650</xdr:colOff>
          <xdr:row>19</xdr:row>
          <xdr:rowOff>219075</xdr:rowOff>
        </xdr:to>
        <xdr:sp macro="" textlink="">
          <xdr:nvSpPr>
            <xdr:cNvPr id="71882" name="Check Box 202" hidden="1">
              <a:extLst>
                <a:ext uri="{63B3BB69-23CF-44E3-9099-C40C66FF867C}">
                  <a14:compatExt spid="_x0000_s71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36</xdr:row>
          <xdr:rowOff>0</xdr:rowOff>
        </xdr:from>
        <xdr:to>
          <xdr:col>10</xdr:col>
          <xdr:colOff>628650</xdr:colOff>
          <xdr:row>36</xdr:row>
          <xdr:rowOff>228600</xdr:rowOff>
        </xdr:to>
        <xdr:sp macro="" textlink="">
          <xdr:nvSpPr>
            <xdr:cNvPr id="71883" name="Check Box 203" hidden="1">
              <a:extLst>
                <a:ext uri="{63B3BB69-23CF-44E3-9099-C40C66FF867C}">
                  <a14:compatExt spid="_x0000_s71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22</xdr:row>
          <xdr:rowOff>0</xdr:rowOff>
        </xdr:from>
        <xdr:to>
          <xdr:col>10</xdr:col>
          <xdr:colOff>628650</xdr:colOff>
          <xdr:row>22</xdr:row>
          <xdr:rowOff>219075</xdr:rowOff>
        </xdr:to>
        <xdr:sp macro="" textlink="">
          <xdr:nvSpPr>
            <xdr:cNvPr id="71884" name="Check Box 204" hidden="1">
              <a:extLst>
                <a:ext uri="{63B3BB69-23CF-44E3-9099-C40C66FF867C}">
                  <a14:compatExt spid="_x0000_s71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25</xdr:row>
          <xdr:rowOff>0</xdr:rowOff>
        </xdr:from>
        <xdr:to>
          <xdr:col>10</xdr:col>
          <xdr:colOff>628650</xdr:colOff>
          <xdr:row>25</xdr:row>
          <xdr:rowOff>219075</xdr:rowOff>
        </xdr:to>
        <xdr:sp macro="" textlink="">
          <xdr:nvSpPr>
            <xdr:cNvPr id="71885" name="Check Box 205" hidden="1">
              <a:extLst>
                <a:ext uri="{63B3BB69-23CF-44E3-9099-C40C66FF867C}">
                  <a14:compatExt spid="_x0000_s718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26</xdr:row>
          <xdr:rowOff>0</xdr:rowOff>
        </xdr:from>
        <xdr:to>
          <xdr:col>10</xdr:col>
          <xdr:colOff>628650</xdr:colOff>
          <xdr:row>26</xdr:row>
          <xdr:rowOff>219075</xdr:rowOff>
        </xdr:to>
        <xdr:sp macro="" textlink="">
          <xdr:nvSpPr>
            <xdr:cNvPr id="71886" name="Check Box 206" hidden="1">
              <a:extLst>
                <a:ext uri="{63B3BB69-23CF-44E3-9099-C40C66FF867C}">
                  <a14:compatExt spid="_x0000_s71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27</xdr:row>
          <xdr:rowOff>0</xdr:rowOff>
        </xdr:from>
        <xdr:to>
          <xdr:col>10</xdr:col>
          <xdr:colOff>628650</xdr:colOff>
          <xdr:row>27</xdr:row>
          <xdr:rowOff>219075</xdr:rowOff>
        </xdr:to>
        <xdr:sp macro="" textlink="">
          <xdr:nvSpPr>
            <xdr:cNvPr id="71887" name="Check Box 207" hidden="1">
              <a:extLst>
                <a:ext uri="{63B3BB69-23CF-44E3-9099-C40C66FF867C}">
                  <a14:compatExt spid="_x0000_s71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0</xdr:rowOff>
        </xdr:from>
        <xdr:to>
          <xdr:col>10</xdr:col>
          <xdr:colOff>619125</xdr:colOff>
          <xdr:row>18</xdr:row>
          <xdr:rowOff>219075</xdr:rowOff>
        </xdr:to>
        <xdr:sp macro="" textlink="">
          <xdr:nvSpPr>
            <xdr:cNvPr id="71888" name="Check Box 208" hidden="1">
              <a:extLst>
                <a:ext uri="{63B3BB69-23CF-44E3-9099-C40C66FF867C}">
                  <a14:compatExt spid="_x0000_s718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34</xdr:row>
          <xdr:rowOff>19050</xdr:rowOff>
        </xdr:from>
        <xdr:to>
          <xdr:col>10</xdr:col>
          <xdr:colOff>628650</xdr:colOff>
          <xdr:row>34</xdr:row>
          <xdr:rowOff>238125</xdr:rowOff>
        </xdr:to>
        <xdr:sp macro="" textlink="">
          <xdr:nvSpPr>
            <xdr:cNvPr id="71889" name="Check Box 209" hidden="1">
              <a:extLst>
                <a:ext uri="{63B3BB69-23CF-44E3-9099-C40C66FF867C}">
                  <a14:compatExt spid="_x0000_s71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10</xdr:row>
          <xdr:rowOff>0</xdr:rowOff>
        </xdr:from>
        <xdr:to>
          <xdr:col>12</xdr:col>
          <xdr:colOff>628650</xdr:colOff>
          <xdr:row>10</xdr:row>
          <xdr:rowOff>219075</xdr:rowOff>
        </xdr:to>
        <xdr:sp macro="" textlink="">
          <xdr:nvSpPr>
            <xdr:cNvPr id="71890" name="Check Box 210" hidden="1">
              <a:extLst>
                <a:ext uri="{63B3BB69-23CF-44E3-9099-C40C66FF867C}">
                  <a14:compatExt spid="_x0000_s718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11</xdr:row>
          <xdr:rowOff>0</xdr:rowOff>
        </xdr:from>
        <xdr:to>
          <xdr:col>12</xdr:col>
          <xdr:colOff>628650</xdr:colOff>
          <xdr:row>11</xdr:row>
          <xdr:rowOff>219075</xdr:rowOff>
        </xdr:to>
        <xdr:sp macro="" textlink="">
          <xdr:nvSpPr>
            <xdr:cNvPr id="71891" name="Check Box 211" hidden="1">
              <a:extLst>
                <a:ext uri="{63B3BB69-23CF-44E3-9099-C40C66FF867C}">
                  <a14:compatExt spid="_x0000_s718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13</xdr:row>
          <xdr:rowOff>0</xdr:rowOff>
        </xdr:from>
        <xdr:to>
          <xdr:col>12</xdr:col>
          <xdr:colOff>628650</xdr:colOff>
          <xdr:row>13</xdr:row>
          <xdr:rowOff>219075</xdr:rowOff>
        </xdr:to>
        <xdr:sp macro="" textlink="">
          <xdr:nvSpPr>
            <xdr:cNvPr id="71892" name="Check Box 212" hidden="1">
              <a:extLst>
                <a:ext uri="{63B3BB69-23CF-44E3-9099-C40C66FF867C}">
                  <a14:compatExt spid="_x0000_s71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14</xdr:row>
          <xdr:rowOff>0</xdr:rowOff>
        </xdr:from>
        <xdr:to>
          <xdr:col>12</xdr:col>
          <xdr:colOff>628650</xdr:colOff>
          <xdr:row>14</xdr:row>
          <xdr:rowOff>219075</xdr:rowOff>
        </xdr:to>
        <xdr:sp macro="" textlink="">
          <xdr:nvSpPr>
            <xdr:cNvPr id="71893" name="Check Box 213" hidden="1">
              <a:extLst>
                <a:ext uri="{63B3BB69-23CF-44E3-9099-C40C66FF867C}">
                  <a14:compatExt spid="_x0000_s718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20</xdr:row>
          <xdr:rowOff>0</xdr:rowOff>
        </xdr:from>
        <xdr:to>
          <xdr:col>12</xdr:col>
          <xdr:colOff>619125</xdr:colOff>
          <xdr:row>20</xdr:row>
          <xdr:rowOff>219075</xdr:rowOff>
        </xdr:to>
        <xdr:sp macro="" textlink="">
          <xdr:nvSpPr>
            <xdr:cNvPr id="71894" name="Check Box 214" hidden="1">
              <a:extLst>
                <a:ext uri="{63B3BB69-23CF-44E3-9099-C40C66FF867C}">
                  <a14:compatExt spid="_x0000_s718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19</xdr:row>
          <xdr:rowOff>0</xdr:rowOff>
        </xdr:from>
        <xdr:to>
          <xdr:col>12</xdr:col>
          <xdr:colOff>628650</xdr:colOff>
          <xdr:row>19</xdr:row>
          <xdr:rowOff>219075</xdr:rowOff>
        </xdr:to>
        <xdr:sp macro="" textlink="">
          <xdr:nvSpPr>
            <xdr:cNvPr id="71895" name="Check Box 215" hidden="1">
              <a:extLst>
                <a:ext uri="{63B3BB69-23CF-44E3-9099-C40C66FF867C}">
                  <a14:compatExt spid="_x0000_s718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36</xdr:row>
          <xdr:rowOff>0</xdr:rowOff>
        </xdr:from>
        <xdr:to>
          <xdr:col>12</xdr:col>
          <xdr:colOff>628650</xdr:colOff>
          <xdr:row>36</xdr:row>
          <xdr:rowOff>228600</xdr:rowOff>
        </xdr:to>
        <xdr:sp macro="" textlink="">
          <xdr:nvSpPr>
            <xdr:cNvPr id="71896" name="Check Box 216" hidden="1">
              <a:extLst>
                <a:ext uri="{63B3BB69-23CF-44E3-9099-C40C66FF867C}">
                  <a14:compatExt spid="_x0000_s718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22</xdr:row>
          <xdr:rowOff>0</xdr:rowOff>
        </xdr:from>
        <xdr:to>
          <xdr:col>12</xdr:col>
          <xdr:colOff>628650</xdr:colOff>
          <xdr:row>22</xdr:row>
          <xdr:rowOff>219075</xdr:rowOff>
        </xdr:to>
        <xdr:sp macro="" textlink="">
          <xdr:nvSpPr>
            <xdr:cNvPr id="71897" name="Check Box 217" hidden="1">
              <a:extLst>
                <a:ext uri="{63B3BB69-23CF-44E3-9099-C40C66FF867C}">
                  <a14:compatExt spid="_x0000_s71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25</xdr:row>
          <xdr:rowOff>0</xdr:rowOff>
        </xdr:from>
        <xdr:to>
          <xdr:col>12</xdr:col>
          <xdr:colOff>628650</xdr:colOff>
          <xdr:row>25</xdr:row>
          <xdr:rowOff>219075</xdr:rowOff>
        </xdr:to>
        <xdr:sp macro="" textlink="">
          <xdr:nvSpPr>
            <xdr:cNvPr id="71898" name="Check Box 218" hidden="1">
              <a:extLst>
                <a:ext uri="{63B3BB69-23CF-44E3-9099-C40C66FF867C}">
                  <a14:compatExt spid="_x0000_s71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26</xdr:row>
          <xdr:rowOff>0</xdr:rowOff>
        </xdr:from>
        <xdr:to>
          <xdr:col>12</xdr:col>
          <xdr:colOff>628650</xdr:colOff>
          <xdr:row>26</xdr:row>
          <xdr:rowOff>219075</xdr:rowOff>
        </xdr:to>
        <xdr:sp macro="" textlink="">
          <xdr:nvSpPr>
            <xdr:cNvPr id="71899" name="Check Box 219" hidden="1">
              <a:extLst>
                <a:ext uri="{63B3BB69-23CF-44E3-9099-C40C66FF867C}">
                  <a14:compatExt spid="_x0000_s718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27</xdr:row>
          <xdr:rowOff>0</xdr:rowOff>
        </xdr:from>
        <xdr:to>
          <xdr:col>12</xdr:col>
          <xdr:colOff>628650</xdr:colOff>
          <xdr:row>27</xdr:row>
          <xdr:rowOff>219075</xdr:rowOff>
        </xdr:to>
        <xdr:sp macro="" textlink="">
          <xdr:nvSpPr>
            <xdr:cNvPr id="71900" name="Check Box 220" hidden="1">
              <a:extLst>
                <a:ext uri="{63B3BB69-23CF-44E3-9099-C40C66FF867C}">
                  <a14:compatExt spid="_x0000_s719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18</xdr:row>
          <xdr:rowOff>0</xdr:rowOff>
        </xdr:from>
        <xdr:to>
          <xdr:col>12</xdr:col>
          <xdr:colOff>619125</xdr:colOff>
          <xdr:row>18</xdr:row>
          <xdr:rowOff>219075</xdr:rowOff>
        </xdr:to>
        <xdr:sp macro="" textlink="">
          <xdr:nvSpPr>
            <xdr:cNvPr id="71901" name="Check Box 221" hidden="1">
              <a:extLst>
                <a:ext uri="{63B3BB69-23CF-44E3-9099-C40C66FF867C}">
                  <a14:compatExt spid="_x0000_s71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34</xdr:row>
          <xdr:rowOff>19050</xdr:rowOff>
        </xdr:from>
        <xdr:to>
          <xdr:col>12</xdr:col>
          <xdr:colOff>628650</xdr:colOff>
          <xdr:row>34</xdr:row>
          <xdr:rowOff>238125</xdr:rowOff>
        </xdr:to>
        <xdr:sp macro="" textlink="">
          <xdr:nvSpPr>
            <xdr:cNvPr id="71902" name="Check Box 222" hidden="1">
              <a:extLst>
                <a:ext uri="{63B3BB69-23CF-44E3-9099-C40C66FF867C}">
                  <a14:compatExt spid="_x0000_s71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38</xdr:row>
          <xdr:rowOff>19050</xdr:rowOff>
        </xdr:from>
        <xdr:to>
          <xdr:col>10</xdr:col>
          <xdr:colOff>628650</xdr:colOff>
          <xdr:row>38</xdr:row>
          <xdr:rowOff>238125</xdr:rowOff>
        </xdr:to>
        <xdr:sp macro="" textlink="">
          <xdr:nvSpPr>
            <xdr:cNvPr id="71903" name="Check Box 223" hidden="1">
              <a:extLst>
                <a:ext uri="{63B3BB69-23CF-44E3-9099-C40C66FF867C}">
                  <a14:compatExt spid="_x0000_s71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38</xdr:row>
          <xdr:rowOff>19050</xdr:rowOff>
        </xdr:from>
        <xdr:to>
          <xdr:col>12</xdr:col>
          <xdr:colOff>628650</xdr:colOff>
          <xdr:row>38</xdr:row>
          <xdr:rowOff>238125</xdr:rowOff>
        </xdr:to>
        <xdr:sp macro="" textlink="">
          <xdr:nvSpPr>
            <xdr:cNvPr id="71904" name="Check Box 224" hidden="1">
              <a:extLst>
                <a:ext uri="{63B3BB69-23CF-44E3-9099-C40C66FF867C}">
                  <a14:compatExt spid="_x0000_s71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12</xdr:row>
          <xdr:rowOff>0</xdr:rowOff>
        </xdr:from>
        <xdr:to>
          <xdr:col>10</xdr:col>
          <xdr:colOff>628650</xdr:colOff>
          <xdr:row>12</xdr:row>
          <xdr:rowOff>219075</xdr:rowOff>
        </xdr:to>
        <xdr:sp macro="" textlink="">
          <xdr:nvSpPr>
            <xdr:cNvPr id="71905" name="Check Box 225" hidden="1">
              <a:extLst>
                <a:ext uri="{63B3BB69-23CF-44E3-9099-C40C66FF867C}">
                  <a14:compatExt spid="_x0000_s71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12</xdr:row>
          <xdr:rowOff>0</xdr:rowOff>
        </xdr:from>
        <xdr:to>
          <xdr:col>12</xdr:col>
          <xdr:colOff>628650</xdr:colOff>
          <xdr:row>12</xdr:row>
          <xdr:rowOff>219075</xdr:rowOff>
        </xdr:to>
        <xdr:sp macro="" textlink="">
          <xdr:nvSpPr>
            <xdr:cNvPr id="71906" name="Check Box 226" hidden="1">
              <a:extLst>
                <a:ext uri="{63B3BB69-23CF-44E3-9099-C40C66FF867C}">
                  <a14:compatExt spid="_x0000_s719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23</xdr:row>
          <xdr:rowOff>0</xdr:rowOff>
        </xdr:from>
        <xdr:to>
          <xdr:col>10</xdr:col>
          <xdr:colOff>628650</xdr:colOff>
          <xdr:row>23</xdr:row>
          <xdr:rowOff>219075</xdr:rowOff>
        </xdr:to>
        <xdr:sp macro="" textlink="">
          <xdr:nvSpPr>
            <xdr:cNvPr id="71907" name="Check Box 227" hidden="1">
              <a:extLst>
                <a:ext uri="{63B3BB69-23CF-44E3-9099-C40C66FF867C}">
                  <a14:compatExt spid="_x0000_s71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23</xdr:row>
          <xdr:rowOff>0</xdr:rowOff>
        </xdr:from>
        <xdr:to>
          <xdr:col>12</xdr:col>
          <xdr:colOff>628650</xdr:colOff>
          <xdr:row>23</xdr:row>
          <xdr:rowOff>219075</xdr:rowOff>
        </xdr:to>
        <xdr:sp macro="" textlink="">
          <xdr:nvSpPr>
            <xdr:cNvPr id="71908" name="Check Box 228" hidden="1">
              <a:extLst>
                <a:ext uri="{63B3BB69-23CF-44E3-9099-C40C66FF867C}">
                  <a14:compatExt spid="_x0000_s719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39</xdr:row>
          <xdr:rowOff>19050</xdr:rowOff>
        </xdr:from>
        <xdr:to>
          <xdr:col>10</xdr:col>
          <xdr:colOff>628650</xdr:colOff>
          <xdr:row>39</xdr:row>
          <xdr:rowOff>238125</xdr:rowOff>
        </xdr:to>
        <xdr:sp macro="" textlink="">
          <xdr:nvSpPr>
            <xdr:cNvPr id="71909" name="Check Box 229" hidden="1">
              <a:extLst>
                <a:ext uri="{63B3BB69-23CF-44E3-9099-C40C66FF867C}">
                  <a14:compatExt spid="_x0000_s719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39</xdr:row>
          <xdr:rowOff>19050</xdr:rowOff>
        </xdr:from>
        <xdr:to>
          <xdr:col>12</xdr:col>
          <xdr:colOff>628650</xdr:colOff>
          <xdr:row>39</xdr:row>
          <xdr:rowOff>238125</xdr:rowOff>
        </xdr:to>
        <xdr:sp macro="" textlink="">
          <xdr:nvSpPr>
            <xdr:cNvPr id="71910" name="Check Box 230" hidden="1">
              <a:extLst>
                <a:ext uri="{63B3BB69-23CF-44E3-9099-C40C66FF867C}">
                  <a14:compatExt spid="_x0000_s719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40</xdr:row>
          <xdr:rowOff>19050</xdr:rowOff>
        </xdr:from>
        <xdr:to>
          <xdr:col>10</xdr:col>
          <xdr:colOff>628650</xdr:colOff>
          <xdr:row>40</xdr:row>
          <xdr:rowOff>238125</xdr:rowOff>
        </xdr:to>
        <xdr:sp macro="" textlink="">
          <xdr:nvSpPr>
            <xdr:cNvPr id="71911" name="Check Box 231" hidden="1">
              <a:extLst>
                <a:ext uri="{63B3BB69-23CF-44E3-9099-C40C66FF867C}">
                  <a14:compatExt spid="_x0000_s719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40</xdr:row>
          <xdr:rowOff>19050</xdr:rowOff>
        </xdr:from>
        <xdr:to>
          <xdr:col>12</xdr:col>
          <xdr:colOff>628650</xdr:colOff>
          <xdr:row>40</xdr:row>
          <xdr:rowOff>238125</xdr:rowOff>
        </xdr:to>
        <xdr:sp macro="" textlink="">
          <xdr:nvSpPr>
            <xdr:cNvPr id="71912" name="Check Box 232" hidden="1">
              <a:extLst>
                <a:ext uri="{63B3BB69-23CF-44E3-9099-C40C66FF867C}">
                  <a14:compatExt spid="_x0000_s71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15</xdr:row>
          <xdr:rowOff>0</xdr:rowOff>
        </xdr:from>
        <xdr:to>
          <xdr:col>10</xdr:col>
          <xdr:colOff>628650</xdr:colOff>
          <xdr:row>15</xdr:row>
          <xdr:rowOff>219075</xdr:rowOff>
        </xdr:to>
        <xdr:sp macro="" textlink="">
          <xdr:nvSpPr>
            <xdr:cNvPr id="71913" name="Check Box 233" hidden="1">
              <a:extLst>
                <a:ext uri="{63B3BB69-23CF-44E3-9099-C40C66FF867C}">
                  <a14:compatExt spid="_x0000_s71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15</xdr:row>
          <xdr:rowOff>0</xdr:rowOff>
        </xdr:from>
        <xdr:to>
          <xdr:col>12</xdr:col>
          <xdr:colOff>628650</xdr:colOff>
          <xdr:row>15</xdr:row>
          <xdr:rowOff>219075</xdr:rowOff>
        </xdr:to>
        <xdr:sp macro="" textlink="">
          <xdr:nvSpPr>
            <xdr:cNvPr id="71914" name="Check Box 234" hidden="1">
              <a:extLst>
                <a:ext uri="{63B3BB69-23CF-44E3-9099-C40C66FF867C}">
                  <a14:compatExt spid="_x0000_s71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17</xdr:row>
          <xdr:rowOff>0</xdr:rowOff>
        </xdr:from>
        <xdr:to>
          <xdr:col>10</xdr:col>
          <xdr:colOff>628650</xdr:colOff>
          <xdr:row>17</xdr:row>
          <xdr:rowOff>219075</xdr:rowOff>
        </xdr:to>
        <xdr:sp macro="" textlink="">
          <xdr:nvSpPr>
            <xdr:cNvPr id="71915" name="Check Box 235" hidden="1">
              <a:extLst>
                <a:ext uri="{63B3BB69-23CF-44E3-9099-C40C66FF867C}">
                  <a14:compatExt spid="_x0000_s719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17</xdr:row>
          <xdr:rowOff>0</xdr:rowOff>
        </xdr:from>
        <xdr:to>
          <xdr:col>12</xdr:col>
          <xdr:colOff>628650</xdr:colOff>
          <xdr:row>17</xdr:row>
          <xdr:rowOff>219075</xdr:rowOff>
        </xdr:to>
        <xdr:sp macro="" textlink="">
          <xdr:nvSpPr>
            <xdr:cNvPr id="71916" name="Check Box 236" hidden="1">
              <a:extLst>
                <a:ext uri="{63B3BB69-23CF-44E3-9099-C40C66FF867C}">
                  <a14:compatExt spid="_x0000_s719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21</xdr:row>
          <xdr:rowOff>0</xdr:rowOff>
        </xdr:from>
        <xdr:to>
          <xdr:col>10</xdr:col>
          <xdr:colOff>619125</xdr:colOff>
          <xdr:row>21</xdr:row>
          <xdr:rowOff>219075</xdr:rowOff>
        </xdr:to>
        <xdr:sp macro="" textlink="">
          <xdr:nvSpPr>
            <xdr:cNvPr id="71917" name="Check Box 237" hidden="1">
              <a:extLst>
                <a:ext uri="{63B3BB69-23CF-44E3-9099-C40C66FF867C}">
                  <a14:compatExt spid="_x0000_s71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21</xdr:row>
          <xdr:rowOff>0</xdr:rowOff>
        </xdr:from>
        <xdr:to>
          <xdr:col>12</xdr:col>
          <xdr:colOff>619125</xdr:colOff>
          <xdr:row>21</xdr:row>
          <xdr:rowOff>219075</xdr:rowOff>
        </xdr:to>
        <xdr:sp macro="" textlink="">
          <xdr:nvSpPr>
            <xdr:cNvPr id="71918" name="Check Box 238" hidden="1">
              <a:extLst>
                <a:ext uri="{63B3BB69-23CF-44E3-9099-C40C66FF867C}">
                  <a14:compatExt spid="_x0000_s719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28</xdr:row>
          <xdr:rowOff>0</xdr:rowOff>
        </xdr:from>
        <xdr:to>
          <xdr:col>10</xdr:col>
          <xdr:colOff>628650</xdr:colOff>
          <xdr:row>28</xdr:row>
          <xdr:rowOff>219075</xdr:rowOff>
        </xdr:to>
        <xdr:sp macro="" textlink="">
          <xdr:nvSpPr>
            <xdr:cNvPr id="71919" name="Check Box 239" hidden="1">
              <a:extLst>
                <a:ext uri="{63B3BB69-23CF-44E3-9099-C40C66FF867C}">
                  <a14:compatExt spid="_x0000_s71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28</xdr:row>
          <xdr:rowOff>0</xdr:rowOff>
        </xdr:from>
        <xdr:to>
          <xdr:col>12</xdr:col>
          <xdr:colOff>628650</xdr:colOff>
          <xdr:row>28</xdr:row>
          <xdr:rowOff>219075</xdr:rowOff>
        </xdr:to>
        <xdr:sp macro="" textlink="">
          <xdr:nvSpPr>
            <xdr:cNvPr id="71920" name="Check Box 240" hidden="1">
              <a:extLst>
                <a:ext uri="{63B3BB69-23CF-44E3-9099-C40C66FF867C}">
                  <a14:compatExt spid="_x0000_s719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29</xdr:row>
          <xdr:rowOff>0</xdr:rowOff>
        </xdr:from>
        <xdr:to>
          <xdr:col>10</xdr:col>
          <xdr:colOff>628650</xdr:colOff>
          <xdr:row>29</xdr:row>
          <xdr:rowOff>219075</xdr:rowOff>
        </xdr:to>
        <xdr:sp macro="" textlink="">
          <xdr:nvSpPr>
            <xdr:cNvPr id="71921" name="Check Box 241" hidden="1">
              <a:extLst>
                <a:ext uri="{63B3BB69-23CF-44E3-9099-C40C66FF867C}">
                  <a14:compatExt spid="_x0000_s71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29</xdr:row>
          <xdr:rowOff>0</xdr:rowOff>
        </xdr:from>
        <xdr:to>
          <xdr:col>12</xdr:col>
          <xdr:colOff>628650</xdr:colOff>
          <xdr:row>29</xdr:row>
          <xdr:rowOff>219075</xdr:rowOff>
        </xdr:to>
        <xdr:sp macro="" textlink="">
          <xdr:nvSpPr>
            <xdr:cNvPr id="71922" name="Check Box 242" hidden="1">
              <a:extLst>
                <a:ext uri="{63B3BB69-23CF-44E3-9099-C40C66FF867C}">
                  <a14:compatExt spid="_x0000_s71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30</xdr:row>
          <xdr:rowOff>0</xdr:rowOff>
        </xdr:from>
        <xdr:to>
          <xdr:col>10</xdr:col>
          <xdr:colOff>628650</xdr:colOff>
          <xdr:row>30</xdr:row>
          <xdr:rowOff>219075</xdr:rowOff>
        </xdr:to>
        <xdr:sp macro="" textlink="">
          <xdr:nvSpPr>
            <xdr:cNvPr id="71923" name="Check Box 243" hidden="1">
              <a:extLst>
                <a:ext uri="{63B3BB69-23CF-44E3-9099-C40C66FF867C}">
                  <a14:compatExt spid="_x0000_s71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30</xdr:row>
          <xdr:rowOff>0</xdr:rowOff>
        </xdr:from>
        <xdr:to>
          <xdr:col>12</xdr:col>
          <xdr:colOff>628650</xdr:colOff>
          <xdr:row>30</xdr:row>
          <xdr:rowOff>219075</xdr:rowOff>
        </xdr:to>
        <xdr:sp macro="" textlink="">
          <xdr:nvSpPr>
            <xdr:cNvPr id="71924" name="Check Box 244" hidden="1">
              <a:extLst>
                <a:ext uri="{63B3BB69-23CF-44E3-9099-C40C66FF867C}">
                  <a14:compatExt spid="_x0000_s719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31</xdr:row>
          <xdr:rowOff>0</xdr:rowOff>
        </xdr:from>
        <xdr:to>
          <xdr:col>10</xdr:col>
          <xdr:colOff>628650</xdr:colOff>
          <xdr:row>31</xdr:row>
          <xdr:rowOff>219075</xdr:rowOff>
        </xdr:to>
        <xdr:sp macro="" textlink="">
          <xdr:nvSpPr>
            <xdr:cNvPr id="71925" name="Check Box 245" hidden="1">
              <a:extLst>
                <a:ext uri="{63B3BB69-23CF-44E3-9099-C40C66FF867C}">
                  <a14:compatExt spid="_x0000_s719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31</xdr:row>
          <xdr:rowOff>0</xdr:rowOff>
        </xdr:from>
        <xdr:to>
          <xdr:col>12</xdr:col>
          <xdr:colOff>628650</xdr:colOff>
          <xdr:row>31</xdr:row>
          <xdr:rowOff>219075</xdr:rowOff>
        </xdr:to>
        <xdr:sp macro="" textlink="">
          <xdr:nvSpPr>
            <xdr:cNvPr id="71926" name="Check Box 246" hidden="1">
              <a:extLst>
                <a:ext uri="{63B3BB69-23CF-44E3-9099-C40C66FF867C}">
                  <a14:compatExt spid="_x0000_s719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32</xdr:row>
          <xdr:rowOff>0</xdr:rowOff>
        </xdr:from>
        <xdr:to>
          <xdr:col>10</xdr:col>
          <xdr:colOff>628650</xdr:colOff>
          <xdr:row>32</xdr:row>
          <xdr:rowOff>219075</xdr:rowOff>
        </xdr:to>
        <xdr:sp macro="" textlink="">
          <xdr:nvSpPr>
            <xdr:cNvPr id="71927" name="Check Box 247" hidden="1">
              <a:extLst>
                <a:ext uri="{63B3BB69-23CF-44E3-9099-C40C66FF867C}">
                  <a14:compatExt spid="_x0000_s71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32</xdr:row>
          <xdr:rowOff>0</xdr:rowOff>
        </xdr:from>
        <xdr:to>
          <xdr:col>12</xdr:col>
          <xdr:colOff>628650</xdr:colOff>
          <xdr:row>32</xdr:row>
          <xdr:rowOff>219075</xdr:rowOff>
        </xdr:to>
        <xdr:sp macro="" textlink="">
          <xdr:nvSpPr>
            <xdr:cNvPr id="71928" name="Check Box 248" hidden="1">
              <a:extLst>
                <a:ext uri="{63B3BB69-23CF-44E3-9099-C40C66FF867C}">
                  <a14:compatExt spid="_x0000_s719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35</xdr:row>
          <xdr:rowOff>0</xdr:rowOff>
        </xdr:from>
        <xdr:to>
          <xdr:col>10</xdr:col>
          <xdr:colOff>628650</xdr:colOff>
          <xdr:row>35</xdr:row>
          <xdr:rowOff>228600</xdr:rowOff>
        </xdr:to>
        <xdr:sp macro="" textlink="">
          <xdr:nvSpPr>
            <xdr:cNvPr id="71929" name="Check Box 249" hidden="1">
              <a:extLst>
                <a:ext uri="{63B3BB69-23CF-44E3-9099-C40C66FF867C}">
                  <a14:compatExt spid="_x0000_s71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35</xdr:row>
          <xdr:rowOff>0</xdr:rowOff>
        </xdr:from>
        <xdr:to>
          <xdr:col>12</xdr:col>
          <xdr:colOff>628650</xdr:colOff>
          <xdr:row>35</xdr:row>
          <xdr:rowOff>228600</xdr:rowOff>
        </xdr:to>
        <xdr:sp macro="" textlink="">
          <xdr:nvSpPr>
            <xdr:cNvPr id="71930" name="Check Box 250" hidden="1">
              <a:extLst>
                <a:ext uri="{63B3BB69-23CF-44E3-9099-C40C66FF867C}">
                  <a14:compatExt spid="_x0000_s719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24</xdr:row>
          <xdr:rowOff>19050</xdr:rowOff>
        </xdr:from>
        <xdr:to>
          <xdr:col>10</xdr:col>
          <xdr:colOff>628650</xdr:colOff>
          <xdr:row>24</xdr:row>
          <xdr:rowOff>238125</xdr:rowOff>
        </xdr:to>
        <xdr:sp macro="" textlink="">
          <xdr:nvSpPr>
            <xdr:cNvPr id="71931" name="Check Box 251" descr="Fosfaat" hidden="1">
              <a:extLst>
                <a:ext uri="{63B3BB69-23CF-44E3-9099-C40C66FF867C}">
                  <a14:compatExt spid="_x0000_s719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24</xdr:row>
          <xdr:rowOff>19050</xdr:rowOff>
        </xdr:from>
        <xdr:to>
          <xdr:col>12</xdr:col>
          <xdr:colOff>628650</xdr:colOff>
          <xdr:row>24</xdr:row>
          <xdr:rowOff>238125</xdr:rowOff>
        </xdr:to>
        <xdr:sp macro="" textlink="">
          <xdr:nvSpPr>
            <xdr:cNvPr id="71932" name="Check Box 252" descr="Fosfaat" hidden="1">
              <a:extLst>
                <a:ext uri="{63B3BB69-23CF-44E3-9099-C40C66FF867C}">
                  <a14:compatExt spid="_x0000_s719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16</xdr:row>
          <xdr:rowOff>0</xdr:rowOff>
        </xdr:from>
        <xdr:to>
          <xdr:col>2</xdr:col>
          <xdr:colOff>628650</xdr:colOff>
          <xdr:row>16</xdr:row>
          <xdr:rowOff>219075</xdr:rowOff>
        </xdr:to>
        <xdr:sp macro="" textlink="">
          <xdr:nvSpPr>
            <xdr:cNvPr id="71933" name="Check Box 253" descr="Leuko's + diff" hidden="1">
              <a:extLst>
                <a:ext uri="{63B3BB69-23CF-44E3-9099-C40C66FF867C}">
                  <a14:compatExt spid="_x0000_s719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16</xdr:row>
          <xdr:rowOff>0</xdr:rowOff>
        </xdr:from>
        <xdr:to>
          <xdr:col>6</xdr:col>
          <xdr:colOff>628650</xdr:colOff>
          <xdr:row>16</xdr:row>
          <xdr:rowOff>219075</xdr:rowOff>
        </xdr:to>
        <xdr:sp macro="" textlink="">
          <xdr:nvSpPr>
            <xdr:cNvPr id="71934" name="Check Box 254" hidden="1">
              <a:extLst>
                <a:ext uri="{63B3BB69-23CF-44E3-9099-C40C66FF867C}">
                  <a14:compatExt spid="_x0000_s719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16</xdr:row>
          <xdr:rowOff>0</xdr:rowOff>
        </xdr:from>
        <xdr:to>
          <xdr:col>8</xdr:col>
          <xdr:colOff>628650</xdr:colOff>
          <xdr:row>16</xdr:row>
          <xdr:rowOff>219075</xdr:rowOff>
        </xdr:to>
        <xdr:sp macro="" textlink="">
          <xdr:nvSpPr>
            <xdr:cNvPr id="71935" name="Check Box 255" hidden="1">
              <a:extLst>
                <a:ext uri="{63B3BB69-23CF-44E3-9099-C40C66FF867C}">
                  <a14:compatExt spid="_x0000_s71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16</xdr:row>
          <xdr:rowOff>0</xdr:rowOff>
        </xdr:from>
        <xdr:to>
          <xdr:col>16</xdr:col>
          <xdr:colOff>628650</xdr:colOff>
          <xdr:row>16</xdr:row>
          <xdr:rowOff>219075</xdr:rowOff>
        </xdr:to>
        <xdr:sp macro="" textlink="">
          <xdr:nvSpPr>
            <xdr:cNvPr id="71936" name="Check Box 256" hidden="1">
              <a:extLst>
                <a:ext uri="{63B3BB69-23CF-44E3-9099-C40C66FF867C}">
                  <a14:compatExt spid="_x0000_s719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16</xdr:row>
          <xdr:rowOff>0</xdr:rowOff>
        </xdr:from>
        <xdr:to>
          <xdr:col>4</xdr:col>
          <xdr:colOff>628650</xdr:colOff>
          <xdr:row>16</xdr:row>
          <xdr:rowOff>219075</xdr:rowOff>
        </xdr:to>
        <xdr:sp macro="" textlink="">
          <xdr:nvSpPr>
            <xdr:cNvPr id="71937" name="Check Box 257" hidden="1">
              <a:extLst>
                <a:ext uri="{63B3BB69-23CF-44E3-9099-C40C66FF867C}">
                  <a14:compatExt spid="_x0000_s71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16</xdr:row>
          <xdr:rowOff>0</xdr:rowOff>
        </xdr:from>
        <xdr:to>
          <xdr:col>10</xdr:col>
          <xdr:colOff>628650</xdr:colOff>
          <xdr:row>16</xdr:row>
          <xdr:rowOff>219075</xdr:rowOff>
        </xdr:to>
        <xdr:sp macro="" textlink="">
          <xdr:nvSpPr>
            <xdr:cNvPr id="71940" name="Check Box 260" hidden="1">
              <a:extLst>
                <a:ext uri="{63B3BB69-23CF-44E3-9099-C40C66FF867C}">
                  <a14:compatExt spid="_x0000_s71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16</xdr:row>
          <xdr:rowOff>0</xdr:rowOff>
        </xdr:from>
        <xdr:to>
          <xdr:col>12</xdr:col>
          <xdr:colOff>628650</xdr:colOff>
          <xdr:row>16</xdr:row>
          <xdr:rowOff>219075</xdr:rowOff>
        </xdr:to>
        <xdr:sp macro="" textlink="">
          <xdr:nvSpPr>
            <xdr:cNvPr id="71941" name="Check Box 261" hidden="1">
              <a:extLst>
                <a:ext uri="{63B3BB69-23CF-44E3-9099-C40C66FF867C}">
                  <a14:compatExt spid="_x0000_s71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</xdr:row>
          <xdr:rowOff>0</xdr:rowOff>
        </xdr:from>
        <xdr:to>
          <xdr:col>2</xdr:col>
          <xdr:colOff>628650</xdr:colOff>
          <xdr:row>37</xdr:row>
          <xdr:rowOff>228600</xdr:rowOff>
        </xdr:to>
        <xdr:sp macro="" textlink="">
          <xdr:nvSpPr>
            <xdr:cNvPr id="71942" name="Check Box 262" descr="NICU APTT " hidden="1">
              <a:extLst>
                <a:ext uri="{63B3BB69-23CF-44E3-9099-C40C66FF867C}">
                  <a14:compatExt spid="_x0000_s71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37</xdr:row>
          <xdr:rowOff>0</xdr:rowOff>
        </xdr:from>
        <xdr:to>
          <xdr:col>6</xdr:col>
          <xdr:colOff>628650</xdr:colOff>
          <xdr:row>37</xdr:row>
          <xdr:rowOff>228600</xdr:rowOff>
        </xdr:to>
        <xdr:sp macro="" textlink="">
          <xdr:nvSpPr>
            <xdr:cNvPr id="71943" name="Check Box 263" hidden="1">
              <a:extLst>
                <a:ext uri="{63B3BB69-23CF-44E3-9099-C40C66FF867C}">
                  <a14:compatExt spid="_x0000_s71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37</xdr:row>
          <xdr:rowOff>0</xdr:rowOff>
        </xdr:from>
        <xdr:to>
          <xdr:col>8</xdr:col>
          <xdr:colOff>628650</xdr:colOff>
          <xdr:row>37</xdr:row>
          <xdr:rowOff>228600</xdr:rowOff>
        </xdr:to>
        <xdr:sp macro="" textlink="">
          <xdr:nvSpPr>
            <xdr:cNvPr id="71944" name="Check Box 264" hidden="1">
              <a:extLst>
                <a:ext uri="{63B3BB69-23CF-44E3-9099-C40C66FF867C}">
                  <a14:compatExt spid="_x0000_s71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37</xdr:row>
          <xdr:rowOff>0</xdr:rowOff>
        </xdr:from>
        <xdr:to>
          <xdr:col>16</xdr:col>
          <xdr:colOff>628650</xdr:colOff>
          <xdr:row>37</xdr:row>
          <xdr:rowOff>228600</xdr:rowOff>
        </xdr:to>
        <xdr:sp macro="" textlink="">
          <xdr:nvSpPr>
            <xdr:cNvPr id="71945" name="Check Box 265" hidden="1">
              <a:extLst>
                <a:ext uri="{63B3BB69-23CF-44E3-9099-C40C66FF867C}">
                  <a14:compatExt spid="_x0000_s71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37</xdr:row>
          <xdr:rowOff>0</xdr:rowOff>
        </xdr:from>
        <xdr:to>
          <xdr:col>4</xdr:col>
          <xdr:colOff>628650</xdr:colOff>
          <xdr:row>37</xdr:row>
          <xdr:rowOff>228600</xdr:rowOff>
        </xdr:to>
        <xdr:sp macro="" textlink="">
          <xdr:nvSpPr>
            <xdr:cNvPr id="71946" name="Check Box 266" hidden="1">
              <a:extLst>
                <a:ext uri="{63B3BB69-23CF-44E3-9099-C40C66FF867C}">
                  <a14:compatExt spid="_x0000_s71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37</xdr:row>
          <xdr:rowOff>0</xdr:rowOff>
        </xdr:from>
        <xdr:to>
          <xdr:col>10</xdr:col>
          <xdr:colOff>628650</xdr:colOff>
          <xdr:row>37</xdr:row>
          <xdr:rowOff>228600</xdr:rowOff>
        </xdr:to>
        <xdr:sp macro="" textlink="">
          <xdr:nvSpPr>
            <xdr:cNvPr id="71949" name="Check Box 269" hidden="1">
              <a:extLst>
                <a:ext uri="{63B3BB69-23CF-44E3-9099-C40C66FF867C}">
                  <a14:compatExt spid="_x0000_s719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37</xdr:row>
          <xdr:rowOff>0</xdr:rowOff>
        </xdr:from>
        <xdr:to>
          <xdr:col>12</xdr:col>
          <xdr:colOff>628650</xdr:colOff>
          <xdr:row>37</xdr:row>
          <xdr:rowOff>228600</xdr:rowOff>
        </xdr:to>
        <xdr:sp macro="" textlink="">
          <xdr:nvSpPr>
            <xdr:cNvPr id="71950" name="Check Box 270" hidden="1">
              <a:extLst>
                <a:ext uri="{63B3BB69-23CF-44E3-9099-C40C66FF867C}">
                  <a14:compatExt spid="_x0000_s719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</xdr:row>
          <xdr:rowOff>19050</xdr:rowOff>
        </xdr:from>
        <xdr:to>
          <xdr:col>2</xdr:col>
          <xdr:colOff>628650</xdr:colOff>
          <xdr:row>33</xdr:row>
          <xdr:rowOff>238125</xdr:rowOff>
        </xdr:to>
        <xdr:sp macro="" textlink="">
          <xdr:nvSpPr>
            <xdr:cNvPr id="71951" name="Check Box 271" descr="Triglyceriden" hidden="1">
              <a:extLst>
                <a:ext uri="{63B3BB69-23CF-44E3-9099-C40C66FF867C}">
                  <a14:compatExt spid="_x0000_s719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33</xdr:row>
          <xdr:rowOff>19050</xdr:rowOff>
        </xdr:from>
        <xdr:to>
          <xdr:col>6</xdr:col>
          <xdr:colOff>628650</xdr:colOff>
          <xdr:row>33</xdr:row>
          <xdr:rowOff>238125</xdr:rowOff>
        </xdr:to>
        <xdr:sp macro="" textlink="">
          <xdr:nvSpPr>
            <xdr:cNvPr id="71952" name="Check Box 272" descr="Fosfaat" hidden="1">
              <a:extLst>
                <a:ext uri="{63B3BB69-23CF-44E3-9099-C40C66FF867C}">
                  <a14:compatExt spid="_x0000_s719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33</xdr:row>
          <xdr:rowOff>19050</xdr:rowOff>
        </xdr:from>
        <xdr:to>
          <xdr:col>8</xdr:col>
          <xdr:colOff>628650</xdr:colOff>
          <xdr:row>33</xdr:row>
          <xdr:rowOff>238125</xdr:rowOff>
        </xdr:to>
        <xdr:sp macro="" textlink="">
          <xdr:nvSpPr>
            <xdr:cNvPr id="71953" name="Check Box 273" descr="Fosfaat" hidden="1">
              <a:extLst>
                <a:ext uri="{63B3BB69-23CF-44E3-9099-C40C66FF867C}">
                  <a14:compatExt spid="_x0000_s719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33</xdr:row>
          <xdr:rowOff>19050</xdr:rowOff>
        </xdr:from>
        <xdr:to>
          <xdr:col>16</xdr:col>
          <xdr:colOff>628650</xdr:colOff>
          <xdr:row>33</xdr:row>
          <xdr:rowOff>238125</xdr:rowOff>
        </xdr:to>
        <xdr:sp macro="" textlink="">
          <xdr:nvSpPr>
            <xdr:cNvPr id="71954" name="Check Box 274" descr="Fosfaat" hidden="1">
              <a:extLst>
                <a:ext uri="{63B3BB69-23CF-44E3-9099-C40C66FF867C}">
                  <a14:compatExt spid="_x0000_s719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19050</xdr:rowOff>
        </xdr:from>
        <xdr:to>
          <xdr:col>4</xdr:col>
          <xdr:colOff>628650</xdr:colOff>
          <xdr:row>33</xdr:row>
          <xdr:rowOff>238125</xdr:rowOff>
        </xdr:to>
        <xdr:sp macro="" textlink="">
          <xdr:nvSpPr>
            <xdr:cNvPr id="71955" name="Check Box 275" descr="Fosfaat" hidden="1">
              <a:extLst>
                <a:ext uri="{63B3BB69-23CF-44E3-9099-C40C66FF867C}">
                  <a14:compatExt spid="_x0000_s719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33</xdr:row>
          <xdr:rowOff>19050</xdr:rowOff>
        </xdr:from>
        <xdr:to>
          <xdr:col>10</xdr:col>
          <xdr:colOff>628650</xdr:colOff>
          <xdr:row>33</xdr:row>
          <xdr:rowOff>238125</xdr:rowOff>
        </xdr:to>
        <xdr:sp macro="" textlink="">
          <xdr:nvSpPr>
            <xdr:cNvPr id="71958" name="Check Box 278" descr="Fosfaat" hidden="1">
              <a:extLst>
                <a:ext uri="{63B3BB69-23CF-44E3-9099-C40C66FF867C}">
                  <a14:compatExt spid="_x0000_s719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33</xdr:row>
          <xdr:rowOff>19050</xdr:rowOff>
        </xdr:from>
        <xdr:to>
          <xdr:col>12</xdr:col>
          <xdr:colOff>628650</xdr:colOff>
          <xdr:row>33</xdr:row>
          <xdr:rowOff>238125</xdr:rowOff>
        </xdr:to>
        <xdr:sp macro="" textlink="">
          <xdr:nvSpPr>
            <xdr:cNvPr id="71959" name="Check Box 279" descr="Fosfaat" hidden="1">
              <a:extLst>
                <a:ext uri="{63B3BB69-23CF-44E3-9099-C40C66FF867C}">
                  <a14:compatExt spid="_x0000_s719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41</xdr:row>
          <xdr:rowOff>19050</xdr:rowOff>
        </xdr:from>
        <xdr:to>
          <xdr:col>2</xdr:col>
          <xdr:colOff>628650</xdr:colOff>
          <xdr:row>41</xdr:row>
          <xdr:rowOff>238125</xdr:rowOff>
        </xdr:to>
        <xdr:sp macro="" textlink="">
          <xdr:nvSpPr>
            <xdr:cNvPr id="71960" name="Check Box 280" descr="Triglyceriden" hidden="1">
              <a:extLst>
                <a:ext uri="{63B3BB69-23CF-44E3-9099-C40C66FF867C}">
                  <a14:compatExt spid="_x0000_s719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Coombs test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10</xdr:row>
          <xdr:rowOff>0</xdr:rowOff>
        </xdr:from>
        <xdr:to>
          <xdr:col>18</xdr:col>
          <xdr:colOff>628650</xdr:colOff>
          <xdr:row>10</xdr:row>
          <xdr:rowOff>219075</xdr:rowOff>
        </xdr:to>
        <xdr:sp macro="" textlink="">
          <xdr:nvSpPr>
            <xdr:cNvPr id="71961" name="Check Box 281" hidden="1">
              <a:extLst>
                <a:ext uri="{63B3BB69-23CF-44E3-9099-C40C66FF867C}">
                  <a14:compatExt spid="_x0000_s71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11</xdr:row>
          <xdr:rowOff>0</xdr:rowOff>
        </xdr:from>
        <xdr:to>
          <xdr:col>18</xdr:col>
          <xdr:colOff>628650</xdr:colOff>
          <xdr:row>11</xdr:row>
          <xdr:rowOff>219075</xdr:rowOff>
        </xdr:to>
        <xdr:sp macro="" textlink="">
          <xdr:nvSpPr>
            <xdr:cNvPr id="71962" name="Check Box 282" hidden="1">
              <a:extLst>
                <a:ext uri="{63B3BB69-23CF-44E3-9099-C40C66FF867C}">
                  <a14:compatExt spid="_x0000_s71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13</xdr:row>
          <xdr:rowOff>0</xdr:rowOff>
        </xdr:from>
        <xdr:to>
          <xdr:col>18</xdr:col>
          <xdr:colOff>628650</xdr:colOff>
          <xdr:row>13</xdr:row>
          <xdr:rowOff>219075</xdr:rowOff>
        </xdr:to>
        <xdr:sp macro="" textlink="">
          <xdr:nvSpPr>
            <xdr:cNvPr id="71963" name="Check Box 283" hidden="1">
              <a:extLst>
                <a:ext uri="{63B3BB69-23CF-44E3-9099-C40C66FF867C}">
                  <a14:compatExt spid="_x0000_s71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14</xdr:row>
          <xdr:rowOff>0</xdr:rowOff>
        </xdr:from>
        <xdr:to>
          <xdr:col>18</xdr:col>
          <xdr:colOff>628650</xdr:colOff>
          <xdr:row>14</xdr:row>
          <xdr:rowOff>219075</xdr:rowOff>
        </xdr:to>
        <xdr:sp macro="" textlink="">
          <xdr:nvSpPr>
            <xdr:cNvPr id="71964" name="Check Box 284" hidden="1">
              <a:extLst>
                <a:ext uri="{63B3BB69-23CF-44E3-9099-C40C66FF867C}">
                  <a14:compatExt spid="_x0000_s71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38100</xdr:colOff>
          <xdr:row>20</xdr:row>
          <xdr:rowOff>0</xdr:rowOff>
        </xdr:from>
        <xdr:to>
          <xdr:col>18</xdr:col>
          <xdr:colOff>619125</xdr:colOff>
          <xdr:row>20</xdr:row>
          <xdr:rowOff>219075</xdr:rowOff>
        </xdr:to>
        <xdr:sp macro="" textlink="">
          <xdr:nvSpPr>
            <xdr:cNvPr id="71965" name="Check Box 285" hidden="1">
              <a:extLst>
                <a:ext uri="{63B3BB69-23CF-44E3-9099-C40C66FF867C}">
                  <a14:compatExt spid="_x0000_s719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19</xdr:row>
          <xdr:rowOff>0</xdr:rowOff>
        </xdr:from>
        <xdr:to>
          <xdr:col>18</xdr:col>
          <xdr:colOff>628650</xdr:colOff>
          <xdr:row>19</xdr:row>
          <xdr:rowOff>219075</xdr:rowOff>
        </xdr:to>
        <xdr:sp macro="" textlink="">
          <xdr:nvSpPr>
            <xdr:cNvPr id="71966" name="Check Box 286" hidden="1">
              <a:extLst>
                <a:ext uri="{63B3BB69-23CF-44E3-9099-C40C66FF867C}">
                  <a14:compatExt spid="_x0000_s719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36</xdr:row>
          <xdr:rowOff>0</xdr:rowOff>
        </xdr:from>
        <xdr:to>
          <xdr:col>18</xdr:col>
          <xdr:colOff>628650</xdr:colOff>
          <xdr:row>36</xdr:row>
          <xdr:rowOff>228600</xdr:rowOff>
        </xdr:to>
        <xdr:sp macro="" textlink="">
          <xdr:nvSpPr>
            <xdr:cNvPr id="71967" name="Check Box 287" hidden="1">
              <a:extLst>
                <a:ext uri="{63B3BB69-23CF-44E3-9099-C40C66FF867C}">
                  <a14:compatExt spid="_x0000_s71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22</xdr:row>
          <xdr:rowOff>0</xdr:rowOff>
        </xdr:from>
        <xdr:to>
          <xdr:col>18</xdr:col>
          <xdr:colOff>628650</xdr:colOff>
          <xdr:row>22</xdr:row>
          <xdr:rowOff>219075</xdr:rowOff>
        </xdr:to>
        <xdr:sp macro="" textlink="">
          <xdr:nvSpPr>
            <xdr:cNvPr id="71968" name="Check Box 288" hidden="1">
              <a:extLst>
                <a:ext uri="{63B3BB69-23CF-44E3-9099-C40C66FF867C}">
                  <a14:compatExt spid="_x0000_s719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25</xdr:row>
          <xdr:rowOff>0</xdr:rowOff>
        </xdr:from>
        <xdr:to>
          <xdr:col>18</xdr:col>
          <xdr:colOff>628650</xdr:colOff>
          <xdr:row>25</xdr:row>
          <xdr:rowOff>219075</xdr:rowOff>
        </xdr:to>
        <xdr:sp macro="" textlink="">
          <xdr:nvSpPr>
            <xdr:cNvPr id="71969" name="Check Box 289" hidden="1">
              <a:extLst>
                <a:ext uri="{63B3BB69-23CF-44E3-9099-C40C66FF867C}">
                  <a14:compatExt spid="_x0000_s71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26</xdr:row>
          <xdr:rowOff>0</xdr:rowOff>
        </xdr:from>
        <xdr:to>
          <xdr:col>18</xdr:col>
          <xdr:colOff>628650</xdr:colOff>
          <xdr:row>26</xdr:row>
          <xdr:rowOff>219075</xdr:rowOff>
        </xdr:to>
        <xdr:sp macro="" textlink="">
          <xdr:nvSpPr>
            <xdr:cNvPr id="71970" name="Check Box 290" hidden="1">
              <a:extLst>
                <a:ext uri="{63B3BB69-23CF-44E3-9099-C40C66FF867C}">
                  <a14:compatExt spid="_x0000_s71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27</xdr:row>
          <xdr:rowOff>0</xdr:rowOff>
        </xdr:from>
        <xdr:to>
          <xdr:col>18</xdr:col>
          <xdr:colOff>628650</xdr:colOff>
          <xdr:row>27</xdr:row>
          <xdr:rowOff>219075</xdr:rowOff>
        </xdr:to>
        <xdr:sp macro="" textlink="">
          <xdr:nvSpPr>
            <xdr:cNvPr id="71971" name="Check Box 291" hidden="1">
              <a:extLst>
                <a:ext uri="{63B3BB69-23CF-44E3-9099-C40C66FF867C}">
                  <a14:compatExt spid="_x0000_s71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38100</xdr:colOff>
          <xdr:row>18</xdr:row>
          <xdr:rowOff>0</xdr:rowOff>
        </xdr:from>
        <xdr:to>
          <xdr:col>18</xdr:col>
          <xdr:colOff>619125</xdr:colOff>
          <xdr:row>18</xdr:row>
          <xdr:rowOff>219075</xdr:rowOff>
        </xdr:to>
        <xdr:sp macro="" textlink="">
          <xdr:nvSpPr>
            <xdr:cNvPr id="71972" name="Check Box 292" hidden="1">
              <a:extLst>
                <a:ext uri="{63B3BB69-23CF-44E3-9099-C40C66FF867C}">
                  <a14:compatExt spid="_x0000_s71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34</xdr:row>
          <xdr:rowOff>19050</xdr:rowOff>
        </xdr:from>
        <xdr:to>
          <xdr:col>18</xdr:col>
          <xdr:colOff>628650</xdr:colOff>
          <xdr:row>34</xdr:row>
          <xdr:rowOff>238125</xdr:rowOff>
        </xdr:to>
        <xdr:sp macro="" textlink="">
          <xdr:nvSpPr>
            <xdr:cNvPr id="71973" name="Check Box 293" hidden="1">
              <a:extLst>
                <a:ext uri="{63B3BB69-23CF-44E3-9099-C40C66FF867C}">
                  <a14:compatExt spid="_x0000_s71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38</xdr:row>
          <xdr:rowOff>19050</xdr:rowOff>
        </xdr:from>
        <xdr:to>
          <xdr:col>18</xdr:col>
          <xdr:colOff>628650</xdr:colOff>
          <xdr:row>38</xdr:row>
          <xdr:rowOff>238125</xdr:rowOff>
        </xdr:to>
        <xdr:sp macro="" textlink="">
          <xdr:nvSpPr>
            <xdr:cNvPr id="71974" name="Check Box 294" hidden="1">
              <a:extLst>
                <a:ext uri="{63B3BB69-23CF-44E3-9099-C40C66FF867C}">
                  <a14:compatExt spid="_x0000_s719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12</xdr:row>
          <xdr:rowOff>0</xdr:rowOff>
        </xdr:from>
        <xdr:to>
          <xdr:col>18</xdr:col>
          <xdr:colOff>628650</xdr:colOff>
          <xdr:row>12</xdr:row>
          <xdr:rowOff>219075</xdr:rowOff>
        </xdr:to>
        <xdr:sp macro="" textlink="">
          <xdr:nvSpPr>
            <xdr:cNvPr id="71975" name="Check Box 295" hidden="1">
              <a:extLst>
                <a:ext uri="{63B3BB69-23CF-44E3-9099-C40C66FF867C}">
                  <a14:compatExt spid="_x0000_s719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23</xdr:row>
          <xdr:rowOff>0</xdr:rowOff>
        </xdr:from>
        <xdr:to>
          <xdr:col>18</xdr:col>
          <xdr:colOff>628650</xdr:colOff>
          <xdr:row>23</xdr:row>
          <xdr:rowOff>219075</xdr:rowOff>
        </xdr:to>
        <xdr:sp macro="" textlink="">
          <xdr:nvSpPr>
            <xdr:cNvPr id="71976" name="Check Box 296" hidden="1">
              <a:extLst>
                <a:ext uri="{63B3BB69-23CF-44E3-9099-C40C66FF867C}">
                  <a14:compatExt spid="_x0000_s719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39</xdr:row>
          <xdr:rowOff>19050</xdr:rowOff>
        </xdr:from>
        <xdr:to>
          <xdr:col>18</xdr:col>
          <xdr:colOff>628650</xdr:colOff>
          <xdr:row>39</xdr:row>
          <xdr:rowOff>238125</xdr:rowOff>
        </xdr:to>
        <xdr:sp macro="" textlink="">
          <xdr:nvSpPr>
            <xdr:cNvPr id="71977" name="Check Box 297" hidden="1">
              <a:extLst>
                <a:ext uri="{63B3BB69-23CF-44E3-9099-C40C66FF867C}">
                  <a14:compatExt spid="_x0000_s719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40</xdr:row>
          <xdr:rowOff>19050</xdr:rowOff>
        </xdr:from>
        <xdr:to>
          <xdr:col>18</xdr:col>
          <xdr:colOff>628650</xdr:colOff>
          <xdr:row>40</xdr:row>
          <xdr:rowOff>238125</xdr:rowOff>
        </xdr:to>
        <xdr:sp macro="" textlink="">
          <xdr:nvSpPr>
            <xdr:cNvPr id="71978" name="Check Box 298" hidden="1">
              <a:extLst>
                <a:ext uri="{63B3BB69-23CF-44E3-9099-C40C66FF867C}">
                  <a14:compatExt spid="_x0000_s719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15</xdr:row>
          <xdr:rowOff>0</xdr:rowOff>
        </xdr:from>
        <xdr:to>
          <xdr:col>18</xdr:col>
          <xdr:colOff>628650</xdr:colOff>
          <xdr:row>15</xdr:row>
          <xdr:rowOff>219075</xdr:rowOff>
        </xdr:to>
        <xdr:sp macro="" textlink="">
          <xdr:nvSpPr>
            <xdr:cNvPr id="71979" name="Check Box 299" hidden="1">
              <a:extLst>
                <a:ext uri="{63B3BB69-23CF-44E3-9099-C40C66FF867C}">
                  <a14:compatExt spid="_x0000_s719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17</xdr:row>
          <xdr:rowOff>0</xdr:rowOff>
        </xdr:from>
        <xdr:to>
          <xdr:col>18</xdr:col>
          <xdr:colOff>628650</xdr:colOff>
          <xdr:row>17</xdr:row>
          <xdr:rowOff>219075</xdr:rowOff>
        </xdr:to>
        <xdr:sp macro="" textlink="">
          <xdr:nvSpPr>
            <xdr:cNvPr id="71980" name="Check Box 300" hidden="1">
              <a:extLst>
                <a:ext uri="{63B3BB69-23CF-44E3-9099-C40C66FF867C}">
                  <a14:compatExt spid="_x0000_s719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38100</xdr:colOff>
          <xdr:row>21</xdr:row>
          <xdr:rowOff>0</xdr:rowOff>
        </xdr:from>
        <xdr:to>
          <xdr:col>18</xdr:col>
          <xdr:colOff>619125</xdr:colOff>
          <xdr:row>21</xdr:row>
          <xdr:rowOff>219075</xdr:rowOff>
        </xdr:to>
        <xdr:sp macro="" textlink="">
          <xdr:nvSpPr>
            <xdr:cNvPr id="71981" name="Check Box 301" hidden="1">
              <a:extLst>
                <a:ext uri="{63B3BB69-23CF-44E3-9099-C40C66FF867C}">
                  <a14:compatExt spid="_x0000_s719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28</xdr:row>
          <xdr:rowOff>0</xdr:rowOff>
        </xdr:from>
        <xdr:to>
          <xdr:col>18</xdr:col>
          <xdr:colOff>628650</xdr:colOff>
          <xdr:row>28</xdr:row>
          <xdr:rowOff>219075</xdr:rowOff>
        </xdr:to>
        <xdr:sp macro="" textlink="">
          <xdr:nvSpPr>
            <xdr:cNvPr id="71982" name="Check Box 302" hidden="1">
              <a:extLst>
                <a:ext uri="{63B3BB69-23CF-44E3-9099-C40C66FF867C}">
                  <a14:compatExt spid="_x0000_s719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29</xdr:row>
          <xdr:rowOff>0</xdr:rowOff>
        </xdr:from>
        <xdr:to>
          <xdr:col>18</xdr:col>
          <xdr:colOff>628650</xdr:colOff>
          <xdr:row>29</xdr:row>
          <xdr:rowOff>219075</xdr:rowOff>
        </xdr:to>
        <xdr:sp macro="" textlink="">
          <xdr:nvSpPr>
            <xdr:cNvPr id="71983" name="Check Box 303" hidden="1">
              <a:extLst>
                <a:ext uri="{63B3BB69-23CF-44E3-9099-C40C66FF867C}">
                  <a14:compatExt spid="_x0000_s719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30</xdr:row>
          <xdr:rowOff>0</xdr:rowOff>
        </xdr:from>
        <xdr:to>
          <xdr:col>18</xdr:col>
          <xdr:colOff>628650</xdr:colOff>
          <xdr:row>30</xdr:row>
          <xdr:rowOff>219075</xdr:rowOff>
        </xdr:to>
        <xdr:sp macro="" textlink="">
          <xdr:nvSpPr>
            <xdr:cNvPr id="71984" name="Check Box 304" hidden="1">
              <a:extLst>
                <a:ext uri="{63B3BB69-23CF-44E3-9099-C40C66FF867C}">
                  <a14:compatExt spid="_x0000_s719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31</xdr:row>
          <xdr:rowOff>0</xdr:rowOff>
        </xdr:from>
        <xdr:to>
          <xdr:col>18</xdr:col>
          <xdr:colOff>628650</xdr:colOff>
          <xdr:row>31</xdr:row>
          <xdr:rowOff>219075</xdr:rowOff>
        </xdr:to>
        <xdr:sp macro="" textlink="">
          <xdr:nvSpPr>
            <xdr:cNvPr id="71985" name="Check Box 305" hidden="1">
              <a:extLst>
                <a:ext uri="{63B3BB69-23CF-44E3-9099-C40C66FF867C}">
                  <a14:compatExt spid="_x0000_s7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32</xdr:row>
          <xdr:rowOff>0</xdr:rowOff>
        </xdr:from>
        <xdr:to>
          <xdr:col>18</xdr:col>
          <xdr:colOff>628650</xdr:colOff>
          <xdr:row>32</xdr:row>
          <xdr:rowOff>219075</xdr:rowOff>
        </xdr:to>
        <xdr:sp macro="" textlink="">
          <xdr:nvSpPr>
            <xdr:cNvPr id="71986" name="Check Box 306" hidden="1">
              <a:extLst>
                <a:ext uri="{63B3BB69-23CF-44E3-9099-C40C66FF867C}">
                  <a14:compatExt spid="_x0000_s71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35</xdr:row>
          <xdr:rowOff>0</xdr:rowOff>
        </xdr:from>
        <xdr:to>
          <xdr:col>18</xdr:col>
          <xdr:colOff>628650</xdr:colOff>
          <xdr:row>35</xdr:row>
          <xdr:rowOff>228600</xdr:rowOff>
        </xdr:to>
        <xdr:sp macro="" textlink="">
          <xdr:nvSpPr>
            <xdr:cNvPr id="71987" name="Check Box 307" hidden="1">
              <a:extLst>
                <a:ext uri="{63B3BB69-23CF-44E3-9099-C40C66FF867C}">
                  <a14:compatExt spid="_x0000_s71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24</xdr:row>
          <xdr:rowOff>19050</xdr:rowOff>
        </xdr:from>
        <xdr:to>
          <xdr:col>18</xdr:col>
          <xdr:colOff>628650</xdr:colOff>
          <xdr:row>24</xdr:row>
          <xdr:rowOff>238125</xdr:rowOff>
        </xdr:to>
        <xdr:sp macro="" textlink="">
          <xdr:nvSpPr>
            <xdr:cNvPr id="71988" name="Check Box 308" descr="Fosfaat" hidden="1">
              <a:extLst>
                <a:ext uri="{63B3BB69-23CF-44E3-9099-C40C66FF867C}">
                  <a14:compatExt spid="_x0000_s71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16</xdr:row>
          <xdr:rowOff>0</xdr:rowOff>
        </xdr:from>
        <xdr:to>
          <xdr:col>18</xdr:col>
          <xdr:colOff>628650</xdr:colOff>
          <xdr:row>16</xdr:row>
          <xdr:rowOff>219075</xdr:rowOff>
        </xdr:to>
        <xdr:sp macro="" textlink="">
          <xdr:nvSpPr>
            <xdr:cNvPr id="71989" name="Check Box 309" hidden="1">
              <a:extLst>
                <a:ext uri="{63B3BB69-23CF-44E3-9099-C40C66FF867C}">
                  <a14:compatExt spid="_x0000_s719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37</xdr:row>
          <xdr:rowOff>0</xdr:rowOff>
        </xdr:from>
        <xdr:to>
          <xdr:col>18</xdr:col>
          <xdr:colOff>628650</xdr:colOff>
          <xdr:row>37</xdr:row>
          <xdr:rowOff>228600</xdr:rowOff>
        </xdr:to>
        <xdr:sp macro="" textlink="">
          <xdr:nvSpPr>
            <xdr:cNvPr id="71990" name="Check Box 310" hidden="1">
              <a:extLst>
                <a:ext uri="{63B3BB69-23CF-44E3-9099-C40C66FF867C}">
                  <a14:compatExt spid="_x0000_s719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33</xdr:row>
          <xdr:rowOff>19050</xdr:rowOff>
        </xdr:from>
        <xdr:to>
          <xdr:col>18</xdr:col>
          <xdr:colOff>628650</xdr:colOff>
          <xdr:row>33</xdr:row>
          <xdr:rowOff>238125</xdr:rowOff>
        </xdr:to>
        <xdr:sp macro="" textlink="">
          <xdr:nvSpPr>
            <xdr:cNvPr id="71991" name="Check Box 311" descr="Fosfaat" hidden="1">
              <a:extLst>
                <a:ext uri="{63B3BB69-23CF-44E3-9099-C40C66FF867C}">
                  <a14:compatExt spid="_x0000_s719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10</xdr:row>
          <xdr:rowOff>0</xdr:rowOff>
        </xdr:from>
        <xdr:to>
          <xdr:col>20</xdr:col>
          <xdr:colOff>628650</xdr:colOff>
          <xdr:row>10</xdr:row>
          <xdr:rowOff>219075</xdr:rowOff>
        </xdr:to>
        <xdr:sp macro="" textlink="">
          <xdr:nvSpPr>
            <xdr:cNvPr id="71992" name="Check Box 312" hidden="1">
              <a:extLst>
                <a:ext uri="{63B3BB69-23CF-44E3-9099-C40C66FF867C}">
                  <a14:compatExt spid="_x0000_s719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11</xdr:row>
          <xdr:rowOff>0</xdr:rowOff>
        </xdr:from>
        <xdr:to>
          <xdr:col>20</xdr:col>
          <xdr:colOff>628650</xdr:colOff>
          <xdr:row>11</xdr:row>
          <xdr:rowOff>219075</xdr:rowOff>
        </xdr:to>
        <xdr:sp macro="" textlink="">
          <xdr:nvSpPr>
            <xdr:cNvPr id="71993" name="Check Box 313" hidden="1">
              <a:extLst>
                <a:ext uri="{63B3BB69-23CF-44E3-9099-C40C66FF867C}">
                  <a14:compatExt spid="_x0000_s719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13</xdr:row>
          <xdr:rowOff>0</xdr:rowOff>
        </xdr:from>
        <xdr:to>
          <xdr:col>20</xdr:col>
          <xdr:colOff>628650</xdr:colOff>
          <xdr:row>13</xdr:row>
          <xdr:rowOff>219075</xdr:rowOff>
        </xdr:to>
        <xdr:sp macro="" textlink="">
          <xdr:nvSpPr>
            <xdr:cNvPr id="71994" name="Check Box 314" hidden="1">
              <a:extLst>
                <a:ext uri="{63B3BB69-23CF-44E3-9099-C40C66FF867C}">
                  <a14:compatExt spid="_x0000_s719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14</xdr:row>
          <xdr:rowOff>0</xdr:rowOff>
        </xdr:from>
        <xdr:to>
          <xdr:col>20</xdr:col>
          <xdr:colOff>628650</xdr:colOff>
          <xdr:row>14</xdr:row>
          <xdr:rowOff>219075</xdr:rowOff>
        </xdr:to>
        <xdr:sp macro="" textlink="">
          <xdr:nvSpPr>
            <xdr:cNvPr id="71995" name="Check Box 315" hidden="1">
              <a:extLst>
                <a:ext uri="{63B3BB69-23CF-44E3-9099-C40C66FF867C}">
                  <a14:compatExt spid="_x0000_s719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38100</xdr:colOff>
          <xdr:row>20</xdr:row>
          <xdr:rowOff>0</xdr:rowOff>
        </xdr:from>
        <xdr:to>
          <xdr:col>20</xdr:col>
          <xdr:colOff>619125</xdr:colOff>
          <xdr:row>20</xdr:row>
          <xdr:rowOff>219075</xdr:rowOff>
        </xdr:to>
        <xdr:sp macro="" textlink="">
          <xdr:nvSpPr>
            <xdr:cNvPr id="71996" name="Check Box 316" hidden="1">
              <a:extLst>
                <a:ext uri="{63B3BB69-23CF-44E3-9099-C40C66FF867C}">
                  <a14:compatExt spid="_x0000_s719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19</xdr:row>
          <xdr:rowOff>0</xdr:rowOff>
        </xdr:from>
        <xdr:to>
          <xdr:col>20</xdr:col>
          <xdr:colOff>628650</xdr:colOff>
          <xdr:row>19</xdr:row>
          <xdr:rowOff>219075</xdr:rowOff>
        </xdr:to>
        <xdr:sp macro="" textlink="">
          <xdr:nvSpPr>
            <xdr:cNvPr id="71997" name="Check Box 317" hidden="1">
              <a:extLst>
                <a:ext uri="{63B3BB69-23CF-44E3-9099-C40C66FF867C}">
                  <a14:compatExt spid="_x0000_s719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36</xdr:row>
          <xdr:rowOff>0</xdr:rowOff>
        </xdr:from>
        <xdr:to>
          <xdr:col>20</xdr:col>
          <xdr:colOff>628650</xdr:colOff>
          <xdr:row>36</xdr:row>
          <xdr:rowOff>228600</xdr:rowOff>
        </xdr:to>
        <xdr:sp macro="" textlink="">
          <xdr:nvSpPr>
            <xdr:cNvPr id="71998" name="Check Box 318" hidden="1">
              <a:extLst>
                <a:ext uri="{63B3BB69-23CF-44E3-9099-C40C66FF867C}">
                  <a14:compatExt spid="_x0000_s719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22</xdr:row>
          <xdr:rowOff>0</xdr:rowOff>
        </xdr:from>
        <xdr:to>
          <xdr:col>20</xdr:col>
          <xdr:colOff>628650</xdr:colOff>
          <xdr:row>22</xdr:row>
          <xdr:rowOff>219075</xdr:rowOff>
        </xdr:to>
        <xdr:sp macro="" textlink="">
          <xdr:nvSpPr>
            <xdr:cNvPr id="71999" name="Check Box 319" hidden="1">
              <a:extLst>
                <a:ext uri="{63B3BB69-23CF-44E3-9099-C40C66FF867C}">
                  <a14:compatExt spid="_x0000_s719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25</xdr:row>
          <xdr:rowOff>0</xdr:rowOff>
        </xdr:from>
        <xdr:to>
          <xdr:col>20</xdr:col>
          <xdr:colOff>628650</xdr:colOff>
          <xdr:row>25</xdr:row>
          <xdr:rowOff>219075</xdr:rowOff>
        </xdr:to>
        <xdr:sp macro="" textlink="">
          <xdr:nvSpPr>
            <xdr:cNvPr id="72000" name="Check Box 320" hidden="1">
              <a:extLst>
                <a:ext uri="{63B3BB69-23CF-44E3-9099-C40C66FF867C}">
                  <a14:compatExt spid="_x0000_s720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26</xdr:row>
          <xdr:rowOff>0</xdr:rowOff>
        </xdr:from>
        <xdr:to>
          <xdr:col>20</xdr:col>
          <xdr:colOff>628650</xdr:colOff>
          <xdr:row>26</xdr:row>
          <xdr:rowOff>219075</xdr:rowOff>
        </xdr:to>
        <xdr:sp macro="" textlink="">
          <xdr:nvSpPr>
            <xdr:cNvPr id="72001" name="Check Box 321" hidden="1">
              <a:extLst>
                <a:ext uri="{63B3BB69-23CF-44E3-9099-C40C66FF867C}">
                  <a14:compatExt spid="_x0000_s720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27</xdr:row>
          <xdr:rowOff>0</xdr:rowOff>
        </xdr:from>
        <xdr:to>
          <xdr:col>20</xdr:col>
          <xdr:colOff>628650</xdr:colOff>
          <xdr:row>27</xdr:row>
          <xdr:rowOff>219075</xdr:rowOff>
        </xdr:to>
        <xdr:sp macro="" textlink="">
          <xdr:nvSpPr>
            <xdr:cNvPr id="72002" name="Check Box 322" hidden="1">
              <a:extLst>
                <a:ext uri="{63B3BB69-23CF-44E3-9099-C40C66FF867C}">
                  <a14:compatExt spid="_x0000_s720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38100</xdr:colOff>
          <xdr:row>18</xdr:row>
          <xdr:rowOff>0</xdr:rowOff>
        </xdr:from>
        <xdr:to>
          <xdr:col>20</xdr:col>
          <xdr:colOff>619125</xdr:colOff>
          <xdr:row>18</xdr:row>
          <xdr:rowOff>219075</xdr:rowOff>
        </xdr:to>
        <xdr:sp macro="" textlink="">
          <xdr:nvSpPr>
            <xdr:cNvPr id="72003" name="Check Box 323" hidden="1">
              <a:extLst>
                <a:ext uri="{63B3BB69-23CF-44E3-9099-C40C66FF867C}">
                  <a14:compatExt spid="_x0000_s720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34</xdr:row>
          <xdr:rowOff>19050</xdr:rowOff>
        </xdr:from>
        <xdr:to>
          <xdr:col>20</xdr:col>
          <xdr:colOff>628650</xdr:colOff>
          <xdr:row>34</xdr:row>
          <xdr:rowOff>238125</xdr:rowOff>
        </xdr:to>
        <xdr:sp macro="" textlink="">
          <xdr:nvSpPr>
            <xdr:cNvPr id="72004" name="Check Box 324" hidden="1">
              <a:extLst>
                <a:ext uri="{63B3BB69-23CF-44E3-9099-C40C66FF867C}">
                  <a14:compatExt spid="_x0000_s720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38</xdr:row>
          <xdr:rowOff>19050</xdr:rowOff>
        </xdr:from>
        <xdr:to>
          <xdr:col>20</xdr:col>
          <xdr:colOff>628650</xdr:colOff>
          <xdr:row>38</xdr:row>
          <xdr:rowOff>238125</xdr:rowOff>
        </xdr:to>
        <xdr:sp macro="" textlink="">
          <xdr:nvSpPr>
            <xdr:cNvPr id="72005" name="Check Box 325" hidden="1">
              <a:extLst>
                <a:ext uri="{63B3BB69-23CF-44E3-9099-C40C66FF867C}">
                  <a14:compatExt spid="_x0000_s720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12</xdr:row>
          <xdr:rowOff>0</xdr:rowOff>
        </xdr:from>
        <xdr:to>
          <xdr:col>20</xdr:col>
          <xdr:colOff>628650</xdr:colOff>
          <xdr:row>12</xdr:row>
          <xdr:rowOff>219075</xdr:rowOff>
        </xdr:to>
        <xdr:sp macro="" textlink="">
          <xdr:nvSpPr>
            <xdr:cNvPr id="72006" name="Check Box 326" hidden="1">
              <a:extLst>
                <a:ext uri="{63B3BB69-23CF-44E3-9099-C40C66FF867C}">
                  <a14:compatExt spid="_x0000_s720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23</xdr:row>
          <xdr:rowOff>0</xdr:rowOff>
        </xdr:from>
        <xdr:to>
          <xdr:col>20</xdr:col>
          <xdr:colOff>628650</xdr:colOff>
          <xdr:row>23</xdr:row>
          <xdr:rowOff>219075</xdr:rowOff>
        </xdr:to>
        <xdr:sp macro="" textlink="">
          <xdr:nvSpPr>
            <xdr:cNvPr id="72007" name="Check Box 327" hidden="1">
              <a:extLst>
                <a:ext uri="{63B3BB69-23CF-44E3-9099-C40C66FF867C}">
                  <a14:compatExt spid="_x0000_s720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39</xdr:row>
          <xdr:rowOff>19050</xdr:rowOff>
        </xdr:from>
        <xdr:to>
          <xdr:col>20</xdr:col>
          <xdr:colOff>628650</xdr:colOff>
          <xdr:row>39</xdr:row>
          <xdr:rowOff>238125</xdr:rowOff>
        </xdr:to>
        <xdr:sp macro="" textlink="">
          <xdr:nvSpPr>
            <xdr:cNvPr id="72008" name="Check Box 328" hidden="1">
              <a:extLst>
                <a:ext uri="{63B3BB69-23CF-44E3-9099-C40C66FF867C}">
                  <a14:compatExt spid="_x0000_s720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40</xdr:row>
          <xdr:rowOff>19050</xdr:rowOff>
        </xdr:from>
        <xdr:to>
          <xdr:col>20</xdr:col>
          <xdr:colOff>628650</xdr:colOff>
          <xdr:row>40</xdr:row>
          <xdr:rowOff>238125</xdr:rowOff>
        </xdr:to>
        <xdr:sp macro="" textlink="">
          <xdr:nvSpPr>
            <xdr:cNvPr id="72009" name="Check Box 329" hidden="1">
              <a:extLst>
                <a:ext uri="{63B3BB69-23CF-44E3-9099-C40C66FF867C}">
                  <a14:compatExt spid="_x0000_s72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15</xdr:row>
          <xdr:rowOff>0</xdr:rowOff>
        </xdr:from>
        <xdr:to>
          <xdr:col>20</xdr:col>
          <xdr:colOff>628650</xdr:colOff>
          <xdr:row>15</xdr:row>
          <xdr:rowOff>219075</xdr:rowOff>
        </xdr:to>
        <xdr:sp macro="" textlink="">
          <xdr:nvSpPr>
            <xdr:cNvPr id="72010" name="Check Box 330" hidden="1">
              <a:extLst>
                <a:ext uri="{63B3BB69-23CF-44E3-9099-C40C66FF867C}">
                  <a14:compatExt spid="_x0000_s720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17</xdr:row>
          <xdr:rowOff>0</xdr:rowOff>
        </xdr:from>
        <xdr:to>
          <xdr:col>20</xdr:col>
          <xdr:colOff>628650</xdr:colOff>
          <xdr:row>17</xdr:row>
          <xdr:rowOff>219075</xdr:rowOff>
        </xdr:to>
        <xdr:sp macro="" textlink="">
          <xdr:nvSpPr>
            <xdr:cNvPr id="72011" name="Check Box 331" hidden="1">
              <a:extLst>
                <a:ext uri="{63B3BB69-23CF-44E3-9099-C40C66FF867C}">
                  <a14:compatExt spid="_x0000_s720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38100</xdr:colOff>
          <xdr:row>21</xdr:row>
          <xdr:rowOff>0</xdr:rowOff>
        </xdr:from>
        <xdr:to>
          <xdr:col>20</xdr:col>
          <xdr:colOff>619125</xdr:colOff>
          <xdr:row>21</xdr:row>
          <xdr:rowOff>219075</xdr:rowOff>
        </xdr:to>
        <xdr:sp macro="" textlink="">
          <xdr:nvSpPr>
            <xdr:cNvPr id="72012" name="Check Box 332" hidden="1">
              <a:extLst>
                <a:ext uri="{63B3BB69-23CF-44E3-9099-C40C66FF867C}">
                  <a14:compatExt spid="_x0000_s720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28</xdr:row>
          <xdr:rowOff>0</xdr:rowOff>
        </xdr:from>
        <xdr:to>
          <xdr:col>20</xdr:col>
          <xdr:colOff>628650</xdr:colOff>
          <xdr:row>28</xdr:row>
          <xdr:rowOff>219075</xdr:rowOff>
        </xdr:to>
        <xdr:sp macro="" textlink="">
          <xdr:nvSpPr>
            <xdr:cNvPr id="72013" name="Check Box 333" hidden="1">
              <a:extLst>
                <a:ext uri="{63B3BB69-23CF-44E3-9099-C40C66FF867C}">
                  <a14:compatExt spid="_x0000_s720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29</xdr:row>
          <xdr:rowOff>0</xdr:rowOff>
        </xdr:from>
        <xdr:to>
          <xdr:col>20</xdr:col>
          <xdr:colOff>628650</xdr:colOff>
          <xdr:row>29</xdr:row>
          <xdr:rowOff>219075</xdr:rowOff>
        </xdr:to>
        <xdr:sp macro="" textlink="">
          <xdr:nvSpPr>
            <xdr:cNvPr id="72014" name="Check Box 334" hidden="1">
              <a:extLst>
                <a:ext uri="{63B3BB69-23CF-44E3-9099-C40C66FF867C}">
                  <a14:compatExt spid="_x0000_s720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30</xdr:row>
          <xdr:rowOff>0</xdr:rowOff>
        </xdr:from>
        <xdr:to>
          <xdr:col>20</xdr:col>
          <xdr:colOff>628650</xdr:colOff>
          <xdr:row>30</xdr:row>
          <xdr:rowOff>219075</xdr:rowOff>
        </xdr:to>
        <xdr:sp macro="" textlink="">
          <xdr:nvSpPr>
            <xdr:cNvPr id="72015" name="Check Box 335" hidden="1">
              <a:extLst>
                <a:ext uri="{63B3BB69-23CF-44E3-9099-C40C66FF867C}">
                  <a14:compatExt spid="_x0000_s720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31</xdr:row>
          <xdr:rowOff>0</xdr:rowOff>
        </xdr:from>
        <xdr:to>
          <xdr:col>20</xdr:col>
          <xdr:colOff>628650</xdr:colOff>
          <xdr:row>31</xdr:row>
          <xdr:rowOff>219075</xdr:rowOff>
        </xdr:to>
        <xdr:sp macro="" textlink="">
          <xdr:nvSpPr>
            <xdr:cNvPr id="72016" name="Check Box 336" hidden="1">
              <a:extLst>
                <a:ext uri="{63B3BB69-23CF-44E3-9099-C40C66FF867C}">
                  <a14:compatExt spid="_x0000_s720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32</xdr:row>
          <xdr:rowOff>0</xdr:rowOff>
        </xdr:from>
        <xdr:to>
          <xdr:col>20</xdr:col>
          <xdr:colOff>628650</xdr:colOff>
          <xdr:row>32</xdr:row>
          <xdr:rowOff>219075</xdr:rowOff>
        </xdr:to>
        <xdr:sp macro="" textlink="">
          <xdr:nvSpPr>
            <xdr:cNvPr id="72017" name="Check Box 337" hidden="1">
              <a:extLst>
                <a:ext uri="{63B3BB69-23CF-44E3-9099-C40C66FF867C}">
                  <a14:compatExt spid="_x0000_s720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35</xdr:row>
          <xdr:rowOff>0</xdr:rowOff>
        </xdr:from>
        <xdr:to>
          <xdr:col>20</xdr:col>
          <xdr:colOff>628650</xdr:colOff>
          <xdr:row>35</xdr:row>
          <xdr:rowOff>228600</xdr:rowOff>
        </xdr:to>
        <xdr:sp macro="" textlink="">
          <xdr:nvSpPr>
            <xdr:cNvPr id="72018" name="Check Box 338" hidden="1">
              <a:extLst>
                <a:ext uri="{63B3BB69-23CF-44E3-9099-C40C66FF867C}">
                  <a14:compatExt spid="_x0000_s720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24</xdr:row>
          <xdr:rowOff>19050</xdr:rowOff>
        </xdr:from>
        <xdr:to>
          <xdr:col>20</xdr:col>
          <xdr:colOff>628650</xdr:colOff>
          <xdr:row>24</xdr:row>
          <xdr:rowOff>238125</xdr:rowOff>
        </xdr:to>
        <xdr:sp macro="" textlink="">
          <xdr:nvSpPr>
            <xdr:cNvPr id="72019" name="Check Box 339" descr="Fosfaat" hidden="1">
              <a:extLst>
                <a:ext uri="{63B3BB69-23CF-44E3-9099-C40C66FF867C}">
                  <a14:compatExt spid="_x0000_s720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16</xdr:row>
          <xdr:rowOff>0</xdr:rowOff>
        </xdr:from>
        <xdr:to>
          <xdr:col>20</xdr:col>
          <xdr:colOff>628650</xdr:colOff>
          <xdr:row>16</xdr:row>
          <xdr:rowOff>219075</xdr:rowOff>
        </xdr:to>
        <xdr:sp macro="" textlink="">
          <xdr:nvSpPr>
            <xdr:cNvPr id="72020" name="Check Box 340" hidden="1">
              <a:extLst>
                <a:ext uri="{63B3BB69-23CF-44E3-9099-C40C66FF867C}">
                  <a14:compatExt spid="_x0000_s720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37</xdr:row>
          <xdr:rowOff>0</xdr:rowOff>
        </xdr:from>
        <xdr:to>
          <xdr:col>20</xdr:col>
          <xdr:colOff>628650</xdr:colOff>
          <xdr:row>37</xdr:row>
          <xdr:rowOff>228600</xdr:rowOff>
        </xdr:to>
        <xdr:sp macro="" textlink="">
          <xdr:nvSpPr>
            <xdr:cNvPr id="72021" name="Check Box 341" hidden="1">
              <a:extLst>
                <a:ext uri="{63B3BB69-23CF-44E3-9099-C40C66FF867C}">
                  <a14:compatExt spid="_x0000_s720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33</xdr:row>
          <xdr:rowOff>19050</xdr:rowOff>
        </xdr:from>
        <xdr:to>
          <xdr:col>20</xdr:col>
          <xdr:colOff>628650</xdr:colOff>
          <xdr:row>33</xdr:row>
          <xdr:rowOff>238125</xdr:rowOff>
        </xdr:to>
        <xdr:sp macro="" textlink="">
          <xdr:nvSpPr>
            <xdr:cNvPr id="72022" name="Check Box 342" descr="Fosfaat" hidden="1">
              <a:extLst>
                <a:ext uri="{63B3BB69-23CF-44E3-9099-C40C66FF867C}">
                  <a14:compatExt spid="_x0000_s720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638175</xdr:colOff>
          <xdr:row>2</xdr:row>
          <xdr:rowOff>57150</xdr:rowOff>
        </xdr:from>
        <xdr:to>
          <xdr:col>10</xdr:col>
          <xdr:colOff>714375</xdr:colOff>
          <xdr:row>3</xdr:row>
          <xdr:rowOff>9525</xdr:rowOff>
        </xdr:to>
        <xdr:sp macro="" textlink="">
          <xdr:nvSpPr>
            <xdr:cNvPr id="72023" name="Spinner 343" hidden="1">
              <a:extLst>
                <a:ext uri="{63B3BB69-23CF-44E3-9099-C40C66FF867C}">
                  <a14:compatExt spid="_x0000_s720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9</xdr:col>
      <xdr:colOff>19050</xdr:colOff>
      <xdr:row>1</xdr:row>
      <xdr:rowOff>47625</xdr:rowOff>
    </xdr:from>
    <xdr:to>
      <xdr:col>10</xdr:col>
      <xdr:colOff>0</xdr:colOff>
      <xdr:row>2</xdr:row>
      <xdr:rowOff>9525</xdr:rowOff>
    </xdr:to>
    <xdr:sp macro="[0]!InGewicht" textlink="">
      <xdr:nvSpPr>
        <xdr:cNvPr id="285" name="Rectangle 113"/>
        <xdr:cNvSpPr>
          <a:spLocks noChangeArrowheads="1"/>
        </xdr:cNvSpPr>
      </xdr:nvSpPr>
      <xdr:spPr bwMode="auto">
        <a:xfrm>
          <a:off x="5981700" y="142875"/>
          <a:ext cx="123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609600</xdr:colOff>
      <xdr:row>2</xdr:row>
      <xdr:rowOff>171450</xdr:rowOff>
    </xdr:to>
    <xdr:sp macro="[0]!InLengte" textlink="">
      <xdr:nvSpPr>
        <xdr:cNvPr id="286" name="Rectangle 114"/>
        <xdr:cNvSpPr>
          <a:spLocks noChangeArrowheads="1"/>
        </xdr:cNvSpPr>
      </xdr:nvSpPr>
      <xdr:spPr bwMode="auto">
        <a:xfrm>
          <a:off x="5991225" y="333375"/>
          <a:ext cx="114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287" name="Rectangle 115"/>
        <xdr:cNvSpPr>
          <a:spLocks noChangeArrowheads="1"/>
        </xdr:cNvSpPr>
      </xdr:nvSpPr>
      <xdr:spPr bwMode="auto">
        <a:xfrm flipV="1">
          <a:off x="1676400" y="314325"/>
          <a:ext cx="14287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32</xdr:row>
      <xdr:rowOff>238125</xdr:rowOff>
    </xdr:from>
    <xdr:to>
      <xdr:col>6</xdr:col>
      <xdr:colOff>419100</xdr:colOff>
      <xdr:row>35</xdr:row>
      <xdr:rowOff>142875</xdr:rowOff>
    </xdr:to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2628900" y="7762875"/>
          <a:ext cx="4752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3.xml"/><Relationship Id="rId21" Type="http://schemas.openxmlformats.org/officeDocument/2006/relationships/ctrlProp" Target="../ctrlProps/ctrlProp17.xml"/><Relationship Id="rId42" Type="http://schemas.openxmlformats.org/officeDocument/2006/relationships/ctrlProp" Target="../ctrlProps/ctrlProp38.xml"/><Relationship Id="rId63" Type="http://schemas.openxmlformats.org/officeDocument/2006/relationships/ctrlProp" Target="../ctrlProps/ctrlProp59.xml"/><Relationship Id="rId84" Type="http://schemas.openxmlformats.org/officeDocument/2006/relationships/ctrlProp" Target="../ctrlProps/ctrlProp80.xml"/><Relationship Id="rId138" Type="http://schemas.openxmlformats.org/officeDocument/2006/relationships/ctrlProp" Target="../ctrlProps/ctrlProp134.xml"/><Relationship Id="rId159" Type="http://schemas.openxmlformats.org/officeDocument/2006/relationships/ctrlProp" Target="../ctrlProps/ctrlProp155.xml"/><Relationship Id="rId170" Type="http://schemas.openxmlformats.org/officeDocument/2006/relationships/ctrlProp" Target="../ctrlProps/ctrlProp166.xml"/><Relationship Id="rId191" Type="http://schemas.openxmlformats.org/officeDocument/2006/relationships/ctrlProp" Target="../ctrlProps/ctrlProp187.xml"/><Relationship Id="rId205" Type="http://schemas.openxmlformats.org/officeDocument/2006/relationships/ctrlProp" Target="../ctrlProps/ctrlProp201.xml"/><Relationship Id="rId226" Type="http://schemas.openxmlformats.org/officeDocument/2006/relationships/ctrlProp" Target="../ctrlProps/ctrlProp222.xml"/><Relationship Id="rId107" Type="http://schemas.openxmlformats.org/officeDocument/2006/relationships/ctrlProp" Target="../ctrlProps/ctrlProp103.xml"/><Relationship Id="rId11" Type="http://schemas.openxmlformats.org/officeDocument/2006/relationships/ctrlProp" Target="../ctrlProps/ctrlProp7.xml"/><Relationship Id="rId32" Type="http://schemas.openxmlformats.org/officeDocument/2006/relationships/ctrlProp" Target="../ctrlProps/ctrlProp28.xml"/><Relationship Id="rId53" Type="http://schemas.openxmlformats.org/officeDocument/2006/relationships/ctrlProp" Target="../ctrlProps/ctrlProp49.xml"/><Relationship Id="rId74" Type="http://schemas.openxmlformats.org/officeDocument/2006/relationships/ctrlProp" Target="../ctrlProps/ctrlProp70.xml"/><Relationship Id="rId128" Type="http://schemas.openxmlformats.org/officeDocument/2006/relationships/ctrlProp" Target="../ctrlProps/ctrlProp124.xml"/><Relationship Id="rId149" Type="http://schemas.openxmlformats.org/officeDocument/2006/relationships/ctrlProp" Target="../ctrlProps/ctrlProp145.xml"/><Relationship Id="rId5" Type="http://schemas.openxmlformats.org/officeDocument/2006/relationships/ctrlProp" Target="../ctrlProps/ctrlProp1.xml"/><Relationship Id="rId95" Type="http://schemas.openxmlformats.org/officeDocument/2006/relationships/ctrlProp" Target="../ctrlProps/ctrlProp91.xml"/><Relationship Id="rId160" Type="http://schemas.openxmlformats.org/officeDocument/2006/relationships/ctrlProp" Target="../ctrlProps/ctrlProp156.xml"/><Relationship Id="rId181" Type="http://schemas.openxmlformats.org/officeDocument/2006/relationships/ctrlProp" Target="../ctrlProps/ctrlProp177.xml"/><Relationship Id="rId216" Type="http://schemas.openxmlformats.org/officeDocument/2006/relationships/ctrlProp" Target="../ctrlProps/ctrlProp212.xml"/><Relationship Id="rId237" Type="http://schemas.openxmlformats.org/officeDocument/2006/relationships/ctrlProp" Target="../ctrlProps/ctrlProp233.xml"/><Relationship Id="rId22" Type="http://schemas.openxmlformats.org/officeDocument/2006/relationships/ctrlProp" Target="../ctrlProps/ctrlProp18.xml"/><Relationship Id="rId43" Type="http://schemas.openxmlformats.org/officeDocument/2006/relationships/ctrlProp" Target="../ctrlProps/ctrlProp39.xml"/><Relationship Id="rId64" Type="http://schemas.openxmlformats.org/officeDocument/2006/relationships/ctrlProp" Target="../ctrlProps/ctrlProp60.xml"/><Relationship Id="rId118" Type="http://schemas.openxmlformats.org/officeDocument/2006/relationships/ctrlProp" Target="../ctrlProps/ctrlProp114.xml"/><Relationship Id="rId139" Type="http://schemas.openxmlformats.org/officeDocument/2006/relationships/ctrlProp" Target="../ctrlProps/ctrlProp135.xml"/><Relationship Id="rId85" Type="http://schemas.openxmlformats.org/officeDocument/2006/relationships/ctrlProp" Target="../ctrlProps/ctrlProp81.xml"/><Relationship Id="rId150" Type="http://schemas.openxmlformats.org/officeDocument/2006/relationships/ctrlProp" Target="../ctrlProps/ctrlProp146.xml"/><Relationship Id="rId171" Type="http://schemas.openxmlformats.org/officeDocument/2006/relationships/ctrlProp" Target="../ctrlProps/ctrlProp167.xml"/><Relationship Id="rId192" Type="http://schemas.openxmlformats.org/officeDocument/2006/relationships/ctrlProp" Target="../ctrlProps/ctrlProp188.xml"/><Relationship Id="rId206" Type="http://schemas.openxmlformats.org/officeDocument/2006/relationships/ctrlProp" Target="../ctrlProps/ctrlProp202.xml"/><Relationship Id="rId227" Type="http://schemas.openxmlformats.org/officeDocument/2006/relationships/ctrlProp" Target="../ctrlProps/ctrlProp223.xml"/><Relationship Id="rId12" Type="http://schemas.openxmlformats.org/officeDocument/2006/relationships/ctrlProp" Target="../ctrlProps/ctrlProp8.xml"/><Relationship Id="rId33" Type="http://schemas.openxmlformats.org/officeDocument/2006/relationships/ctrlProp" Target="../ctrlProps/ctrlProp29.xml"/><Relationship Id="rId108" Type="http://schemas.openxmlformats.org/officeDocument/2006/relationships/ctrlProp" Target="../ctrlProps/ctrlProp104.xml"/><Relationship Id="rId129" Type="http://schemas.openxmlformats.org/officeDocument/2006/relationships/ctrlProp" Target="../ctrlProps/ctrlProp125.xml"/><Relationship Id="rId54" Type="http://schemas.openxmlformats.org/officeDocument/2006/relationships/ctrlProp" Target="../ctrlProps/ctrlProp50.xml"/><Relationship Id="rId75" Type="http://schemas.openxmlformats.org/officeDocument/2006/relationships/ctrlProp" Target="../ctrlProps/ctrlProp71.xml"/><Relationship Id="rId96" Type="http://schemas.openxmlformats.org/officeDocument/2006/relationships/ctrlProp" Target="../ctrlProps/ctrlProp92.xml"/><Relationship Id="rId140" Type="http://schemas.openxmlformats.org/officeDocument/2006/relationships/ctrlProp" Target="../ctrlProps/ctrlProp136.xml"/><Relationship Id="rId161" Type="http://schemas.openxmlformats.org/officeDocument/2006/relationships/ctrlProp" Target="../ctrlProps/ctrlProp157.xml"/><Relationship Id="rId182" Type="http://schemas.openxmlformats.org/officeDocument/2006/relationships/ctrlProp" Target="../ctrlProps/ctrlProp178.xml"/><Relationship Id="rId217" Type="http://schemas.openxmlformats.org/officeDocument/2006/relationships/ctrlProp" Target="../ctrlProps/ctrlProp213.xml"/><Relationship Id="rId6" Type="http://schemas.openxmlformats.org/officeDocument/2006/relationships/ctrlProp" Target="../ctrlProps/ctrlProp2.xml"/><Relationship Id="rId238" Type="http://schemas.openxmlformats.org/officeDocument/2006/relationships/ctrlProp" Target="../ctrlProps/ctrlProp234.xml"/><Relationship Id="rId23" Type="http://schemas.openxmlformats.org/officeDocument/2006/relationships/ctrlProp" Target="../ctrlProps/ctrlProp19.xml"/><Relationship Id="rId119" Type="http://schemas.openxmlformats.org/officeDocument/2006/relationships/ctrlProp" Target="../ctrlProps/ctrlProp115.xml"/><Relationship Id="rId44" Type="http://schemas.openxmlformats.org/officeDocument/2006/relationships/ctrlProp" Target="../ctrlProps/ctrlProp40.xml"/><Relationship Id="rId65" Type="http://schemas.openxmlformats.org/officeDocument/2006/relationships/ctrlProp" Target="../ctrlProps/ctrlProp61.xml"/><Relationship Id="rId86" Type="http://schemas.openxmlformats.org/officeDocument/2006/relationships/ctrlProp" Target="../ctrlProps/ctrlProp82.xml"/><Relationship Id="rId130" Type="http://schemas.openxmlformats.org/officeDocument/2006/relationships/ctrlProp" Target="../ctrlProps/ctrlProp126.xml"/><Relationship Id="rId151" Type="http://schemas.openxmlformats.org/officeDocument/2006/relationships/ctrlProp" Target="../ctrlProps/ctrlProp147.xml"/><Relationship Id="rId172" Type="http://schemas.openxmlformats.org/officeDocument/2006/relationships/ctrlProp" Target="../ctrlProps/ctrlProp168.xml"/><Relationship Id="rId193" Type="http://schemas.openxmlformats.org/officeDocument/2006/relationships/ctrlProp" Target="../ctrlProps/ctrlProp189.xml"/><Relationship Id="rId207" Type="http://schemas.openxmlformats.org/officeDocument/2006/relationships/ctrlProp" Target="../ctrlProps/ctrlProp203.xml"/><Relationship Id="rId228" Type="http://schemas.openxmlformats.org/officeDocument/2006/relationships/ctrlProp" Target="../ctrlProps/ctrlProp224.xml"/><Relationship Id="rId13" Type="http://schemas.openxmlformats.org/officeDocument/2006/relationships/ctrlProp" Target="../ctrlProps/ctrlProp9.xml"/><Relationship Id="rId109" Type="http://schemas.openxmlformats.org/officeDocument/2006/relationships/ctrlProp" Target="../ctrlProps/ctrlProp105.xml"/><Relationship Id="rId34" Type="http://schemas.openxmlformats.org/officeDocument/2006/relationships/ctrlProp" Target="../ctrlProps/ctrlProp30.xml"/><Relationship Id="rId55" Type="http://schemas.openxmlformats.org/officeDocument/2006/relationships/ctrlProp" Target="../ctrlProps/ctrlProp51.xml"/><Relationship Id="rId76" Type="http://schemas.openxmlformats.org/officeDocument/2006/relationships/ctrlProp" Target="../ctrlProps/ctrlProp72.xml"/><Relationship Id="rId97" Type="http://schemas.openxmlformats.org/officeDocument/2006/relationships/ctrlProp" Target="../ctrlProps/ctrlProp93.xml"/><Relationship Id="rId120" Type="http://schemas.openxmlformats.org/officeDocument/2006/relationships/ctrlProp" Target="../ctrlProps/ctrlProp116.xml"/><Relationship Id="rId141" Type="http://schemas.openxmlformats.org/officeDocument/2006/relationships/ctrlProp" Target="../ctrlProps/ctrlProp137.xml"/><Relationship Id="rId7" Type="http://schemas.openxmlformats.org/officeDocument/2006/relationships/ctrlProp" Target="../ctrlProps/ctrlProp3.xml"/><Relationship Id="rId162" Type="http://schemas.openxmlformats.org/officeDocument/2006/relationships/ctrlProp" Target="../ctrlProps/ctrlProp158.xml"/><Relationship Id="rId183" Type="http://schemas.openxmlformats.org/officeDocument/2006/relationships/ctrlProp" Target="../ctrlProps/ctrlProp179.xml"/><Relationship Id="rId218" Type="http://schemas.openxmlformats.org/officeDocument/2006/relationships/ctrlProp" Target="../ctrlProps/ctrlProp214.xml"/><Relationship Id="rId239" Type="http://schemas.openxmlformats.org/officeDocument/2006/relationships/ctrlProp" Target="../ctrlProps/ctrlProp235.xml"/><Relationship Id="rId24" Type="http://schemas.openxmlformats.org/officeDocument/2006/relationships/ctrlProp" Target="../ctrlProps/ctrlProp20.xml"/><Relationship Id="rId45" Type="http://schemas.openxmlformats.org/officeDocument/2006/relationships/ctrlProp" Target="../ctrlProps/ctrlProp41.xml"/><Relationship Id="rId66" Type="http://schemas.openxmlformats.org/officeDocument/2006/relationships/ctrlProp" Target="../ctrlProps/ctrlProp62.xml"/><Relationship Id="rId87" Type="http://schemas.openxmlformats.org/officeDocument/2006/relationships/ctrlProp" Target="../ctrlProps/ctrlProp83.xml"/><Relationship Id="rId110" Type="http://schemas.openxmlformats.org/officeDocument/2006/relationships/ctrlProp" Target="../ctrlProps/ctrlProp106.xml"/><Relationship Id="rId131" Type="http://schemas.openxmlformats.org/officeDocument/2006/relationships/ctrlProp" Target="../ctrlProps/ctrlProp127.xml"/><Relationship Id="rId152" Type="http://schemas.openxmlformats.org/officeDocument/2006/relationships/ctrlProp" Target="../ctrlProps/ctrlProp148.xml"/><Relationship Id="rId173" Type="http://schemas.openxmlformats.org/officeDocument/2006/relationships/ctrlProp" Target="../ctrlProps/ctrlProp169.xml"/><Relationship Id="rId194" Type="http://schemas.openxmlformats.org/officeDocument/2006/relationships/ctrlProp" Target="../ctrlProps/ctrlProp190.xml"/><Relationship Id="rId208" Type="http://schemas.openxmlformats.org/officeDocument/2006/relationships/ctrlProp" Target="../ctrlProps/ctrlProp204.xml"/><Relationship Id="rId229" Type="http://schemas.openxmlformats.org/officeDocument/2006/relationships/ctrlProp" Target="../ctrlProps/ctrlProp225.xml"/><Relationship Id="rId240" Type="http://schemas.openxmlformats.org/officeDocument/2006/relationships/ctrlProp" Target="../ctrlProps/ctrlProp236.xml"/><Relationship Id="rId14" Type="http://schemas.openxmlformats.org/officeDocument/2006/relationships/ctrlProp" Target="../ctrlProps/ctrlProp10.xml"/><Relationship Id="rId35" Type="http://schemas.openxmlformats.org/officeDocument/2006/relationships/ctrlProp" Target="../ctrlProps/ctrlProp31.xml"/><Relationship Id="rId56" Type="http://schemas.openxmlformats.org/officeDocument/2006/relationships/ctrlProp" Target="../ctrlProps/ctrlProp52.xml"/><Relationship Id="rId77" Type="http://schemas.openxmlformats.org/officeDocument/2006/relationships/ctrlProp" Target="../ctrlProps/ctrlProp73.xml"/><Relationship Id="rId100" Type="http://schemas.openxmlformats.org/officeDocument/2006/relationships/ctrlProp" Target="../ctrlProps/ctrlProp96.xml"/><Relationship Id="rId8" Type="http://schemas.openxmlformats.org/officeDocument/2006/relationships/ctrlProp" Target="../ctrlProps/ctrlProp4.xml"/><Relationship Id="rId98" Type="http://schemas.openxmlformats.org/officeDocument/2006/relationships/ctrlProp" Target="../ctrlProps/ctrlProp94.xml"/><Relationship Id="rId121" Type="http://schemas.openxmlformats.org/officeDocument/2006/relationships/ctrlProp" Target="../ctrlProps/ctrlProp117.xml"/><Relationship Id="rId142" Type="http://schemas.openxmlformats.org/officeDocument/2006/relationships/ctrlProp" Target="../ctrlProps/ctrlProp138.xml"/><Relationship Id="rId163" Type="http://schemas.openxmlformats.org/officeDocument/2006/relationships/ctrlProp" Target="../ctrlProps/ctrlProp159.xml"/><Relationship Id="rId184" Type="http://schemas.openxmlformats.org/officeDocument/2006/relationships/ctrlProp" Target="../ctrlProps/ctrlProp180.xml"/><Relationship Id="rId219" Type="http://schemas.openxmlformats.org/officeDocument/2006/relationships/ctrlProp" Target="../ctrlProps/ctrlProp215.xml"/><Relationship Id="rId230" Type="http://schemas.openxmlformats.org/officeDocument/2006/relationships/ctrlProp" Target="../ctrlProps/ctrlProp226.xml"/><Relationship Id="rId25" Type="http://schemas.openxmlformats.org/officeDocument/2006/relationships/ctrlProp" Target="../ctrlProps/ctrlProp21.xml"/><Relationship Id="rId46" Type="http://schemas.openxmlformats.org/officeDocument/2006/relationships/ctrlProp" Target="../ctrlProps/ctrlProp42.xml"/><Relationship Id="rId67" Type="http://schemas.openxmlformats.org/officeDocument/2006/relationships/ctrlProp" Target="../ctrlProps/ctrlProp63.xml"/><Relationship Id="rId88" Type="http://schemas.openxmlformats.org/officeDocument/2006/relationships/ctrlProp" Target="../ctrlProps/ctrlProp84.xml"/><Relationship Id="rId111" Type="http://schemas.openxmlformats.org/officeDocument/2006/relationships/ctrlProp" Target="../ctrlProps/ctrlProp107.xml"/><Relationship Id="rId132" Type="http://schemas.openxmlformats.org/officeDocument/2006/relationships/ctrlProp" Target="../ctrlProps/ctrlProp128.xml"/><Relationship Id="rId153" Type="http://schemas.openxmlformats.org/officeDocument/2006/relationships/ctrlProp" Target="../ctrlProps/ctrlProp149.xml"/><Relationship Id="rId174" Type="http://schemas.openxmlformats.org/officeDocument/2006/relationships/ctrlProp" Target="../ctrlProps/ctrlProp170.xml"/><Relationship Id="rId195" Type="http://schemas.openxmlformats.org/officeDocument/2006/relationships/ctrlProp" Target="../ctrlProps/ctrlProp191.xml"/><Relationship Id="rId209" Type="http://schemas.openxmlformats.org/officeDocument/2006/relationships/ctrlProp" Target="../ctrlProps/ctrlProp205.xml"/><Relationship Id="rId220" Type="http://schemas.openxmlformats.org/officeDocument/2006/relationships/ctrlProp" Target="../ctrlProps/ctrlProp216.xml"/><Relationship Id="rId241" Type="http://schemas.openxmlformats.org/officeDocument/2006/relationships/ctrlProp" Target="../ctrlProps/ctrlProp237.xml"/><Relationship Id="rId15" Type="http://schemas.openxmlformats.org/officeDocument/2006/relationships/ctrlProp" Target="../ctrlProps/ctrlProp11.xml"/><Relationship Id="rId36" Type="http://schemas.openxmlformats.org/officeDocument/2006/relationships/ctrlProp" Target="../ctrlProps/ctrlProp32.xml"/><Relationship Id="rId57" Type="http://schemas.openxmlformats.org/officeDocument/2006/relationships/ctrlProp" Target="../ctrlProps/ctrlProp53.xml"/><Relationship Id="rId10" Type="http://schemas.openxmlformats.org/officeDocument/2006/relationships/ctrlProp" Target="../ctrlProps/ctrlProp6.xml"/><Relationship Id="rId31" Type="http://schemas.openxmlformats.org/officeDocument/2006/relationships/ctrlProp" Target="../ctrlProps/ctrlProp27.xml"/><Relationship Id="rId52" Type="http://schemas.openxmlformats.org/officeDocument/2006/relationships/ctrlProp" Target="../ctrlProps/ctrlProp48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94" Type="http://schemas.openxmlformats.org/officeDocument/2006/relationships/ctrlProp" Target="../ctrlProps/ctrlProp90.xml"/><Relationship Id="rId99" Type="http://schemas.openxmlformats.org/officeDocument/2006/relationships/ctrlProp" Target="../ctrlProps/ctrlProp95.xml"/><Relationship Id="rId101" Type="http://schemas.openxmlformats.org/officeDocument/2006/relationships/ctrlProp" Target="../ctrlProps/ctrlProp97.xml"/><Relationship Id="rId122" Type="http://schemas.openxmlformats.org/officeDocument/2006/relationships/ctrlProp" Target="../ctrlProps/ctrlProp118.xml"/><Relationship Id="rId143" Type="http://schemas.openxmlformats.org/officeDocument/2006/relationships/ctrlProp" Target="../ctrlProps/ctrlProp139.xml"/><Relationship Id="rId148" Type="http://schemas.openxmlformats.org/officeDocument/2006/relationships/ctrlProp" Target="../ctrlProps/ctrlProp144.xml"/><Relationship Id="rId164" Type="http://schemas.openxmlformats.org/officeDocument/2006/relationships/ctrlProp" Target="../ctrlProps/ctrlProp160.xml"/><Relationship Id="rId169" Type="http://schemas.openxmlformats.org/officeDocument/2006/relationships/ctrlProp" Target="../ctrlProps/ctrlProp165.xml"/><Relationship Id="rId185" Type="http://schemas.openxmlformats.org/officeDocument/2006/relationships/ctrlProp" Target="../ctrlProps/ctrlProp18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80" Type="http://schemas.openxmlformats.org/officeDocument/2006/relationships/ctrlProp" Target="../ctrlProps/ctrlProp176.xml"/><Relationship Id="rId210" Type="http://schemas.openxmlformats.org/officeDocument/2006/relationships/ctrlProp" Target="../ctrlProps/ctrlProp206.xml"/><Relationship Id="rId215" Type="http://schemas.openxmlformats.org/officeDocument/2006/relationships/ctrlProp" Target="../ctrlProps/ctrlProp211.xml"/><Relationship Id="rId236" Type="http://schemas.openxmlformats.org/officeDocument/2006/relationships/ctrlProp" Target="../ctrlProps/ctrlProp232.xml"/><Relationship Id="rId26" Type="http://schemas.openxmlformats.org/officeDocument/2006/relationships/ctrlProp" Target="../ctrlProps/ctrlProp22.xml"/><Relationship Id="rId231" Type="http://schemas.openxmlformats.org/officeDocument/2006/relationships/ctrlProp" Target="../ctrlProps/ctrlProp227.xml"/><Relationship Id="rId47" Type="http://schemas.openxmlformats.org/officeDocument/2006/relationships/ctrlProp" Target="../ctrlProps/ctrlProp43.xml"/><Relationship Id="rId68" Type="http://schemas.openxmlformats.org/officeDocument/2006/relationships/ctrlProp" Target="../ctrlProps/ctrlProp64.xml"/><Relationship Id="rId89" Type="http://schemas.openxmlformats.org/officeDocument/2006/relationships/ctrlProp" Target="../ctrlProps/ctrlProp85.xml"/><Relationship Id="rId112" Type="http://schemas.openxmlformats.org/officeDocument/2006/relationships/ctrlProp" Target="../ctrlProps/ctrlProp108.xml"/><Relationship Id="rId133" Type="http://schemas.openxmlformats.org/officeDocument/2006/relationships/ctrlProp" Target="../ctrlProps/ctrlProp129.xml"/><Relationship Id="rId154" Type="http://schemas.openxmlformats.org/officeDocument/2006/relationships/ctrlProp" Target="../ctrlProps/ctrlProp150.xml"/><Relationship Id="rId175" Type="http://schemas.openxmlformats.org/officeDocument/2006/relationships/ctrlProp" Target="../ctrlProps/ctrlProp171.xml"/><Relationship Id="rId196" Type="http://schemas.openxmlformats.org/officeDocument/2006/relationships/ctrlProp" Target="../ctrlProps/ctrlProp192.xml"/><Relationship Id="rId200" Type="http://schemas.openxmlformats.org/officeDocument/2006/relationships/ctrlProp" Target="../ctrlProps/ctrlProp196.xml"/><Relationship Id="rId16" Type="http://schemas.openxmlformats.org/officeDocument/2006/relationships/ctrlProp" Target="../ctrlProps/ctrlProp12.xml"/><Relationship Id="rId221" Type="http://schemas.openxmlformats.org/officeDocument/2006/relationships/ctrlProp" Target="../ctrlProps/ctrlProp217.xml"/><Relationship Id="rId242" Type="http://schemas.openxmlformats.org/officeDocument/2006/relationships/ctrlProp" Target="../ctrlProps/ctrlProp238.xml"/><Relationship Id="rId37" Type="http://schemas.openxmlformats.org/officeDocument/2006/relationships/ctrlProp" Target="../ctrlProps/ctrlProp33.xml"/><Relationship Id="rId58" Type="http://schemas.openxmlformats.org/officeDocument/2006/relationships/ctrlProp" Target="../ctrlProps/ctrlProp54.xml"/><Relationship Id="rId79" Type="http://schemas.openxmlformats.org/officeDocument/2006/relationships/ctrlProp" Target="../ctrlProps/ctrlProp75.xml"/><Relationship Id="rId102" Type="http://schemas.openxmlformats.org/officeDocument/2006/relationships/ctrlProp" Target="../ctrlProps/ctrlProp98.xml"/><Relationship Id="rId123" Type="http://schemas.openxmlformats.org/officeDocument/2006/relationships/ctrlProp" Target="../ctrlProps/ctrlProp119.xml"/><Relationship Id="rId144" Type="http://schemas.openxmlformats.org/officeDocument/2006/relationships/ctrlProp" Target="../ctrlProps/ctrlProp140.xml"/><Relationship Id="rId90" Type="http://schemas.openxmlformats.org/officeDocument/2006/relationships/ctrlProp" Target="../ctrlProps/ctrlProp86.xml"/><Relationship Id="rId165" Type="http://schemas.openxmlformats.org/officeDocument/2006/relationships/ctrlProp" Target="../ctrlProps/ctrlProp161.xml"/><Relationship Id="rId186" Type="http://schemas.openxmlformats.org/officeDocument/2006/relationships/ctrlProp" Target="../ctrlProps/ctrlProp182.xml"/><Relationship Id="rId211" Type="http://schemas.openxmlformats.org/officeDocument/2006/relationships/ctrlProp" Target="../ctrlProps/ctrlProp207.xml"/><Relationship Id="rId232" Type="http://schemas.openxmlformats.org/officeDocument/2006/relationships/ctrlProp" Target="../ctrlProps/ctrlProp228.xml"/><Relationship Id="rId27" Type="http://schemas.openxmlformats.org/officeDocument/2006/relationships/ctrlProp" Target="../ctrlProps/ctrlProp23.xml"/><Relationship Id="rId48" Type="http://schemas.openxmlformats.org/officeDocument/2006/relationships/ctrlProp" Target="../ctrlProps/ctrlProp44.xml"/><Relationship Id="rId69" Type="http://schemas.openxmlformats.org/officeDocument/2006/relationships/ctrlProp" Target="../ctrlProps/ctrlProp65.xml"/><Relationship Id="rId113" Type="http://schemas.openxmlformats.org/officeDocument/2006/relationships/ctrlProp" Target="../ctrlProps/ctrlProp109.xml"/><Relationship Id="rId134" Type="http://schemas.openxmlformats.org/officeDocument/2006/relationships/ctrlProp" Target="../ctrlProps/ctrlProp130.xml"/><Relationship Id="rId80" Type="http://schemas.openxmlformats.org/officeDocument/2006/relationships/ctrlProp" Target="../ctrlProps/ctrlProp76.xml"/><Relationship Id="rId155" Type="http://schemas.openxmlformats.org/officeDocument/2006/relationships/ctrlProp" Target="../ctrlProps/ctrlProp151.xml"/><Relationship Id="rId176" Type="http://schemas.openxmlformats.org/officeDocument/2006/relationships/ctrlProp" Target="../ctrlProps/ctrlProp172.xml"/><Relationship Id="rId197" Type="http://schemas.openxmlformats.org/officeDocument/2006/relationships/ctrlProp" Target="../ctrlProps/ctrlProp193.xml"/><Relationship Id="rId201" Type="http://schemas.openxmlformats.org/officeDocument/2006/relationships/ctrlProp" Target="../ctrlProps/ctrlProp197.xml"/><Relationship Id="rId222" Type="http://schemas.openxmlformats.org/officeDocument/2006/relationships/ctrlProp" Target="../ctrlProps/ctrlProp218.xml"/><Relationship Id="rId243" Type="http://schemas.openxmlformats.org/officeDocument/2006/relationships/ctrlProp" Target="../ctrlProps/ctrlProp239.xml"/><Relationship Id="rId17" Type="http://schemas.openxmlformats.org/officeDocument/2006/relationships/ctrlProp" Target="../ctrlProps/ctrlProp13.xml"/><Relationship Id="rId38" Type="http://schemas.openxmlformats.org/officeDocument/2006/relationships/ctrlProp" Target="../ctrlProps/ctrlProp34.xml"/><Relationship Id="rId59" Type="http://schemas.openxmlformats.org/officeDocument/2006/relationships/ctrlProp" Target="../ctrlProps/ctrlProp55.xml"/><Relationship Id="rId103" Type="http://schemas.openxmlformats.org/officeDocument/2006/relationships/ctrlProp" Target="../ctrlProps/ctrlProp99.xml"/><Relationship Id="rId124" Type="http://schemas.openxmlformats.org/officeDocument/2006/relationships/ctrlProp" Target="../ctrlProps/ctrlProp120.xml"/><Relationship Id="rId70" Type="http://schemas.openxmlformats.org/officeDocument/2006/relationships/ctrlProp" Target="../ctrlProps/ctrlProp66.xml"/><Relationship Id="rId91" Type="http://schemas.openxmlformats.org/officeDocument/2006/relationships/ctrlProp" Target="../ctrlProps/ctrlProp87.xml"/><Relationship Id="rId145" Type="http://schemas.openxmlformats.org/officeDocument/2006/relationships/ctrlProp" Target="../ctrlProps/ctrlProp141.xml"/><Relationship Id="rId166" Type="http://schemas.openxmlformats.org/officeDocument/2006/relationships/ctrlProp" Target="../ctrlProps/ctrlProp162.xml"/><Relationship Id="rId187" Type="http://schemas.openxmlformats.org/officeDocument/2006/relationships/ctrlProp" Target="../ctrlProps/ctrlProp183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8.xml"/><Relationship Id="rId233" Type="http://schemas.openxmlformats.org/officeDocument/2006/relationships/ctrlProp" Target="../ctrlProps/ctrlProp229.xml"/><Relationship Id="rId28" Type="http://schemas.openxmlformats.org/officeDocument/2006/relationships/ctrlProp" Target="../ctrlProps/ctrlProp24.xml"/><Relationship Id="rId49" Type="http://schemas.openxmlformats.org/officeDocument/2006/relationships/ctrlProp" Target="../ctrlProps/ctrlProp45.xml"/><Relationship Id="rId114" Type="http://schemas.openxmlformats.org/officeDocument/2006/relationships/ctrlProp" Target="../ctrlProps/ctrlProp110.xml"/><Relationship Id="rId60" Type="http://schemas.openxmlformats.org/officeDocument/2006/relationships/ctrlProp" Target="../ctrlProps/ctrlProp56.xml"/><Relationship Id="rId81" Type="http://schemas.openxmlformats.org/officeDocument/2006/relationships/ctrlProp" Target="../ctrlProps/ctrlProp77.xml"/><Relationship Id="rId135" Type="http://schemas.openxmlformats.org/officeDocument/2006/relationships/ctrlProp" Target="../ctrlProps/ctrlProp131.xml"/><Relationship Id="rId156" Type="http://schemas.openxmlformats.org/officeDocument/2006/relationships/ctrlProp" Target="../ctrlProps/ctrlProp152.xml"/><Relationship Id="rId177" Type="http://schemas.openxmlformats.org/officeDocument/2006/relationships/ctrlProp" Target="../ctrlProps/ctrlProp173.xml"/><Relationship Id="rId198" Type="http://schemas.openxmlformats.org/officeDocument/2006/relationships/ctrlProp" Target="../ctrlProps/ctrlProp194.xml"/><Relationship Id="rId202" Type="http://schemas.openxmlformats.org/officeDocument/2006/relationships/ctrlProp" Target="../ctrlProps/ctrlProp198.xml"/><Relationship Id="rId223" Type="http://schemas.openxmlformats.org/officeDocument/2006/relationships/ctrlProp" Target="../ctrlProps/ctrlProp219.xml"/><Relationship Id="rId244" Type="http://schemas.openxmlformats.org/officeDocument/2006/relationships/ctrlProp" Target="../ctrlProps/ctrlProp240.xml"/><Relationship Id="rId18" Type="http://schemas.openxmlformats.org/officeDocument/2006/relationships/ctrlProp" Target="../ctrlProps/ctrlProp14.xml"/><Relationship Id="rId39" Type="http://schemas.openxmlformats.org/officeDocument/2006/relationships/ctrlProp" Target="../ctrlProps/ctrlProp35.xml"/><Relationship Id="rId50" Type="http://schemas.openxmlformats.org/officeDocument/2006/relationships/ctrlProp" Target="../ctrlProps/ctrlProp46.xml"/><Relationship Id="rId104" Type="http://schemas.openxmlformats.org/officeDocument/2006/relationships/ctrlProp" Target="../ctrlProps/ctrlProp100.xml"/><Relationship Id="rId125" Type="http://schemas.openxmlformats.org/officeDocument/2006/relationships/ctrlProp" Target="../ctrlProps/ctrlProp121.xml"/><Relationship Id="rId146" Type="http://schemas.openxmlformats.org/officeDocument/2006/relationships/ctrlProp" Target="../ctrlProps/ctrlProp142.xml"/><Relationship Id="rId167" Type="http://schemas.openxmlformats.org/officeDocument/2006/relationships/ctrlProp" Target="../ctrlProps/ctrlProp163.xml"/><Relationship Id="rId188" Type="http://schemas.openxmlformats.org/officeDocument/2006/relationships/ctrlProp" Target="../ctrlProps/ctrlProp184.xml"/><Relationship Id="rId71" Type="http://schemas.openxmlformats.org/officeDocument/2006/relationships/ctrlProp" Target="../ctrlProps/ctrlProp67.xml"/><Relationship Id="rId92" Type="http://schemas.openxmlformats.org/officeDocument/2006/relationships/ctrlProp" Target="../ctrlProps/ctrlProp88.xml"/><Relationship Id="rId213" Type="http://schemas.openxmlformats.org/officeDocument/2006/relationships/ctrlProp" Target="../ctrlProps/ctrlProp209.xml"/><Relationship Id="rId234" Type="http://schemas.openxmlformats.org/officeDocument/2006/relationships/ctrlProp" Target="../ctrlProps/ctrlProp230.xml"/><Relationship Id="rId2" Type="http://schemas.openxmlformats.org/officeDocument/2006/relationships/printerSettings" Target="../printerSettings/printerSettings2.bin"/><Relationship Id="rId29" Type="http://schemas.openxmlformats.org/officeDocument/2006/relationships/ctrlProp" Target="../ctrlProps/ctrlProp25.xml"/><Relationship Id="rId40" Type="http://schemas.openxmlformats.org/officeDocument/2006/relationships/ctrlProp" Target="../ctrlProps/ctrlProp36.xml"/><Relationship Id="rId115" Type="http://schemas.openxmlformats.org/officeDocument/2006/relationships/ctrlProp" Target="../ctrlProps/ctrlProp111.xml"/><Relationship Id="rId136" Type="http://schemas.openxmlformats.org/officeDocument/2006/relationships/ctrlProp" Target="../ctrlProps/ctrlProp132.xml"/><Relationship Id="rId157" Type="http://schemas.openxmlformats.org/officeDocument/2006/relationships/ctrlProp" Target="../ctrlProps/ctrlProp153.xml"/><Relationship Id="rId178" Type="http://schemas.openxmlformats.org/officeDocument/2006/relationships/ctrlProp" Target="../ctrlProps/ctrlProp174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99" Type="http://schemas.openxmlformats.org/officeDocument/2006/relationships/ctrlProp" Target="../ctrlProps/ctrlProp195.xml"/><Relationship Id="rId203" Type="http://schemas.openxmlformats.org/officeDocument/2006/relationships/ctrlProp" Target="../ctrlProps/ctrlProp199.xml"/><Relationship Id="rId19" Type="http://schemas.openxmlformats.org/officeDocument/2006/relationships/ctrlProp" Target="../ctrlProps/ctrlProp15.xml"/><Relationship Id="rId224" Type="http://schemas.openxmlformats.org/officeDocument/2006/relationships/ctrlProp" Target="../ctrlProps/ctrlProp220.xml"/><Relationship Id="rId245" Type="http://schemas.openxmlformats.org/officeDocument/2006/relationships/ctrlProp" Target="../ctrlProps/ctrlProp241.xml"/><Relationship Id="rId30" Type="http://schemas.openxmlformats.org/officeDocument/2006/relationships/ctrlProp" Target="../ctrlProps/ctrlProp26.xml"/><Relationship Id="rId105" Type="http://schemas.openxmlformats.org/officeDocument/2006/relationships/ctrlProp" Target="../ctrlProps/ctrlProp101.xml"/><Relationship Id="rId126" Type="http://schemas.openxmlformats.org/officeDocument/2006/relationships/ctrlProp" Target="../ctrlProps/ctrlProp122.xml"/><Relationship Id="rId147" Type="http://schemas.openxmlformats.org/officeDocument/2006/relationships/ctrlProp" Target="../ctrlProps/ctrlProp143.xml"/><Relationship Id="rId168" Type="http://schemas.openxmlformats.org/officeDocument/2006/relationships/ctrlProp" Target="../ctrlProps/ctrlProp16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93" Type="http://schemas.openxmlformats.org/officeDocument/2006/relationships/ctrlProp" Target="../ctrlProps/ctrlProp89.xml"/><Relationship Id="rId189" Type="http://schemas.openxmlformats.org/officeDocument/2006/relationships/ctrlProp" Target="../ctrlProps/ctrlProp185.xml"/><Relationship Id="rId3" Type="http://schemas.openxmlformats.org/officeDocument/2006/relationships/drawing" Target="../drawings/drawing1.xml"/><Relationship Id="rId214" Type="http://schemas.openxmlformats.org/officeDocument/2006/relationships/ctrlProp" Target="../ctrlProps/ctrlProp210.xml"/><Relationship Id="rId235" Type="http://schemas.openxmlformats.org/officeDocument/2006/relationships/ctrlProp" Target="../ctrlProps/ctrlProp231.xml"/><Relationship Id="rId116" Type="http://schemas.openxmlformats.org/officeDocument/2006/relationships/ctrlProp" Target="../ctrlProps/ctrlProp112.xml"/><Relationship Id="rId137" Type="http://schemas.openxmlformats.org/officeDocument/2006/relationships/ctrlProp" Target="../ctrlProps/ctrlProp133.xml"/><Relationship Id="rId158" Type="http://schemas.openxmlformats.org/officeDocument/2006/relationships/ctrlProp" Target="../ctrlProps/ctrlProp154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62" Type="http://schemas.openxmlformats.org/officeDocument/2006/relationships/ctrlProp" Target="../ctrlProps/ctrlProp58.xml"/><Relationship Id="rId83" Type="http://schemas.openxmlformats.org/officeDocument/2006/relationships/ctrlProp" Target="../ctrlProps/ctrlProp79.xml"/><Relationship Id="rId179" Type="http://schemas.openxmlformats.org/officeDocument/2006/relationships/ctrlProp" Target="../ctrlProps/ctrlProp175.xml"/><Relationship Id="rId190" Type="http://schemas.openxmlformats.org/officeDocument/2006/relationships/ctrlProp" Target="../ctrlProps/ctrlProp186.xml"/><Relationship Id="rId204" Type="http://schemas.openxmlformats.org/officeDocument/2006/relationships/ctrlProp" Target="../ctrlProps/ctrlProp200.xml"/><Relationship Id="rId225" Type="http://schemas.openxmlformats.org/officeDocument/2006/relationships/ctrlProp" Target="../ctrlProps/ctrlProp221.xml"/><Relationship Id="rId106" Type="http://schemas.openxmlformats.org/officeDocument/2006/relationships/ctrlProp" Target="../ctrlProps/ctrlProp102.xml"/><Relationship Id="rId127" Type="http://schemas.openxmlformats.org/officeDocument/2006/relationships/ctrlProp" Target="../ctrlProps/ctrlProp12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63.xml"/><Relationship Id="rId21" Type="http://schemas.openxmlformats.org/officeDocument/2006/relationships/ctrlProp" Target="../ctrlProps/ctrlProp258.xml"/><Relationship Id="rId42" Type="http://schemas.openxmlformats.org/officeDocument/2006/relationships/ctrlProp" Target="../ctrlProps/ctrlProp279.xml"/><Relationship Id="rId47" Type="http://schemas.openxmlformats.org/officeDocument/2006/relationships/ctrlProp" Target="../ctrlProps/ctrlProp284.xml"/><Relationship Id="rId63" Type="http://schemas.openxmlformats.org/officeDocument/2006/relationships/ctrlProp" Target="../ctrlProps/ctrlProp300.xml"/><Relationship Id="rId68" Type="http://schemas.openxmlformats.org/officeDocument/2006/relationships/ctrlProp" Target="../ctrlProps/ctrlProp305.xml"/><Relationship Id="rId84" Type="http://schemas.openxmlformats.org/officeDocument/2006/relationships/ctrlProp" Target="../ctrlProps/ctrlProp321.xml"/><Relationship Id="rId89" Type="http://schemas.openxmlformats.org/officeDocument/2006/relationships/ctrlProp" Target="../ctrlProps/ctrlProp326.xml"/><Relationship Id="rId16" Type="http://schemas.openxmlformats.org/officeDocument/2006/relationships/ctrlProp" Target="../ctrlProps/ctrlProp253.xml"/><Relationship Id="rId11" Type="http://schemas.openxmlformats.org/officeDocument/2006/relationships/ctrlProp" Target="../ctrlProps/ctrlProp248.xml"/><Relationship Id="rId32" Type="http://schemas.openxmlformats.org/officeDocument/2006/relationships/ctrlProp" Target="../ctrlProps/ctrlProp269.xml"/><Relationship Id="rId37" Type="http://schemas.openxmlformats.org/officeDocument/2006/relationships/ctrlProp" Target="../ctrlProps/ctrlProp274.xml"/><Relationship Id="rId53" Type="http://schemas.openxmlformats.org/officeDocument/2006/relationships/ctrlProp" Target="../ctrlProps/ctrlProp290.xml"/><Relationship Id="rId58" Type="http://schemas.openxmlformats.org/officeDocument/2006/relationships/ctrlProp" Target="../ctrlProps/ctrlProp295.xml"/><Relationship Id="rId74" Type="http://schemas.openxmlformats.org/officeDocument/2006/relationships/ctrlProp" Target="../ctrlProps/ctrlProp311.xml"/><Relationship Id="rId79" Type="http://schemas.openxmlformats.org/officeDocument/2006/relationships/ctrlProp" Target="../ctrlProps/ctrlProp316.xml"/><Relationship Id="rId5" Type="http://schemas.openxmlformats.org/officeDocument/2006/relationships/ctrlProp" Target="../ctrlProps/ctrlProp242.xml"/><Relationship Id="rId90" Type="http://schemas.openxmlformats.org/officeDocument/2006/relationships/ctrlProp" Target="../ctrlProps/ctrlProp327.xml"/><Relationship Id="rId22" Type="http://schemas.openxmlformats.org/officeDocument/2006/relationships/ctrlProp" Target="../ctrlProps/ctrlProp259.xml"/><Relationship Id="rId27" Type="http://schemas.openxmlformats.org/officeDocument/2006/relationships/ctrlProp" Target="../ctrlProps/ctrlProp264.xml"/><Relationship Id="rId43" Type="http://schemas.openxmlformats.org/officeDocument/2006/relationships/ctrlProp" Target="../ctrlProps/ctrlProp280.xml"/><Relationship Id="rId48" Type="http://schemas.openxmlformats.org/officeDocument/2006/relationships/ctrlProp" Target="../ctrlProps/ctrlProp285.xml"/><Relationship Id="rId64" Type="http://schemas.openxmlformats.org/officeDocument/2006/relationships/ctrlProp" Target="../ctrlProps/ctrlProp301.xml"/><Relationship Id="rId69" Type="http://schemas.openxmlformats.org/officeDocument/2006/relationships/ctrlProp" Target="../ctrlProps/ctrlProp306.xml"/><Relationship Id="rId8" Type="http://schemas.openxmlformats.org/officeDocument/2006/relationships/ctrlProp" Target="../ctrlProps/ctrlProp245.xml"/><Relationship Id="rId51" Type="http://schemas.openxmlformats.org/officeDocument/2006/relationships/ctrlProp" Target="../ctrlProps/ctrlProp288.xml"/><Relationship Id="rId72" Type="http://schemas.openxmlformats.org/officeDocument/2006/relationships/ctrlProp" Target="../ctrlProps/ctrlProp309.xml"/><Relationship Id="rId80" Type="http://schemas.openxmlformats.org/officeDocument/2006/relationships/ctrlProp" Target="../ctrlProps/ctrlProp317.xml"/><Relationship Id="rId85" Type="http://schemas.openxmlformats.org/officeDocument/2006/relationships/ctrlProp" Target="../ctrlProps/ctrlProp322.xml"/><Relationship Id="rId93" Type="http://schemas.openxmlformats.org/officeDocument/2006/relationships/ctrlProp" Target="../ctrlProps/ctrlProp330.xml"/><Relationship Id="rId3" Type="http://schemas.openxmlformats.org/officeDocument/2006/relationships/drawing" Target="../drawings/drawing2.xml"/><Relationship Id="rId12" Type="http://schemas.openxmlformats.org/officeDocument/2006/relationships/ctrlProp" Target="../ctrlProps/ctrlProp249.xml"/><Relationship Id="rId17" Type="http://schemas.openxmlformats.org/officeDocument/2006/relationships/ctrlProp" Target="../ctrlProps/ctrlProp254.xml"/><Relationship Id="rId25" Type="http://schemas.openxmlformats.org/officeDocument/2006/relationships/ctrlProp" Target="../ctrlProps/ctrlProp262.xml"/><Relationship Id="rId33" Type="http://schemas.openxmlformats.org/officeDocument/2006/relationships/ctrlProp" Target="../ctrlProps/ctrlProp270.xml"/><Relationship Id="rId38" Type="http://schemas.openxmlformats.org/officeDocument/2006/relationships/ctrlProp" Target="../ctrlProps/ctrlProp275.xml"/><Relationship Id="rId46" Type="http://schemas.openxmlformats.org/officeDocument/2006/relationships/ctrlProp" Target="../ctrlProps/ctrlProp283.xml"/><Relationship Id="rId59" Type="http://schemas.openxmlformats.org/officeDocument/2006/relationships/ctrlProp" Target="../ctrlProps/ctrlProp296.xml"/><Relationship Id="rId67" Type="http://schemas.openxmlformats.org/officeDocument/2006/relationships/ctrlProp" Target="../ctrlProps/ctrlProp304.xml"/><Relationship Id="rId20" Type="http://schemas.openxmlformats.org/officeDocument/2006/relationships/ctrlProp" Target="../ctrlProps/ctrlProp257.xml"/><Relationship Id="rId41" Type="http://schemas.openxmlformats.org/officeDocument/2006/relationships/ctrlProp" Target="../ctrlProps/ctrlProp278.xml"/><Relationship Id="rId54" Type="http://schemas.openxmlformats.org/officeDocument/2006/relationships/ctrlProp" Target="../ctrlProps/ctrlProp291.xml"/><Relationship Id="rId62" Type="http://schemas.openxmlformats.org/officeDocument/2006/relationships/ctrlProp" Target="../ctrlProps/ctrlProp299.xml"/><Relationship Id="rId70" Type="http://schemas.openxmlformats.org/officeDocument/2006/relationships/ctrlProp" Target="../ctrlProps/ctrlProp307.xml"/><Relationship Id="rId75" Type="http://schemas.openxmlformats.org/officeDocument/2006/relationships/ctrlProp" Target="../ctrlProps/ctrlProp312.xml"/><Relationship Id="rId83" Type="http://schemas.openxmlformats.org/officeDocument/2006/relationships/ctrlProp" Target="../ctrlProps/ctrlProp320.xml"/><Relationship Id="rId88" Type="http://schemas.openxmlformats.org/officeDocument/2006/relationships/ctrlProp" Target="../ctrlProps/ctrlProp325.xml"/><Relationship Id="rId91" Type="http://schemas.openxmlformats.org/officeDocument/2006/relationships/ctrlProp" Target="../ctrlProps/ctrlProp328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243.xml"/><Relationship Id="rId15" Type="http://schemas.openxmlformats.org/officeDocument/2006/relationships/ctrlProp" Target="../ctrlProps/ctrlProp252.xml"/><Relationship Id="rId23" Type="http://schemas.openxmlformats.org/officeDocument/2006/relationships/ctrlProp" Target="../ctrlProps/ctrlProp260.xml"/><Relationship Id="rId28" Type="http://schemas.openxmlformats.org/officeDocument/2006/relationships/ctrlProp" Target="../ctrlProps/ctrlProp265.xml"/><Relationship Id="rId36" Type="http://schemas.openxmlformats.org/officeDocument/2006/relationships/ctrlProp" Target="../ctrlProps/ctrlProp273.xml"/><Relationship Id="rId49" Type="http://schemas.openxmlformats.org/officeDocument/2006/relationships/ctrlProp" Target="../ctrlProps/ctrlProp286.xml"/><Relationship Id="rId57" Type="http://schemas.openxmlformats.org/officeDocument/2006/relationships/ctrlProp" Target="../ctrlProps/ctrlProp294.xml"/><Relationship Id="rId10" Type="http://schemas.openxmlformats.org/officeDocument/2006/relationships/ctrlProp" Target="../ctrlProps/ctrlProp247.xml"/><Relationship Id="rId31" Type="http://schemas.openxmlformats.org/officeDocument/2006/relationships/ctrlProp" Target="../ctrlProps/ctrlProp268.xml"/><Relationship Id="rId44" Type="http://schemas.openxmlformats.org/officeDocument/2006/relationships/ctrlProp" Target="../ctrlProps/ctrlProp281.xml"/><Relationship Id="rId52" Type="http://schemas.openxmlformats.org/officeDocument/2006/relationships/ctrlProp" Target="../ctrlProps/ctrlProp289.xml"/><Relationship Id="rId60" Type="http://schemas.openxmlformats.org/officeDocument/2006/relationships/ctrlProp" Target="../ctrlProps/ctrlProp297.xml"/><Relationship Id="rId65" Type="http://schemas.openxmlformats.org/officeDocument/2006/relationships/ctrlProp" Target="../ctrlProps/ctrlProp302.xml"/><Relationship Id="rId73" Type="http://schemas.openxmlformats.org/officeDocument/2006/relationships/ctrlProp" Target="../ctrlProps/ctrlProp310.xml"/><Relationship Id="rId78" Type="http://schemas.openxmlformats.org/officeDocument/2006/relationships/ctrlProp" Target="../ctrlProps/ctrlProp315.xml"/><Relationship Id="rId81" Type="http://schemas.openxmlformats.org/officeDocument/2006/relationships/ctrlProp" Target="../ctrlProps/ctrlProp318.xml"/><Relationship Id="rId86" Type="http://schemas.openxmlformats.org/officeDocument/2006/relationships/ctrlProp" Target="../ctrlProps/ctrlProp323.xml"/><Relationship Id="rId94" Type="http://schemas.openxmlformats.org/officeDocument/2006/relationships/ctrlProp" Target="../ctrlProps/ctrlProp331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246.xml"/><Relationship Id="rId13" Type="http://schemas.openxmlformats.org/officeDocument/2006/relationships/ctrlProp" Target="../ctrlProps/ctrlProp250.xml"/><Relationship Id="rId18" Type="http://schemas.openxmlformats.org/officeDocument/2006/relationships/ctrlProp" Target="../ctrlProps/ctrlProp255.xml"/><Relationship Id="rId39" Type="http://schemas.openxmlformats.org/officeDocument/2006/relationships/ctrlProp" Target="../ctrlProps/ctrlProp276.xml"/><Relationship Id="rId34" Type="http://schemas.openxmlformats.org/officeDocument/2006/relationships/ctrlProp" Target="../ctrlProps/ctrlProp271.xml"/><Relationship Id="rId50" Type="http://schemas.openxmlformats.org/officeDocument/2006/relationships/ctrlProp" Target="../ctrlProps/ctrlProp287.xml"/><Relationship Id="rId55" Type="http://schemas.openxmlformats.org/officeDocument/2006/relationships/ctrlProp" Target="../ctrlProps/ctrlProp292.xml"/><Relationship Id="rId76" Type="http://schemas.openxmlformats.org/officeDocument/2006/relationships/ctrlProp" Target="../ctrlProps/ctrlProp313.xml"/><Relationship Id="rId7" Type="http://schemas.openxmlformats.org/officeDocument/2006/relationships/ctrlProp" Target="../ctrlProps/ctrlProp244.xml"/><Relationship Id="rId71" Type="http://schemas.openxmlformats.org/officeDocument/2006/relationships/ctrlProp" Target="../ctrlProps/ctrlProp308.xml"/><Relationship Id="rId92" Type="http://schemas.openxmlformats.org/officeDocument/2006/relationships/ctrlProp" Target="../ctrlProps/ctrlProp329.xml"/><Relationship Id="rId2" Type="http://schemas.openxmlformats.org/officeDocument/2006/relationships/printerSettings" Target="../printerSettings/printerSettings13.bin"/><Relationship Id="rId29" Type="http://schemas.openxmlformats.org/officeDocument/2006/relationships/ctrlProp" Target="../ctrlProps/ctrlProp266.xml"/><Relationship Id="rId24" Type="http://schemas.openxmlformats.org/officeDocument/2006/relationships/ctrlProp" Target="../ctrlProps/ctrlProp261.xml"/><Relationship Id="rId40" Type="http://schemas.openxmlformats.org/officeDocument/2006/relationships/ctrlProp" Target="../ctrlProps/ctrlProp277.xml"/><Relationship Id="rId45" Type="http://schemas.openxmlformats.org/officeDocument/2006/relationships/ctrlProp" Target="../ctrlProps/ctrlProp282.xml"/><Relationship Id="rId66" Type="http://schemas.openxmlformats.org/officeDocument/2006/relationships/ctrlProp" Target="../ctrlProps/ctrlProp303.xml"/><Relationship Id="rId87" Type="http://schemas.openxmlformats.org/officeDocument/2006/relationships/ctrlProp" Target="../ctrlProps/ctrlProp324.xml"/><Relationship Id="rId61" Type="http://schemas.openxmlformats.org/officeDocument/2006/relationships/ctrlProp" Target="../ctrlProps/ctrlProp298.xml"/><Relationship Id="rId82" Type="http://schemas.openxmlformats.org/officeDocument/2006/relationships/ctrlProp" Target="../ctrlProps/ctrlProp319.xml"/><Relationship Id="rId19" Type="http://schemas.openxmlformats.org/officeDocument/2006/relationships/ctrlProp" Target="../ctrlProps/ctrlProp256.xml"/><Relationship Id="rId14" Type="http://schemas.openxmlformats.org/officeDocument/2006/relationships/ctrlProp" Target="../ctrlProps/ctrlProp251.xml"/><Relationship Id="rId30" Type="http://schemas.openxmlformats.org/officeDocument/2006/relationships/ctrlProp" Target="../ctrlProps/ctrlProp267.xml"/><Relationship Id="rId35" Type="http://schemas.openxmlformats.org/officeDocument/2006/relationships/ctrlProp" Target="../ctrlProps/ctrlProp272.xml"/><Relationship Id="rId56" Type="http://schemas.openxmlformats.org/officeDocument/2006/relationships/ctrlProp" Target="../ctrlProps/ctrlProp293.xml"/><Relationship Id="rId77" Type="http://schemas.openxmlformats.org/officeDocument/2006/relationships/ctrlProp" Target="../ctrlProps/ctrlProp314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5.xml"/><Relationship Id="rId13" Type="http://schemas.openxmlformats.org/officeDocument/2006/relationships/ctrlProp" Target="../ctrlProps/ctrlProp340.xml"/><Relationship Id="rId18" Type="http://schemas.openxmlformats.org/officeDocument/2006/relationships/ctrlProp" Target="../ctrlProps/ctrlProp345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334.xml"/><Relationship Id="rId12" Type="http://schemas.openxmlformats.org/officeDocument/2006/relationships/ctrlProp" Target="../ctrlProps/ctrlProp339.xml"/><Relationship Id="rId17" Type="http://schemas.openxmlformats.org/officeDocument/2006/relationships/ctrlProp" Target="../ctrlProps/ctrlProp344.xml"/><Relationship Id="rId2" Type="http://schemas.openxmlformats.org/officeDocument/2006/relationships/printerSettings" Target="../printerSettings/printerSettings19.bin"/><Relationship Id="rId16" Type="http://schemas.openxmlformats.org/officeDocument/2006/relationships/ctrlProp" Target="../ctrlProps/ctrlProp343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333.xml"/><Relationship Id="rId11" Type="http://schemas.openxmlformats.org/officeDocument/2006/relationships/ctrlProp" Target="../ctrlProps/ctrlProp338.xml"/><Relationship Id="rId5" Type="http://schemas.openxmlformats.org/officeDocument/2006/relationships/ctrlProp" Target="../ctrlProps/ctrlProp332.xml"/><Relationship Id="rId15" Type="http://schemas.openxmlformats.org/officeDocument/2006/relationships/ctrlProp" Target="../ctrlProps/ctrlProp342.xml"/><Relationship Id="rId10" Type="http://schemas.openxmlformats.org/officeDocument/2006/relationships/ctrlProp" Target="../ctrlProps/ctrlProp337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336.xml"/><Relationship Id="rId14" Type="http://schemas.openxmlformats.org/officeDocument/2006/relationships/ctrlProp" Target="../ctrlProps/ctrlProp34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54.xml"/><Relationship Id="rId18" Type="http://schemas.openxmlformats.org/officeDocument/2006/relationships/ctrlProp" Target="../ctrlProps/ctrlProp359.xml"/><Relationship Id="rId26" Type="http://schemas.openxmlformats.org/officeDocument/2006/relationships/ctrlProp" Target="../ctrlProps/ctrlProp367.xml"/><Relationship Id="rId39" Type="http://schemas.openxmlformats.org/officeDocument/2006/relationships/ctrlProp" Target="../ctrlProps/ctrlProp380.xml"/><Relationship Id="rId21" Type="http://schemas.openxmlformats.org/officeDocument/2006/relationships/ctrlProp" Target="../ctrlProps/ctrlProp362.xml"/><Relationship Id="rId34" Type="http://schemas.openxmlformats.org/officeDocument/2006/relationships/ctrlProp" Target="../ctrlProps/ctrlProp375.xml"/><Relationship Id="rId42" Type="http://schemas.openxmlformats.org/officeDocument/2006/relationships/ctrlProp" Target="../ctrlProps/ctrlProp383.xml"/><Relationship Id="rId7" Type="http://schemas.openxmlformats.org/officeDocument/2006/relationships/ctrlProp" Target="../ctrlProps/ctrlProp348.xml"/><Relationship Id="rId2" Type="http://schemas.openxmlformats.org/officeDocument/2006/relationships/printerSettings" Target="../printerSettings/printerSettings22.bin"/><Relationship Id="rId16" Type="http://schemas.openxmlformats.org/officeDocument/2006/relationships/ctrlProp" Target="../ctrlProps/ctrlProp357.xml"/><Relationship Id="rId20" Type="http://schemas.openxmlformats.org/officeDocument/2006/relationships/ctrlProp" Target="../ctrlProps/ctrlProp361.xml"/><Relationship Id="rId29" Type="http://schemas.openxmlformats.org/officeDocument/2006/relationships/ctrlProp" Target="../ctrlProps/ctrlProp370.xml"/><Relationship Id="rId41" Type="http://schemas.openxmlformats.org/officeDocument/2006/relationships/ctrlProp" Target="../ctrlProps/ctrlProp38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347.xml"/><Relationship Id="rId11" Type="http://schemas.openxmlformats.org/officeDocument/2006/relationships/ctrlProp" Target="../ctrlProps/ctrlProp352.xml"/><Relationship Id="rId24" Type="http://schemas.openxmlformats.org/officeDocument/2006/relationships/ctrlProp" Target="../ctrlProps/ctrlProp365.xml"/><Relationship Id="rId32" Type="http://schemas.openxmlformats.org/officeDocument/2006/relationships/ctrlProp" Target="../ctrlProps/ctrlProp373.xml"/><Relationship Id="rId37" Type="http://schemas.openxmlformats.org/officeDocument/2006/relationships/ctrlProp" Target="../ctrlProps/ctrlProp378.xml"/><Relationship Id="rId40" Type="http://schemas.openxmlformats.org/officeDocument/2006/relationships/ctrlProp" Target="../ctrlProps/ctrlProp381.xml"/><Relationship Id="rId5" Type="http://schemas.openxmlformats.org/officeDocument/2006/relationships/ctrlProp" Target="../ctrlProps/ctrlProp346.xml"/><Relationship Id="rId15" Type="http://schemas.openxmlformats.org/officeDocument/2006/relationships/ctrlProp" Target="../ctrlProps/ctrlProp356.xml"/><Relationship Id="rId23" Type="http://schemas.openxmlformats.org/officeDocument/2006/relationships/ctrlProp" Target="../ctrlProps/ctrlProp364.xml"/><Relationship Id="rId28" Type="http://schemas.openxmlformats.org/officeDocument/2006/relationships/ctrlProp" Target="../ctrlProps/ctrlProp369.xml"/><Relationship Id="rId36" Type="http://schemas.openxmlformats.org/officeDocument/2006/relationships/ctrlProp" Target="../ctrlProps/ctrlProp377.xml"/><Relationship Id="rId10" Type="http://schemas.openxmlformats.org/officeDocument/2006/relationships/ctrlProp" Target="../ctrlProps/ctrlProp351.xml"/><Relationship Id="rId19" Type="http://schemas.openxmlformats.org/officeDocument/2006/relationships/ctrlProp" Target="../ctrlProps/ctrlProp360.xml"/><Relationship Id="rId31" Type="http://schemas.openxmlformats.org/officeDocument/2006/relationships/ctrlProp" Target="../ctrlProps/ctrlProp372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350.xml"/><Relationship Id="rId14" Type="http://schemas.openxmlformats.org/officeDocument/2006/relationships/ctrlProp" Target="../ctrlProps/ctrlProp355.xml"/><Relationship Id="rId22" Type="http://schemas.openxmlformats.org/officeDocument/2006/relationships/ctrlProp" Target="../ctrlProps/ctrlProp363.xml"/><Relationship Id="rId27" Type="http://schemas.openxmlformats.org/officeDocument/2006/relationships/ctrlProp" Target="../ctrlProps/ctrlProp368.xml"/><Relationship Id="rId30" Type="http://schemas.openxmlformats.org/officeDocument/2006/relationships/ctrlProp" Target="../ctrlProps/ctrlProp371.xml"/><Relationship Id="rId35" Type="http://schemas.openxmlformats.org/officeDocument/2006/relationships/ctrlProp" Target="../ctrlProps/ctrlProp376.xml"/><Relationship Id="rId43" Type="http://schemas.openxmlformats.org/officeDocument/2006/relationships/ctrlProp" Target="../ctrlProps/ctrlProp384.xml"/><Relationship Id="rId8" Type="http://schemas.openxmlformats.org/officeDocument/2006/relationships/ctrlProp" Target="../ctrlProps/ctrlProp349.xml"/><Relationship Id="rId3" Type="http://schemas.openxmlformats.org/officeDocument/2006/relationships/drawing" Target="../drawings/drawing4.xml"/><Relationship Id="rId12" Type="http://schemas.openxmlformats.org/officeDocument/2006/relationships/ctrlProp" Target="../ctrlProps/ctrlProp353.xml"/><Relationship Id="rId17" Type="http://schemas.openxmlformats.org/officeDocument/2006/relationships/ctrlProp" Target="../ctrlProps/ctrlProp358.xml"/><Relationship Id="rId25" Type="http://schemas.openxmlformats.org/officeDocument/2006/relationships/ctrlProp" Target="../ctrlProps/ctrlProp366.xml"/><Relationship Id="rId33" Type="http://schemas.openxmlformats.org/officeDocument/2006/relationships/ctrlProp" Target="../ctrlProps/ctrlProp374.xml"/><Relationship Id="rId38" Type="http://schemas.openxmlformats.org/officeDocument/2006/relationships/ctrlProp" Target="../ctrlProps/ctrlProp379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8.xml"/><Relationship Id="rId21" Type="http://schemas.openxmlformats.org/officeDocument/2006/relationships/ctrlProp" Target="../ctrlProps/ctrlProp402.xml"/><Relationship Id="rId42" Type="http://schemas.openxmlformats.org/officeDocument/2006/relationships/ctrlProp" Target="../ctrlProps/ctrlProp423.xml"/><Relationship Id="rId63" Type="http://schemas.openxmlformats.org/officeDocument/2006/relationships/ctrlProp" Target="../ctrlProps/ctrlProp444.xml"/><Relationship Id="rId84" Type="http://schemas.openxmlformats.org/officeDocument/2006/relationships/ctrlProp" Target="../ctrlProps/ctrlProp465.xml"/><Relationship Id="rId138" Type="http://schemas.openxmlformats.org/officeDocument/2006/relationships/ctrlProp" Target="../ctrlProps/ctrlProp519.xml"/><Relationship Id="rId159" Type="http://schemas.openxmlformats.org/officeDocument/2006/relationships/ctrlProp" Target="../ctrlProps/ctrlProp540.xml"/><Relationship Id="rId107" Type="http://schemas.openxmlformats.org/officeDocument/2006/relationships/ctrlProp" Target="../ctrlProps/ctrlProp488.xml"/><Relationship Id="rId11" Type="http://schemas.openxmlformats.org/officeDocument/2006/relationships/ctrlProp" Target="../ctrlProps/ctrlProp392.xml"/><Relationship Id="rId32" Type="http://schemas.openxmlformats.org/officeDocument/2006/relationships/ctrlProp" Target="../ctrlProps/ctrlProp413.xml"/><Relationship Id="rId53" Type="http://schemas.openxmlformats.org/officeDocument/2006/relationships/ctrlProp" Target="../ctrlProps/ctrlProp434.xml"/><Relationship Id="rId74" Type="http://schemas.openxmlformats.org/officeDocument/2006/relationships/ctrlProp" Target="../ctrlProps/ctrlProp455.xml"/><Relationship Id="rId128" Type="http://schemas.openxmlformats.org/officeDocument/2006/relationships/ctrlProp" Target="../ctrlProps/ctrlProp509.xml"/><Relationship Id="rId149" Type="http://schemas.openxmlformats.org/officeDocument/2006/relationships/ctrlProp" Target="../ctrlProps/ctrlProp530.xml"/><Relationship Id="rId5" Type="http://schemas.openxmlformats.org/officeDocument/2006/relationships/ctrlProp" Target="../ctrlProps/ctrlProp386.xml"/><Relationship Id="rId95" Type="http://schemas.openxmlformats.org/officeDocument/2006/relationships/ctrlProp" Target="../ctrlProps/ctrlProp476.xml"/><Relationship Id="rId22" Type="http://schemas.openxmlformats.org/officeDocument/2006/relationships/ctrlProp" Target="../ctrlProps/ctrlProp403.xml"/><Relationship Id="rId43" Type="http://schemas.openxmlformats.org/officeDocument/2006/relationships/ctrlProp" Target="../ctrlProps/ctrlProp424.xml"/><Relationship Id="rId64" Type="http://schemas.openxmlformats.org/officeDocument/2006/relationships/ctrlProp" Target="../ctrlProps/ctrlProp445.xml"/><Relationship Id="rId118" Type="http://schemas.openxmlformats.org/officeDocument/2006/relationships/ctrlProp" Target="../ctrlProps/ctrlProp499.xml"/><Relationship Id="rId139" Type="http://schemas.openxmlformats.org/officeDocument/2006/relationships/ctrlProp" Target="../ctrlProps/ctrlProp520.xml"/><Relationship Id="rId80" Type="http://schemas.openxmlformats.org/officeDocument/2006/relationships/ctrlProp" Target="../ctrlProps/ctrlProp461.xml"/><Relationship Id="rId85" Type="http://schemas.openxmlformats.org/officeDocument/2006/relationships/ctrlProp" Target="../ctrlProps/ctrlProp466.xml"/><Relationship Id="rId150" Type="http://schemas.openxmlformats.org/officeDocument/2006/relationships/ctrlProp" Target="../ctrlProps/ctrlProp531.xml"/><Relationship Id="rId155" Type="http://schemas.openxmlformats.org/officeDocument/2006/relationships/ctrlProp" Target="../ctrlProps/ctrlProp536.xml"/><Relationship Id="rId12" Type="http://schemas.openxmlformats.org/officeDocument/2006/relationships/ctrlProp" Target="../ctrlProps/ctrlProp393.xml"/><Relationship Id="rId17" Type="http://schemas.openxmlformats.org/officeDocument/2006/relationships/ctrlProp" Target="../ctrlProps/ctrlProp398.xml"/><Relationship Id="rId33" Type="http://schemas.openxmlformats.org/officeDocument/2006/relationships/ctrlProp" Target="../ctrlProps/ctrlProp414.xml"/><Relationship Id="rId38" Type="http://schemas.openxmlformats.org/officeDocument/2006/relationships/ctrlProp" Target="../ctrlProps/ctrlProp419.xml"/><Relationship Id="rId59" Type="http://schemas.openxmlformats.org/officeDocument/2006/relationships/ctrlProp" Target="../ctrlProps/ctrlProp440.xml"/><Relationship Id="rId103" Type="http://schemas.openxmlformats.org/officeDocument/2006/relationships/ctrlProp" Target="../ctrlProps/ctrlProp484.xml"/><Relationship Id="rId108" Type="http://schemas.openxmlformats.org/officeDocument/2006/relationships/ctrlProp" Target="../ctrlProps/ctrlProp489.xml"/><Relationship Id="rId124" Type="http://schemas.openxmlformats.org/officeDocument/2006/relationships/ctrlProp" Target="../ctrlProps/ctrlProp505.xml"/><Relationship Id="rId129" Type="http://schemas.openxmlformats.org/officeDocument/2006/relationships/ctrlProp" Target="../ctrlProps/ctrlProp510.xml"/><Relationship Id="rId54" Type="http://schemas.openxmlformats.org/officeDocument/2006/relationships/ctrlProp" Target="../ctrlProps/ctrlProp435.xml"/><Relationship Id="rId70" Type="http://schemas.openxmlformats.org/officeDocument/2006/relationships/ctrlProp" Target="../ctrlProps/ctrlProp451.xml"/><Relationship Id="rId75" Type="http://schemas.openxmlformats.org/officeDocument/2006/relationships/ctrlProp" Target="../ctrlProps/ctrlProp456.xml"/><Relationship Id="rId91" Type="http://schemas.openxmlformats.org/officeDocument/2006/relationships/ctrlProp" Target="../ctrlProps/ctrlProp472.xml"/><Relationship Id="rId96" Type="http://schemas.openxmlformats.org/officeDocument/2006/relationships/ctrlProp" Target="../ctrlProps/ctrlProp477.xml"/><Relationship Id="rId140" Type="http://schemas.openxmlformats.org/officeDocument/2006/relationships/ctrlProp" Target="../ctrlProps/ctrlProp521.xml"/><Relationship Id="rId145" Type="http://schemas.openxmlformats.org/officeDocument/2006/relationships/ctrlProp" Target="../ctrlProps/ctrlProp526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387.xml"/><Relationship Id="rId23" Type="http://schemas.openxmlformats.org/officeDocument/2006/relationships/ctrlProp" Target="../ctrlProps/ctrlProp404.xml"/><Relationship Id="rId28" Type="http://schemas.openxmlformats.org/officeDocument/2006/relationships/ctrlProp" Target="../ctrlProps/ctrlProp409.xml"/><Relationship Id="rId49" Type="http://schemas.openxmlformats.org/officeDocument/2006/relationships/ctrlProp" Target="../ctrlProps/ctrlProp430.xml"/><Relationship Id="rId114" Type="http://schemas.openxmlformats.org/officeDocument/2006/relationships/ctrlProp" Target="../ctrlProps/ctrlProp495.xml"/><Relationship Id="rId119" Type="http://schemas.openxmlformats.org/officeDocument/2006/relationships/ctrlProp" Target="../ctrlProps/ctrlProp500.xml"/><Relationship Id="rId44" Type="http://schemas.openxmlformats.org/officeDocument/2006/relationships/ctrlProp" Target="../ctrlProps/ctrlProp425.xml"/><Relationship Id="rId60" Type="http://schemas.openxmlformats.org/officeDocument/2006/relationships/ctrlProp" Target="../ctrlProps/ctrlProp441.xml"/><Relationship Id="rId65" Type="http://schemas.openxmlformats.org/officeDocument/2006/relationships/ctrlProp" Target="../ctrlProps/ctrlProp446.xml"/><Relationship Id="rId81" Type="http://schemas.openxmlformats.org/officeDocument/2006/relationships/ctrlProp" Target="../ctrlProps/ctrlProp462.xml"/><Relationship Id="rId86" Type="http://schemas.openxmlformats.org/officeDocument/2006/relationships/ctrlProp" Target="../ctrlProps/ctrlProp467.xml"/><Relationship Id="rId130" Type="http://schemas.openxmlformats.org/officeDocument/2006/relationships/ctrlProp" Target="../ctrlProps/ctrlProp511.xml"/><Relationship Id="rId135" Type="http://schemas.openxmlformats.org/officeDocument/2006/relationships/ctrlProp" Target="../ctrlProps/ctrlProp516.xml"/><Relationship Id="rId151" Type="http://schemas.openxmlformats.org/officeDocument/2006/relationships/ctrlProp" Target="../ctrlProps/ctrlProp532.xml"/><Relationship Id="rId156" Type="http://schemas.openxmlformats.org/officeDocument/2006/relationships/ctrlProp" Target="../ctrlProps/ctrlProp537.xml"/><Relationship Id="rId13" Type="http://schemas.openxmlformats.org/officeDocument/2006/relationships/ctrlProp" Target="../ctrlProps/ctrlProp394.xml"/><Relationship Id="rId18" Type="http://schemas.openxmlformats.org/officeDocument/2006/relationships/ctrlProp" Target="../ctrlProps/ctrlProp399.xml"/><Relationship Id="rId39" Type="http://schemas.openxmlformats.org/officeDocument/2006/relationships/ctrlProp" Target="../ctrlProps/ctrlProp420.xml"/><Relationship Id="rId109" Type="http://schemas.openxmlformats.org/officeDocument/2006/relationships/ctrlProp" Target="../ctrlProps/ctrlProp490.xml"/><Relationship Id="rId34" Type="http://schemas.openxmlformats.org/officeDocument/2006/relationships/ctrlProp" Target="../ctrlProps/ctrlProp415.xml"/><Relationship Id="rId50" Type="http://schemas.openxmlformats.org/officeDocument/2006/relationships/ctrlProp" Target="../ctrlProps/ctrlProp431.xml"/><Relationship Id="rId55" Type="http://schemas.openxmlformats.org/officeDocument/2006/relationships/ctrlProp" Target="../ctrlProps/ctrlProp436.xml"/><Relationship Id="rId76" Type="http://schemas.openxmlformats.org/officeDocument/2006/relationships/ctrlProp" Target="../ctrlProps/ctrlProp457.xml"/><Relationship Id="rId97" Type="http://schemas.openxmlformats.org/officeDocument/2006/relationships/ctrlProp" Target="../ctrlProps/ctrlProp478.xml"/><Relationship Id="rId104" Type="http://schemas.openxmlformats.org/officeDocument/2006/relationships/ctrlProp" Target="../ctrlProps/ctrlProp485.xml"/><Relationship Id="rId120" Type="http://schemas.openxmlformats.org/officeDocument/2006/relationships/ctrlProp" Target="../ctrlProps/ctrlProp501.xml"/><Relationship Id="rId125" Type="http://schemas.openxmlformats.org/officeDocument/2006/relationships/ctrlProp" Target="../ctrlProps/ctrlProp506.xml"/><Relationship Id="rId141" Type="http://schemas.openxmlformats.org/officeDocument/2006/relationships/ctrlProp" Target="../ctrlProps/ctrlProp522.xml"/><Relationship Id="rId146" Type="http://schemas.openxmlformats.org/officeDocument/2006/relationships/ctrlProp" Target="../ctrlProps/ctrlProp527.xml"/><Relationship Id="rId7" Type="http://schemas.openxmlformats.org/officeDocument/2006/relationships/ctrlProp" Target="../ctrlProps/ctrlProp388.xml"/><Relationship Id="rId71" Type="http://schemas.openxmlformats.org/officeDocument/2006/relationships/ctrlProp" Target="../ctrlProps/ctrlProp452.xml"/><Relationship Id="rId92" Type="http://schemas.openxmlformats.org/officeDocument/2006/relationships/ctrlProp" Target="../ctrlProps/ctrlProp473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410.xml"/><Relationship Id="rId24" Type="http://schemas.openxmlformats.org/officeDocument/2006/relationships/ctrlProp" Target="../ctrlProps/ctrlProp405.xml"/><Relationship Id="rId40" Type="http://schemas.openxmlformats.org/officeDocument/2006/relationships/ctrlProp" Target="../ctrlProps/ctrlProp421.xml"/><Relationship Id="rId45" Type="http://schemas.openxmlformats.org/officeDocument/2006/relationships/ctrlProp" Target="../ctrlProps/ctrlProp426.xml"/><Relationship Id="rId66" Type="http://schemas.openxmlformats.org/officeDocument/2006/relationships/ctrlProp" Target="../ctrlProps/ctrlProp447.xml"/><Relationship Id="rId87" Type="http://schemas.openxmlformats.org/officeDocument/2006/relationships/ctrlProp" Target="../ctrlProps/ctrlProp468.xml"/><Relationship Id="rId110" Type="http://schemas.openxmlformats.org/officeDocument/2006/relationships/ctrlProp" Target="../ctrlProps/ctrlProp491.xml"/><Relationship Id="rId115" Type="http://schemas.openxmlformats.org/officeDocument/2006/relationships/ctrlProp" Target="../ctrlProps/ctrlProp496.xml"/><Relationship Id="rId131" Type="http://schemas.openxmlformats.org/officeDocument/2006/relationships/ctrlProp" Target="../ctrlProps/ctrlProp512.xml"/><Relationship Id="rId136" Type="http://schemas.openxmlformats.org/officeDocument/2006/relationships/ctrlProp" Target="../ctrlProps/ctrlProp517.xml"/><Relationship Id="rId157" Type="http://schemas.openxmlformats.org/officeDocument/2006/relationships/ctrlProp" Target="../ctrlProps/ctrlProp538.xml"/><Relationship Id="rId61" Type="http://schemas.openxmlformats.org/officeDocument/2006/relationships/ctrlProp" Target="../ctrlProps/ctrlProp442.xml"/><Relationship Id="rId82" Type="http://schemas.openxmlformats.org/officeDocument/2006/relationships/ctrlProp" Target="../ctrlProps/ctrlProp463.xml"/><Relationship Id="rId152" Type="http://schemas.openxmlformats.org/officeDocument/2006/relationships/ctrlProp" Target="../ctrlProps/ctrlProp533.xml"/><Relationship Id="rId19" Type="http://schemas.openxmlformats.org/officeDocument/2006/relationships/ctrlProp" Target="../ctrlProps/ctrlProp400.xml"/><Relationship Id="rId14" Type="http://schemas.openxmlformats.org/officeDocument/2006/relationships/ctrlProp" Target="../ctrlProps/ctrlProp395.xml"/><Relationship Id="rId30" Type="http://schemas.openxmlformats.org/officeDocument/2006/relationships/ctrlProp" Target="../ctrlProps/ctrlProp411.xml"/><Relationship Id="rId35" Type="http://schemas.openxmlformats.org/officeDocument/2006/relationships/ctrlProp" Target="../ctrlProps/ctrlProp416.xml"/><Relationship Id="rId56" Type="http://schemas.openxmlformats.org/officeDocument/2006/relationships/ctrlProp" Target="../ctrlProps/ctrlProp437.xml"/><Relationship Id="rId77" Type="http://schemas.openxmlformats.org/officeDocument/2006/relationships/ctrlProp" Target="../ctrlProps/ctrlProp458.xml"/><Relationship Id="rId100" Type="http://schemas.openxmlformats.org/officeDocument/2006/relationships/ctrlProp" Target="../ctrlProps/ctrlProp481.xml"/><Relationship Id="rId105" Type="http://schemas.openxmlformats.org/officeDocument/2006/relationships/ctrlProp" Target="../ctrlProps/ctrlProp486.xml"/><Relationship Id="rId126" Type="http://schemas.openxmlformats.org/officeDocument/2006/relationships/ctrlProp" Target="../ctrlProps/ctrlProp507.xml"/><Relationship Id="rId147" Type="http://schemas.openxmlformats.org/officeDocument/2006/relationships/ctrlProp" Target="../ctrlProps/ctrlProp528.xml"/><Relationship Id="rId8" Type="http://schemas.openxmlformats.org/officeDocument/2006/relationships/ctrlProp" Target="../ctrlProps/ctrlProp389.xml"/><Relationship Id="rId51" Type="http://schemas.openxmlformats.org/officeDocument/2006/relationships/ctrlProp" Target="../ctrlProps/ctrlProp432.xml"/><Relationship Id="rId72" Type="http://schemas.openxmlformats.org/officeDocument/2006/relationships/ctrlProp" Target="../ctrlProps/ctrlProp453.xml"/><Relationship Id="rId93" Type="http://schemas.openxmlformats.org/officeDocument/2006/relationships/ctrlProp" Target="../ctrlProps/ctrlProp474.xml"/><Relationship Id="rId98" Type="http://schemas.openxmlformats.org/officeDocument/2006/relationships/ctrlProp" Target="../ctrlProps/ctrlProp479.xml"/><Relationship Id="rId121" Type="http://schemas.openxmlformats.org/officeDocument/2006/relationships/ctrlProp" Target="../ctrlProps/ctrlProp502.xml"/><Relationship Id="rId142" Type="http://schemas.openxmlformats.org/officeDocument/2006/relationships/ctrlProp" Target="../ctrlProps/ctrlProp523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406.xml"/><Relationship Id="rId46" Type="http://schemas.openxmlformats.org/officeDocument/2006/relationships/ctrlProp" Target="../ctrlProps/ctrlProp427.xml"/><Relationship Id="rId67" Type="http://schemas.openxmlformats.org/officeDocument/2006/relationships/ctrlProp" Target="../ctrlProps/ctrlProp448.xml"/><Relationship Id="rId116" Type="http://schemas.openxmlformats.org/officeDocument/2006/relationships/ctrlProp" Target="../ctrlProps/ctrlProp497.xml"/><Relationship Id="rId137" Type="http://schemas.openxmlformats.org/officeDocument/2006/relationships/ctrlProp" Target="../ctrlProps/ctrlProp518.xml"/><Relationship Id="rId158" Type="http://schemas.openxmlformats.org/officeDocument/2006/relationships/ctrlProp" Target="../ctrlProps/ctrlProp539.xml"/><Relationship Id="rId20" Type="http://schemas.openxmlformats.org/officeDocument/2006/relationships/ctrlProp" Target="../ctrlProps/ctrlProp401.xml"/><Relationship Id="rId41" Type="http://schemas.openxmlformats.org/officeDocument/2006/relationships/ctrlProp" Target="../ctrlProps/ctrlProp422.xml"/><Relationship Id="rId62" Type="http://schemas.openxmlformats.org/officeDocument/2006/relationships/ctrlProp" Target="../ctrlProps/ctrlProp443.xml"/><Relationship Id="rId83" Type="http://schemas.openxmlformats.org/officeDocument/2006/relationships/ctrlProp" Target="../ctrlProps/ctrlProp464.xml"/><Relationship Id="rId88" Type="http://schemas.openxmlformats.org/officeDocument/2006/relationships/ctrlProp" Target="../ctrlProps/ctrlProp469.xml"/><Relationship Id="rId111" Type="http://schemas.openxmlformats.org/officeDocument/2006/relationships/ctrlProp" Target="../ctrlProps/ctrlProp492.xml"/><Relationship Id="rId132" Type="http://schemas.openxmlformats.org/officeDocument/2006/relationships/ctrlProp" Target="../ctrlProps/ctrlProp513.xml"/><Relationship Id="rId153" Type="http://schemas.openxmlformats.org/officeDocument/2006/relationships/ctrlProp" Target="../ctrlProps/ctrlProp534.xml"/><Relationship Id="rId15" Type="http://schemas.openxmlformats.org/officeDocument/2006/relationships/ctrlProp" Target="../ctrlProps/ctrlProp396.xml"/><Relationship Id="rId36" Type="http://schemas.openxmlformats.org/officeDocument/2006/relationships/ctrlProp" Target="../ctrlProps/ctrlProp417.xml"/><Relationship Id="rId57" Type="http://schemas.openxmlformats.org/officeDocument/2006/relationships/ctrlProp" Target="../ctrlProps/ctrlProp438.xml"/><Relationship Id="rId106" Type="http://schemas.openxmlformats.org/officeDocument/2006/relationships/ctrlProp" Target="../ctrlProps/ctrlProp487.xml"/><Relationship Id="rId127" Type="http://schemas.openxmlformats.org/officeDocument/2006/relationships/ctrlProp" Target="../ctrlProps/ctrlProp508.xml"/><Relationship Id="rId10" Type="http://schemas.openxmlformats.org/officeDocument/2006/relationships/ctrlProp" Target="../ctrlProps/ctrlProp391.xml"/><Relationship Id="rId31" Type="http://schemas.openxmlformats.org/officeDocument/2006/relationships/ctrlProp" Target="../ctrlProps/ctrlProp412.xml"/><Relationship Id="rId52" Type="http://schemas.openxmlformats.org/officeDocument/2006/relationships/ctrlProp" Target="../ctrlProps/ctrlProp433.xml"/><Relationship Id="rId73" Type="http://schemas.openxmlformats.org/officeDocument/2006/relationships/ctrlProp" Target="../ctrlProps/ctrlProp454.xml"/><Relationship Id="rId78" Type="http://schemas.openxmlformats.org/officeDocument/2006/relationships/ctrlProp" Target="../ctrlProps/ctrlProp459.xml"/><Relationship Id="rId94" Type="http://schemas.openxmlformats.org/officeDocument/2006/relationships/ctrlProp" Target="../ctrlProps/ctrlProp475.xml"/><Relationship Id="rId99" Type="http://schemas.openxmlformats.org/officeDocument/2006/relationships/ctrlProp" Target="../ctrlProps/ctrlProp480.xml"/><Relationship Id="rId101" Type="http://schemas.openxmlformats.org/officeDocument/2006/relationships/ctrlProp" Target="../ctrlProps/ctrlProp482.xml"/><Relationship Id="rId122" Type="http://schemas.openxmlformats.org/officeDocument/2006/relationships/ctrlProp" Target="../ctrlProps/ctrlProp503.xml"/><Relationship Id="rId143" Type="http://schemas.openxmlformats.org/officeDocument/2006/relationships/ctrlProp" Target="../ctrlProps/ctrlProp524.xml"/><Relationship Id="rId148" Type="http://schemas.openxmlformats.org/officeDocument/2006/relationships/ctrlProp" Target="../ctrlProps/ctrlProp529.xml"/><Relationship Id="rId4" Type="http://schemas.openxmlformats.org/officeDocument/2006/relationships/ctrlProp" Target="../ctrlProps/ctrlProp385.xml"/><Relationship Id="rId9" Type="http://schemas.openxmlformats.org/officeDocument/2006/relationships/ctrlProp" Target="../ctrlProps/ctrlProp390.xml"/><Relationship Id="rId26" Type="http://schemas.openxmlformats.org/officeDocument/2006/relationships/ctrlProp" Target="../ctrlProps/ctrlProp407.xml"/><Relationship Id="rId47" Type="http://schemas.openxmlformats.org/officeDocument/2006/relationships/ctrlProp" Target="../ctrlProps/ctrlProp428.xml"/><Relationship Id="rId68" Type="http://schemas.openxmlformats.org/officeDocument/2006/relationships/ctrlProp" Target="../ctrlProps/ctrlProp449.xml"/><Relationship Id="rId89" Type="http://schemas.openxmlformats.org/officeDocument/2006/relationships/ctrlProp" Target="../ctrlProps/ctrlProp470.xml"/><Relationship Id="rId112" Type="http://schemas.openxmlformats.org/officeDocument/2006/relationships/ctrlProp" Target="../ctrlProps/ctrlProp493.xml"/><Relationship Id="rId133" Type="http://schemas.openxmlformats.org/officeDocument/2006/relationships/ctrlProp" Target="../ctrlProps/ctrlProp514.xml"/><Relationship Id="rId154" Type="http://schemas.openxmlformats.org/officeDocument/2006/relationships/ctrlProp" Target="../ctrlProps/ctrlProp535.xml"/><Relationship Id="rId16" Type="http://schemas.openxmlformats.org/officeDocument/2006/relationships/ctrlProp" Target="../ctrlProps/ctrlProp397.xml"/><Relationship Id="rId37" Type="http://schemas.openxmlformats.org/officeDocument/2006/relationships/ctrlProp" Target="../ctrlProps/ctrlProp418.xml"/><Relationship Id="rId58" Type="http://schemas.openxmlformats.org/officeDocument/2006/relationships/ctrlProp" Target="../ctrlProps/ctrlProp439.xml"/><Relationship Id="rId79" Type="http://schemas.openxmlformats.org/officeDocument/2006/relationships/ctrlProp" Target="../ctrlProps/ctrlProp460.xml"/><Relationship Id="rId102" Type="http://schemas.openxmlformats.org/officeDocument/2006/relationships/ctrlProp" Target="../ctrlProps/ctrlProp483.xml"/><Relationship Id="rId123" Type="http://schemas.openxmlformats.org/officeDocument/2006/relationships/ctrlProp" Target="../ctrlProps/ctrlProp504.xml"/><Relationship Id="rId144" Type="http://schemas.openxmlformats.org/officeDocument/2006/relationships/ctrlProp" Target="../ctrlProps/ctrlProp525.xml"/><Relationship Id="rId90" Type="http://schemas.openxmlformats.org/officeDocument/2006/relationships/ctrlProp" Target="../ctrlProps/ctrlProp471.xml"/><Relationship Id="rId27" Type="http://schemas.openxmlformats.org/officeDocument/2006/relationships/ctrlProp" Target="../ctrlProps/ctrlProp408.xml"/><Relationship Id="rId48" Type="http://schemas.openxmlformats.org/officeDocument/2006/relationships/ctrlProp" Target="../ctrlProps/ctrlProp429.xml"/><Relationship Id="rId69" Type="http://schemas.openxmlformats.org/officeDocument/2006/relationships/ctrlProp" Target="../ctrlProps/ctrlProp450.xml"/><Relationship Id="rId113" Type="http://schemas.openxmlformats.org/officeDocument/2006/relationships/ctrlProp" Target="../ctrlProps/ctrlProp494.xml"/><Relationship Id="rId134" Type="http://schemas.openxmlformats.org/officeDocument/2006/relationships/ctrlProp" Target="../ctrlProps/ctrlProp515.xml"/></Relationships>
</file>

<file path=xl/worksheets/_rels/sheet32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563.xml"/><Relationship Id="rId21" Type="http://schemas.openxmlformats.org/officeDocument/2006/relationships/ctrlProp" Target="../ctrlProps/ctrlProp558.xml"/><Relationship Id="rId42" Type="http://schemas.openxmlformats.org/officeDocument/2006/relationships/ctrlProp" Target="../ctrlProps/ctrlProp579.xml"/><Relationship Id="rId47" Type="http://schemas.openxmlformats.org/officeDocument/2006/relationships/ctrlProp" Target="../ctrlProps/ctrlProp584.xml"/><Relationship Id="rId63" Type="http://schemas.openxmlformats.org/officeDocument/2006/relationships/ctrlProp" Target="../ctrlProps/ctrlProp600.xml"/><Relationship Id="rId68" Type="http://schemas.openxmlformats.org/officeDocument/2006/relationships/ctrlProp" Target="../ctrlProps/ctrlProp605.xml"/><Relationship Id="rId7" Type="http://schemas.openxmlformats.org/officeDocument/2006/relationships/ctrlProp" Target="../ctrlProps/ctrlProp544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553.xml"/><Relationship Id="rId29" Type="http://schemas.openxmlformats.org/officeDocument/2006/relationships/ctrlProp" Target="../ctrlProps/ctrlProp566.xml"/><Relationship Id="rId11" Type="http://schemas.openxmlformats.org/officeDocument/2006/relationships/ctrlProp" Target="../ctrlProps/ctrlProp548.xml"/><Relationship Id="rId24" Type="http://schemas.openxmlformats.org/officeDocument/2006/relationships/ctrlProp" Target="../ctrlProps/ctrlProp561.xml"/><Relationship Id="rId32" Type="http://schemas.openxmlformats.org/officeDocument/2006/relationships/ctrlProp" Target="../ctrlProps/ctrlProp569.xml"/><Relationship Id="rId37" Type="http://schemas.openxmlformats.org/officeDocument/2006/relationships/ctrlProp" Target="../ctrlProps/ctrlProp574.xml"/><Relationship Id="rId40" Type="http://schemas.openxmlformats.org/officeDocument/2006/relationships/ctrlProp" Target="../ctrlProps/ctrlProp577.xml"/><Relationship Id="rId45" Type="http://schemas.openxmlformats.org/officeDocument/2006/relationships/ctrlProp" Target="../ctrlProps/ctrlProp582.xml"/><Relationship Id="rId53" Type="http://schemas.openxmlformats.org/officeDocument/2006/relationships/ctrlProp" Target="../ctrlProps/ctrlProp590.xml"/><Relationship Id="rId58" Type="http://schemas.openxmlformats.org/officeDocument/2006/relationships/ctrlProp" Target="../ctrlProps/ctrlProp595.xml"/><Relationship Id="rId66" Type="http://schemas.openxmlformats.org/officeDocument/2006/relationships/ctrlProp" Target="../ctrlProps/ctrlProp603.xml"/><Relationship Id="rId5" Type="http://schemas.openxmlformats.org/officeDocument/2006/relationships/ctrlProp" Target="../ctrlProps/ctrlProp542.xml"/><Relationship Id="rId61" Type="http://schemas.openxmlformats.org/officeDocument/2006/relationships/ctrlProp" Target="../ctrlProps/ctrlProp598.xml"/><Relationship Id="rId19" Type="http://schemas.openxmlformats.org/officeDocument/2006/relationships/ctrlProp" Target="../ctrlProps/ctrlProp556.xml"/><Relationship Id="rId14" Type="http://schemas.openxmlformats.org/officeDocument/2006/relationships/ctrlProp" Target="../ctrlProps/ctrlProp551.xml"/><Relationship Id="rId22" Type="http://schemas.openxmlformats.org/officeDocument/2006/relationships/ctrlProp" Target="../ctrlProps/ctrlProp559.xml"/><Relationship Id="rId27" Type="http://schemas.openxmlformats.org/officeDocument/2006/relationships/ctrlProp" Target="../ctrlProps/ctrlProp564.xml"/><Relationship Id="rId30" Type="http://schemas.openxmlformats.org/officeDocument/2006/relationships/ctrlProp" Target="../ctrlProps/ctrlProp567.xml"/><Relationship Id="rId35" Type="http://schemas.openxmlformats.org/officeDocument/2006/relationships/ctrlProp" Target="../ctrlProps/ctrlProp572.xml"/><Relationship Id="rId43" Type="http://schemas.openxmlformats.org/officeDocument/2006/relationships/ctrlProp" Target="../ctrlProps/ctrlProp580.xml"/><Relationship Id="rId48" Type="http://schemas.openxmlformats.org/officeDocument/2006/relationships/ctrlProp" Target="../ctrlProps/ctrlProp585.xml"/><Relationship Id="rId56" Type="http://schemas.openxmlformats.org/officeDocument/2006/relationships/ctrlProp" Target="../ctrlProps/ctrlProp593.xml"/><Relationship Id="rId64" Type="http://schemas.openxmlformats.org/officeDocument/2006/relationships/ctrlProp" Target="../ctrlProps/ctrlProp601.xml"/><Relationship Id="rId69" Type="http://schemas.openxmlformats.org/officeDocument/2006/relationships/ctrlProp" Target="../ctrlProps/ctrlProp606.xml"/><Relationship Id="rId8" Type="http://schemas.openxmlformats.org/officeDocument/2006/relationships/ctrlProp" Target="../ctrlProps/ctrlProp545.xml"/><Relationship Id="rId51" Type="http://schemas.openxmlformats.org/officeDocument/2006/relationships/ctrlProp" Target="../ctrlProps/ctrlProp588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549.xml"/><Relationship Id="rId17" Type="http://schemas.openxmlformats.org/officeDocument/2006/relationships/ctrlProp" Target="../ctrlProps/ctrlProp554.xml"/><Relationship Id="rId25" Type="http://schemas.openxmlformats.org/officeDocument/2006/relationships/ctrlProp" Target="../ctrlProps/ctrlProp562.xml"/><Relationship Id="rId33" Type="http://schemas.openxmlformats.org/officeDocument/2006/relationships/ctrlProp" Target="../ctrlProps/ctrlProp570.xml"/><Relationship Id="rId38" Type="http://schemas.openxmlformats.org/officeDocument/2006/relationships/ctrlProp" Target="../ctrlProps/ctrlProp575.xml"/><Relationship Id="rId46" Type="http://schemas.openxmlformats.org/officeDocument/2006/relationships/ctrlProp" Target="../ctrlProps/ctrlProp583.xml"/><Relationship Id="rId59" Type="http://schemas.openxmlformats.org/officeDocument/2006/relationships/ctrlProp" Target="../ctrlProps/ctrlProp596.xml"/><Relationship Id="rId67" Type="http://schemas.openxmlformats.org/officeDocument/2006/relationships/ctrlProp" Target="../ctrlProps/ctrlProp604.xml"/><Relationship Id="rId20" Type="http://schemas.openxmlformats.org/officeDocument/2006/relationships/ctrlProp" Target="../ctrlProps/ctrlProp557.xml"/><Relationship Id="rId41" Type="http://schemas.openxmlformats.org/officeDocument/2006/relationships/ctrlProp" Target="../ctrlProps/ctrlProp578.xml"/><Relationship Id="rId54" Type="http://schemas.openxmlformats.org/officeDocument/2006/relationships/ctrlProp" Target="../ctrlProps/ctrlProp591.xml"/><Relationship Id="rId62" Type="http://schemas.openxmlformats.org/officeDocument/2006/relationships/ctrlProp" Target="../ctrlProps/ctrlProp599.xml"/><Relationship Id="rId1" Type="http://schemas.openxmlformats.org/officeDocument/2006/relationships/printerSettings" Target="../printerSettings/printerSettings31.bin"/><Relationship Id="rId6" Type="http://schemas.openxmlformats.org/officeDocument/2006/relationships/ctrlProp" Target="../ctrlProps/ctrlProp543.xml"/><Relationship Id="rId15" Type="http://schemas.openxmlformats.org/officeDocument/2006/relationships/ctrlProp" Target="../ctrlProps/ctrlProp552.xml"/><Relationship Id="rId23" Type="http://schemas.openxmlformats.org/officeDocument/2006/relationships/ctrlProp" Target="../ctrlProps/ctrlProp560.xml"/><Relationship Id="rId28" Type="http://schemas.openxmlformats.org/officeDocument/2006/relationships/ctrlProp" Target="../ctrlProps/ctrlProp565.xml"/><Relationship Id="rId36" Type="http://schemas.openxmlformats.org/officeDocument/2006/relationships/ctrlProp" Target="../ctrlProps/ctrlProp573.xml"/><Relationship Id="rId49" Type="http://schemas.openxmlformats.org/officeDocument/2006/relationships/ctrlProp" Target="../ctrlProps/ctrlProp586.xml"/><Relationship Id="rId57" Type="http://schemas.openxmlformats.org/officeDocument/2006/relationships/ctrlProp" Target="../ctrlProps/ctrlProp594.xml"/><Relationship Id="rId10" Type="http://schemas.openxmlformats.org/officeDocument/2006/relationships/ctrlProp" Target="../ctrlProps/ctrlProp547.xml"/><Relationship Id="rId31" Type="http://schemas.openxmlformats.org/officeDocument/2006/relationships/ctrlProp" Target="../ctrlProps/ctrlProp568.xml"/><Relationship Id="rId44" Type="http://schemas.openxmlformats.org/officeDocument/2006/relationships/ctrlProp" Target="../ctrlProps/ctrlProp581.xml"/><Relationship Id="rId52" Type="http://schemas.openxmlformats.org/officeDocument/2006/relationships/ctrlProp" Target="../ctrlProps/ctrlProp589.xml"/><Relationship Id="rId60" Type="http://schemas.openxmlformats.org/officeDocument/2006/relationships/ctrlProp" Target="../ctrlProps/ctrlProp597.xml"/><Relationship Id="rId65" Type="http://schemas.openxmlformats.org/officeDocument/2006/relationships/ctrlProp" Target="../ctrlProps/ctrlProp602.xml"/><Relationship Id="rId4" Type="http://schemas.openxmlformats.org/officeDocument/2006/relationships/ctrlProp" Target="../ctrlProps/ctrlProp541.xml"/><Relationship Id="rId9" Type="http://schemas.openxmlformats.org/officeDocument/2006/relationships/ctrlProp" Target="../ctrlProps/ctrlProp546.xml"/><Relationship Id="rId13" Type="http://schemas.openxmlformats.org/officeDocument/2006/relationships/ctrlProp" Target="../ctrlProps/ctrlProp550.xml"/><Relationship Id="rId18" Type="http://schemas.openxmlformats.org/officeDocument/2006/relationships/ctrlProp" Target="../ctrlProps/ctrlProp555.xml"/><Relationship Id="rId39" Type="http://schemas.openxmlformats.org/officeDocument/2006/relationships/ctrlProp" Target="../ctrlProps/ctrlProp576.xml"/><Relationship Id="rId34" Type="http://schemas.openxmlformats.org/officeDocument/2006/relationships/ctrlProp" Target="../ctrlProps/ctrlProp571.xml"/><Relationship Id="rId50" Type="http://schemas.openxmlformats.org/officeDocument/2006/relationships/ctrlProp" Target="../ctrlProps/ctrlProp587.xml"/><Relationship Id="rId55" Type="http://schemas.openxmlformats.org/officeDocument/2006/relationships/ctrlProp" Target="../ctrlProps/ctrlProp592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34.bin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37.bin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rinterSettings" Target="../printerSettings/printerSettings38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rinterSettings" Target="../printerSettings/printerSettings42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rinterSettings" Target="../printerSettings/printerSettings44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rinterSettings" Target="../printerSettings/printerSettings46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rinterSettings" Target="../printerSettings/printerSettings48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rinterSettings" Target="../printerSettings/printerSettings50.bin"/></Relationships>
</file>

<file path=xl/worksheets/_rels/sheet4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20.xml"/><Relationship Id="rId21" Type="http://schemas.openxmlformats.org/officeDocument/2006/relationships/ctrlProp" Target="../ctrlProps/ctrlProp624.xml"/><Relationship Id="rId42" Type="http://schemas.openxmlformats.org/officeDocument/2006/relationships/ctrlProp" Target="../ctrlProps/ctrlProp645.xml"/><Relationship Id="rId47" Type="http://schemas.openxmlformats.org/officeDocument/2006/relationships/ctrlProp" Target="../ctrlProps/ctrlProp650.xml"/><Relationship Id="rId63" Type="http://schemas.openxmlformats.org/officeDocument/2006/relationships/ctrlProp" Target="../ctrlProps/ctrlProp666.xml"/><Relationship Id="rId68" Type="http://schemas.openxmlformats.org/officeDocument/2006/relationships/ctrlProp" Target="../ctrlProps/ctrlProp671.xml"/><Relationship Id="rId84" Type="http://schemas.openxmlformats.org/officeDocument/2006/relationships/ctrlProp" Target="../ctrlProps/ctrlProp687.xml"/><Relationship Id="rId89" Type="http://schemas.openxmlformats.org/officeDocument/2006/relationships/ctrlProp" Target="../ctrlProps/ctrlProp692.xml"/><Relationship Id="rId112" Type="http://schemas.openxmlformats.org/officeDocument/2006/relationships/ctrlProp" Target="../ctrlProps/ctrlProp715.xml"/><Relationship Id="rId16" Type="http://schemas.openxmlformats.org/officeDocument/2006/relationships/ctrlProp" Target="../ctrlProps/ctrlProp619.xml"/><Relationship Id="rId107" Type="http://schemas.openxmlformats.org/officeDocument/2006/relationships/ctrlProp" Target="../ctrlProps/ctrlProp710.xml"/><Relationship Id="rId11" Type="http://schemas.openxmlformats.org/officeDocument/2006/relationships/ctrlProp" Target="../ctrlProps/ctrlProp614.xml"/><Relationship Id="rId32" Type="http://schemas.openxmlformats.org/officeDocument/2006/relationships/ctrlProp" Target="../ctrlProps/ctrlProp635.xml"/><Relationship Id="rId37" Type="http://schemas.openxmlformats.org/officeDocument/2006/relationships/ctrlProp" Target="../ctrlProps/ctrlProp640.xml"/><Relationship Id="rId53" Type="http://schemas.openxmlformats.org/officeDocument/2006/relationships/ctrlProp" Target="../ctrlProps/ctrlProp656.xml"/><Relationship Id="rId58" Type="http://schemas.openxmlformats.org/officeDocument/2006/relationships/ctrlProp" Target="../ctrlProps/ctrlProp661.xml"/><Relationship Id="rId74" Type="http://schemas.openxmlformats.org/officeDocument/2006/relationships/ctrlProp" Target="../ctrlProps/ctrlProp677.xml"/><Relationship Id="rId79" Type="http://schemas.openxmlformats.org/officeDocument/2006/relationships/ctrlProp" Target="../ctrlProps/ctrlProp682.xml"/><Relationship Id="rId102" Type="http://schemas.openxmlformats.org/officeDocument/2006/relationships/ctrlProp" Target="../ctrlProps/ctrlProp705.xml"/><Relationship Id="rId123" Type="http://schemas.openxmlformats.org/officeDocument/2006/relationships/ctrlProp" Target="../ctrlProps/ctrlProp726.xml"/><Relationship Id="rId128" Type="http://schemas.openxmlformats.org/officeDocument/2006/relationships/ctrlProp" Target="../ctrlProps/ctrlProp731.xml"/><Relationship Id="rId5" Type="http://schemas.openxmlformats.org/officeDocument/2006/relationships/ctrlProp" Target="../ctrlProps/ctrlProp608.xml"/><Relationship Id="rId90" Type="http://schemas.openxmlformats.org/officeDocument/2006/relationships/ctrlProp" Target="../ctrlProps/ctrlProp693.xml"/><Relationship Id="rId95" Type="http://schemas.openxmlformats.org/officeDocument/2006/relationships/ctrlProp" Target="../ctrlProps/ctrlProp698.xml"/><Relationship Id="rId22" Type="http://schemas.openxmlformats.org/officeDocument/2006/relationships/ctrlProp" Target="../ctrlProps/ctrlProp625.xml"/><Relationship Id="rId27" Type="http://schemas.openxmlformats.org/officeDocument/2006/relationships/ctrlProp" Target="../ctrlProps/ctrlProp630.xml"/><Relationship Id="rId43" Type="http://schemas.openxmlformats.org/officeDocument/2006/relationships/ctrlProp" Target="../ctrlProps/ctrlProp646.xml"/><Relationship Id="rId48" Type="http://schemas.openxmlformats.org/officeDocument/2006/relationships/ctrlProp" Target="../ctrlProps/ctrlProp651.xml"/><Relationship Id="rId64" Type="http://schemas.openxmlformats.org/officeDocument/2006/relationships/ctrlProp" Target="../ctrlProps/ctrlProp667.xml"/><Relationship Id="rId69" Type="http://schemas.openxmlformats.org/officeDocument/2006/relationships/ctrlProp" Target="../ctrlProps/ctrlProp672.xml"/><Relationship Id="rId113" Type="http://schemas.openxmlformats.org/officeDocument/2006/relationships/ctrlProp" Target="../ctrlProps/ctrlProp716.xml"/><Relationship Id="rId118" Type="http://schemas.openxmlformats.org/officeDocument/2006/relationships/ctrlProp" Target="../ctrlProps/ctrlProp721.xml"/><Relationship Id="rId80" Type="http://schemas.openxmlformats.org/officeDocument/2006/relationships/ctrlProp" Target="../ctrlProps/ctrlProp683.xml"/><Relationship Id="rId85" Type="http://schemas.openxmlformats.org/officeDocument/2006/relationships/ctrlProp" Target="../ctrlProps/ctrlProp688.xml"/><Relationship Id="rId12" Type="http://schemas.openxmlformats.org/officeDocument/2006/relationships/ctrlProp" Target="../ctrlProps/ctrlProp615.xml"/><Relationship Id="rId17" Type="http://schemas.openxmlformats.org/officeDocument/2006/relationships/ctrlProp" Target="../ctrlProps/ctrlProp620.xml"/><Relationship Id="rId33" Type="http://schemas.openxmlformats.org/officeDocument/2006/relationships/ctrlProp" Target="../ctrlProps/ctrlProp636.xml"/><Relationship Id="rId38" Type="http://schemas.openxmlformats.org/officeDocument/2006/relationships/ctrlProp" Target="../ctrlProps/ctrlProp641.xml"/><Relationship Id="rId59" Type="http://schemas.openxmlformats.org/officeDocument/2006/relationships/ctrlProp" Target="../ctrlProps/ctrlProp662.xml"/><Relationship Id="rId103" Type="http://schemas.openxmlformats.org/officeDocument/2006/relationships/ctrlProp" Target="../ctrlProps/ctrlProp706.xml"/><Relationship Id="rId108" Type="http://schemas.openxmlformats.org/officeDocument/2006/relationships/ctrlProp" Target="../ctrlProps/ctrlProp711.xml"/><Relationship Id="rId124" Type="http://schemas.openxmlformats.org/officeDocument/2006/relationships/ctrlProp" Target="../ctrlProps/ctrlProp727.xml"/><Relationship Id="rId129" Type="http://schemas.openxmlformats.org/officeDocument/2006/relationships/ctrlProp" Target="../ctrlProps/ctrlProp732.xml"/><Relationship Id="rId54" Type="http://schemas.openxmlformats.org/officeDocument/2006/relationships/ctrlProp" Target="../ctrlProps/ctrlProp657.xml"/><Relationship Id="rId70" Type="http://schemas.openxmlformats.org/officeDocument/2006/relationships/ctrlProp" Target="../ctrlProps/ctrlProp673.xml"/><Relationship Id="rId75" Type="http://schemas.openxmlformats.org/officeDocument/2006/relationships/ctrlProp" Target="../ctrlProps/ctrlProp678.xml"/><Relationship Id="rId91" Type="http://schemas.openxmlformats.org/officeDocument/2006/relationships/ctrlProp" Target="../ctrlProps/ctrlProp694.xml"/><Relationship Id="rId96" Type="http://schemas.openxmlformats.org/officeDocument/2006/relationships/ctrlProp" Target="../ctrlProps/ctrlProp699.xml"/><Relationship Id="rId1" Type="http://schemas.openxmlformats.org/officeDocument/2006/relationships/printerSettings" Target="../printerSettings/printerSettings52.bin"/><Relationship Id="rId6" Type="http://schemas.openxmlformats.org/officeDocument/2006/relationships/ctrlProp" Target="../ctrlProps/ctrlProp609.xml"/><Relationship Id="rId23" Type="http://schemas.openxmlformats.org/officeDocument/2006/relationships/ctrlProp" Target="../ctrlProps/ctrlProp626.xml"/><Relationship Id="rId28" Type="http://schemas.openxmlformats.org/officeDocument/2006/relationships/ctrlProp" Target="../ctrlProps/ctrlProp631.xml"/><Relationship Id="rId49" Type="http://schemas.openxmlformats.org/officeDocument/2006/relationships/ctrlProp" Target="../ctrlProps/ctrlProp652.xml"/><Relationship Id="rId114" Type="http://schemas.openxmlformats.org/officeDocument/2006/relationships/ctrlProp" Target="../ctrlProps/ctrlProp717.xml"/><Relationship Id="rId119" Type="http://schemas.openxmlformats.org/officeDocument/2006/relationships/ctrlProp" Target="../ctrlProps/ctrlProp722.xml"/><Relationship Id="rId44" Type="http://schemas.openxmlformats.org/officeDocument/2006/relationships/ctrlProp" Target="../ctrlProps/ctrlProp647.xml"/><Relationship Id="rId60" Type="http://schemas.openxmlformats.org/officeDocument/2006/relationships/ctrlProp" Target="../ctrlProps/ctrlProp663.xml"/><Relationship Id="rId65" Type="http://schemas.openxmlformats.org/officeDocument/2006/relationships/ctrlProp" Target="../ctrlProps/ctrlProp668.xml"/><Relationship Id="rId81" Type="http://schemas.openxmlformats.org/officeDocument/2006/relationships/ctrlProp" Target="../ctrlProps/ctrlProp684.xml"/><Relationship Id="rId86" Type="http://schemas.openxmlformats.org/officeDocument/2006/relationships/ctrlProp" Target="../ctrlProps/ctrlProp689.xml"/><Relationship Id="rId130" Type="http://schemas.openxmlformats.org/officeDocument/2006/relationships/ctrlProp" Target="../ctrlProps/ctrlProp733.xml"/><Relationship Id="rId13" Type="http://schemas.openxmlformats.org/officeDocument/2006/relationships/ctrlProp" Target="../ctrlProps/ctrlProp616.xml"/><Relationship Id="rId18" Type="http://schemas.openxmlformats.org/officeDocument/2006/relationships/ctrlProp" Target="../ctrlProps/ctrlProp621.xml"/><Relationship Id="rId39" Type="http://schemas.openxmlformats.org/officeDocument/2006/relationships/ctrlProp" Target="../ctrlProps/ctrlProp642.xml"/><Relationship Id="rId109" Type="http://schemas.openxmlformats.org/officeDocument/2006/relationships/ctrlProp" Target="../ctrlProps/ctrlProp712.xml"/><Relationship Id="rId34" Type="http://schemas.openxmlformats.org/officeDocument/2006/relationships/ctrlProp" Target="../ctrlProps/ctrlProp637.xml"/><Relationship Id="rId50" Type="http://schemas.openxmlformats.org/officeDocument/2006/relationships/ctrlProp" Target="../ctrlProps/ctrlProp653.xml"/><Relationship Id="rId55" Type="http://schemas.openxmlformats.org/officeDocument/2006/relationships/ctrlProp" Target="../ctrlProps/ctrlProp658.xml"/><Relationship Id="rId76" Type="http://schemas.openxmlformats.org/officeDocument/2006/relationships/ctrlProp" Target="../ctrlProps/ctrlProp679.xml"/><Relationship Id="rId97" Type="http://schemas.openxmlformats.org/officeDocument/2006/relationships/ctrlProp" Target="../ctrlProps/ctrlProp700.xml"/><Relationship Id="rId104" Type="http://schemas.openxmlformats.org/officeDocument/2006/relationships/ctrlProp" Target="../ctrlProps/ctrlProp707.xml"/><Relationship Id="rId120" Type="http://schemas.openxmlformats.org/officeDocument/2006/relationships/ctrlProp" Target="../ctrlProps/ctrlProp723.xml"/><Relationship Id="rId125" Type="http://schemas.openxmlformats.org/officeDocument/2006/relationships/ctrlProp" Target="../ctrlProps/ctrlProp728.xml"/><Relationship Id="rId7" Type="http://schemas.openxmlformats.org/officeDocument/2006/relationships/ctrlProp" Target="../ctrlProps/ctrlProp610.xml"/><Relationship Id="rId71" Type="http://schemas.openxmlformats.org/officeDocument/2006/relationships/ctrlProp" Target="../ctrlProps/ctrlProp674.xml"/><Relationship Id="rId92" Type="http://schemas.openxmlformats.org/officeDocument/2006/relationships/ctrlProp" Target="../ctrlProps/ctrlProp695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32.xml"/><Relationship Id="rId24" Type="http://schemas.openxmlformats.org/officeDocument/2006/relationships/ctrlProp" Target="../ctrlProps/ctrlProp627.xml"/><Relationship Id="rId40" Type="http://schemas.openxmlformats.org/officeDocument/2006/relationships/ctrlProp" Target="../ctrlProps/ctrlProp643.xml"/><Relationship Id="rId45" Type="http://schemas.openxmlformats.org/officeDocument/2006/relationships/ctrlProp" Target="../ctrlProps/ctrlProp648.xml"/><Relationship Id="rId66" Type="http://schemas.openxmlformats.org/officeDocument/2006/relationships/ctrlProp" Target="../ctrlProps/ctrlProp669.xml"/><Relationship Id="rId87" Type="http://schemas.openxmlformats.org/officeDocument/2006/relationships/ctrlProp" Target="../ctrlProps/ctrlProp690.xml"/><Relationship Id="rId110" Type="http://schemas.openxmlformats.org/officeDocument/2006/relationships/ctrlProp" Target="../ctrlProps/ctrlProp713.xml"/><Relationship Id="rId115" Type="http://schemas.openxmlformats.org/officeDocument/2006/relationships/ctrlProp" Target="../ctrlProps/ctrlProp718.xml"/><Relationship Id="rId131" Type="http://schemas.openxmlformats.org/officeDocument/2006/relationships/ctrlProp" Target="../ctrlProps/ctrlProp734.xml"/><Relationship Id="rId61" Type="http://schemas.openxmlformats.org/officeDocument/2006/relationships/ctrlProp" Target="../ctrlProps/ctrlProp664.xml"/><Relationship Id="rId82" Type="http://schemas.openxmlformats.org/officeDocument/2006/relationships/ctrlProp" Target="../ctrlProps/ctrlProp685.xml"/><Relationship Id="rId19" Type="http://schemas.openxmlformats.org/officeDocument/2006/relationships/ctrlProp" Target="../ctrlProps/ctrlProp622.xml"/><Relationship Id="rId14" Type="http://schemas.openxmlformats.org/officeDocument/2006/relationships/ctrlProp" Target="../ctrlProps/ctrlProp617.xml"/><Relationship Id="rId30" Type="http://schemas.openxmlformats.org/officeDocument/2006/relationships/ctrlProp" Target="../ctrlProps/ctrlProp633.xml"/><Relationship Id="rId35" Type="http://schemas.openxmlformats.org/officeDocument/2006/relationships/ctrlProp" Target="../ctrlProps/ctrlProp638.xml"/><Relationship Id="rId56" Type="http://schemas.openxmlformats.org/officeDocument/2006/relationships/ctrlProp" Target="../ctrlProps/ctrlProp659.xml"/><Relationship Id="rId77" Type="http://schemas.openxmlformats.org/officeDocument/2006/relationships/ctrlProp" Target="../ctrlProps/ctrlProp680.xml"/><Relationship Id="rId100" Type="http://schemas.openxmlformats.org/officeDocument/2006/relationships/ctrlProp" Target="../ctrlProps/ctrlProp703.xml"/><Relationship Id="rId105" Type="http://schemas.openxmlformats.org/officeDocument/2006/relationships/ctrlProp" Target="../ctrlProps/ctrlProp708.xml"/><Relationship Id="rId126" Type="http://schemas.openxmlformats.org/officeDocument/2006/relationships/ctrlProp" Target="../ctrlProps/ctrlProp729.xml"/><Relationship Id="rId8" Type="http://schemas.openxmlformats.org/officeDocument/2006/relationships/ctrlProp" Target="../ctrlProps/ctrlProp611.xml"/><Relationship Id="rId51" Type="http://schemas.openxmlformats.org/officeDocument/2006/relationships/ctrlProp" Target="../ctrlProps/ctrlProp654.xml"/><Relationship Id="rId72" Type="http://schemas.openxmlformats.org/officeDocument/2006/relationships/ctrlProp" Target="../ctrlProps/ctrlProp675.xml"/><Relationship Id="rId93" Type="http://schemas.openxmlformats.org/officeDocument/2006/relationships/ctrlProp" Target="../ctrlProps/ctrlProp696.xml"/><Relationship Id="rId98" Type="http://schemas.openxmlformats.org/officeDocument/2006/relationships/ctrlProp" Target="../ctrlProps/ctrlProp701.xml"/><Relationship Id="rId121" Type="http://schemas.openxmlformats.org/officeDocument/2006/relationships/ctrlProp" Target="../ctrlProps/ctrlProp72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628.xml"/><Relationship Id="rId46" Type="http://schemas.openxmlformats.org/officeDocument/2006/relationships/ctrlProp" Target="../ctrlProps/ctrlProp649.xml"/><Relationship Id="rId67" Type="http://schemas.openxmlformats.org/officeDocument/2006/relationships/ctrlProp" Target="../ctrlProps/ctrlProp670.xml"/><Relationship Id="rId116" Type="http://schemas.openxmlformats.org/officeDocument/2006/relationships/ctrlProp" Target="../ctrlProps/ctrlProp719.xml"/><Relationship Id="rId20" Type="http://schemas.openxmlformats.org/officeDocument/2006/relationships/ctrlProp" Target="../ctrlProps/ctrlProp623.xml"/><Relationship Id="rId41" Type="http://schemas.openxmlformats.org/officeDocument/2006/relationships/ctrlProp" Target="../ctrlProps/ctrlProp644.xml"/><Relationship Id="rId62" Type="http://schemas.openxmlformats.org/officeDocument/2006/relationships/ctrlProp" Target="../ctrlProps/ctrlProp665.xml"/><Relationship Id="rId83" Type="http://schemas.openxmlformats.org/officeDocument/2006/relationships/ctrlProp" Target="../ctrlProps/ctrlProp686.xml"/><Relationship Id="rId88" Type="http://schemas.openxmlformats.org/officeDocument/2006/relationships/ctrlProp" Target="../ctrlProps/ctrlProp691.xml"/><Relationship Id="rId111" Type="http://schemas.openxmlformats.org/officeDocument/2006/relationships/ctrlProp" Target="../ctrlProps/ctrlProp714.xml"/><Relationship Id="rId15" Type="http://schemas.openxmlformats.org/officeDocument/2006/relationships/ctrlProp" Target="../ctrlProps/ctrlProp618.xml"/><Relationship Id="rId36" Type="http://schemas.openxmlformats.org/officeDocument/2006/relationships/ctrlProp" Target="../ctrlProps/ctrlProp639.xml"/><Relationship Id="rId57" Type="http://schemas.openxmlformats.org/officeDocument/2006/relationships/ctrlProp" Target="../ctrlProps/ctrlProp660.xml"/><Relationship Id="rId106" Type="http://schemas.openxmlformats.org/officeDocument/2006/relationships/ctrlProp" Target="../ctrlProps/ctrlProp709.xml"/><Relationship Id="rId127" Type="http://schemas.openxmlformats.org/officeDocument/2006/relationships/ctrlProp" Target="../ctrlProps/ctrlProp730.xml"/><Relationship Id="rId10" Type="http://schemas.openxmlformats.org/officeDocument/2006/relationships/ctrlProp" Target="../ctrlProps/ctrlProp613.xml"/><Relationship Id="rId31" Type="http://schemas.openxmlformats.org/officeDocument/2006/relationships/ctrlProp" Target="../ctrlProps/ctrlProp634.xml"/><Relationship Id="rId52" Type="http://schemas.openxmlformats.org/officeDocument/2006/relationships/ctrlProp" Target="../ctrlProps/ctrlProp655.xml"/><Relationship Id="rId73" Type="http://schemas.openxmlformats.org/officeDocument/2006/relationships/ctrlProp" Target="../ctrlProps/ctrlProp676.xml"/><Relationship Id="rId78" Type="http://schemas.openxmlformats.org/officeDocument/2006/relationships/ctrlProp" Target="../ctrlProps/ctrlProp681.xml"/><Relationship Id="rId94" Type="http://schemas.openxmlformats.org/officeDocument/2006/relationships/ctrlProp" Target="../ctrlProps/ctrlProp697.xml"/><Relationship Id="rId99" Type="http://schemas.openxmlformats.org/officeDocument/2006/relationships/ctrlProp" Target="../ctrlProps/ctrlProp702.xml"/><Relationship Id="rId101" Type="http://schemas.openxmlformats.org/officeDocument/2006/relationships/ctrlProp" Target="../ctrlProps/ctrlProp704.xml"/><Relationship Id="rId122" Type="http://schemas.openxmlformats.org/officeDocument/2006/relationships/ctrlProp" Target="../ctrlProps/ctrlProp725.xml"/><Relationship Id="rId4" Type="http://schemas.openxmlformats.org/officeDocument/2006/relationships/ctrlProp" Target="../ctrlProps/ctrlProp607.xml"/><Relationship Id="rId9" Type="http://schemas.openxmlformats.org/officeDocument/2006/relationships/ctrlProp" Target="../ctrlProps/ctrlProp612.xml"/><Relationship Id="rId26" Type="http://schemas.openxmlformats.org/officeDocument/2006/relationships/ctrlProp" Target="../ctrlProps/ctrlProp629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57.xml"/><Relationship Id="rId117" Type="http://schemas.openxmlformats.org/officeDocument/2006/relationships/ctrlProp" Target="../ctrlProps/ctrlProp848.xml"/><Relationship Id="rId21" Type="http://schemas.openxmlformats.org/officeDocument/2006/relationships/ctrlProp" Target="../ctrlProps/ctrlProp752.xml"/><Relationship Id="rId42" Type="http://schemas.openxmlformats.org/officeDocument/2006/relationships/ctrlProp" Target="../ctrlProps/ctrlProp773.xml"/><Relationship Id="rId47" Type="http://schemas.openxmlformats.org/officeDocument/2006/relationships/ctrlProp" Target="../ctrlProps/ctrlProp778.xml"/><Relationship Id="rId63" Type="http://schemas.openxmlformats.org/officeDocument/2006/relationships/ctrlProp" Target="../ctrlProps/ctrlProp794.xml"/><Relationship Id="rId68" Type="http://schemas.openxmlformats.org/officeDocument/2006/relationships/ctrlProp" Target="../ctrlProps/ctrlProp799.xml"/><Relationship Id="rId84" Type="http://schemas.openxmlformats.org/officeDocument/2006/relationships/ctrlProp" Target="../ctrlProps/ctrlProp815.xml"/><Relationship Id="rId89" Type="http://schemas.openxmlformats.org/officeDocument/2006/relationships/ctrlProp" Target="../ctrlProps/ctrlProp820.xml"/><Relationship Id="rId112" Type="http://schemas.openxmlformats.org/officeDocument/2006/relationships/ctrlProp" Target="../ctrlProps/ctrlProp843.xml"/><Relationship Id="rId16" Type="http://schemas.openxmlformats.org/officeDocument/2006/relationships/ctrlProp" Target="../ctrlProps/ctrlProp747.xml"/><Relationship Id="rId107" Type="http://schemas.openxmlformats.org/officeDocument/2006/relationships/ctrlProp" Target="../ctrlProps/ctrlProp838.xml"/><Relationship Id="rId11" Type="http://schemas.openxmlformats.org/officeDocument/2006/relationships/ctrlProp" Target="../ctrlProps/ctrlProp742.xml"/><Relationship Id="rId32" Type="http://schemas.openxmlformats.org/officeDocument/2006/relationships/ctrlProp" Target="../ctrlProps/ctrlProp763.xml"/><Relationship Id="rId37" Type="http://schemas.openxmlformats.org/officeDocument/2006/relationships/ctrlProp" Target="../ctrlProps/ctrlProp768.xml"/><Relationship Id="rId53" Type="http://schemas.openxmlformats.org/officeDocument/2006/relationships/ctrlProp" Target="../ctrlProps/ctrlProp784.xml"/><Relationship Id="rId58" Type="http://schemas.openxmlformats.org/officeDocument/2006/relationships/ctrlProp" Target="../ctrlProps/ctrlProp789.xml"/><Relationship Id="rId74" Type="http://schemas.openxmlformats.org/officeDocument/2006/relationships/ctrlProp" Target="../ctrlProps/ctrlProp805.xml"/><Relationship Id="rId79" Type="http://schemas.openxmlformats.org/officeDocument/2006/relationships/ctrlProp" Target="../ctrlProps/ctrlProp810.xml"/><Relationship Id="rId102" Type="http://schemas.openxmlformats.org/officeDocument/2006/relationships/ctrlProp" Target="../ctrlProps/ctrlProp833.xml"/><Relationship Id="rId123" Type="http://schemas.openxmlformats.org/officeDocument/2006/relationships/ctrlProp" Target="../ctrlProps/ctrlProp854.xml"/><Relationship Id="rId5" Type="http://schemas.openxmlformats.org/officeDocument/2006/relationships/ctrlProp" Target="../ctrlProps/ctrlProp736.xml"/><Relationship Id="rId90" Type="http://schemas.openxmlformats.org/officeDocument/2006/relationships/ctrlProp" Target="../ctrlProps/ctrlProp821.xml"/><Relationship Id="rId95" Type="http://schemas.openxmlformats.org/officeDocument/2006/relationships/ctrlProp" Target="../ctrlProps/ctrlProp826.xml"/><Relationship Id="rId22" Type="http://schemas.openxmlformats.org/officeDocument/2006/relationships/ctrlProp" Target="../ctrlProps/ctrlProp753.xml"/><Relationship Id="rId27" Type="http://schemas.openxmlformats.org/officeDocument/2006/relationships/ctrlProp" Target="../ctrlProps/ctrlProp758.xml"/><Relationship Id="rId43" Type="http://schemas.openxmlformats.org/officeDocument/2006/relationships/ctrlProp" Target="../ctrlProps/ctrlProp774.xml"/><Relationship Id="rId48" Type="http://schemas.openxmlformats.org/officeDocument/2006/relationships/ctrlProp" Target="../ctrlProps/ctrlProp779.xml"/><Relationship Id="rId64" Type="http://schemas.openxmlformats.org/officeDocument/2006/relationships/ctrlProp" Target="../ctrlProps/ctrlProp795.xml"/><Relationship Id="rId69" Type="http://schemas.openxmlformats.org/officeDocument/2006/relationships/ctrlProp" Target="../ctrlProps/ctrlProp800.xml"/><Relationship Id="rId113" Type="http://schemas.openxmlformats.org/officeDocument/2006/relationships/ctrlProp" Target="../ctrlProps/ctrlProp844.xml"/><Relationship Id="rId118" Type="http://schemas.openxmlformats.org/officeDocument/2006/relationships/ctrlProp" Target="../ctrlProps/ctrlProp849.xml"/><Relationship Id="rId80" Type="http://schemas.openxmlformats.org/officeDocument/2006/relationships/ctrlProp" Target="../ctrlProps/ctrlProp811.xml"/><Relationship Id="rId85" Type="http://schemas.openxmlformats.org/officeDocument/2006/relationships/ctrlProp" Target="../ctrlProps/ctrlProp816.xml"/><Relationship Id="rId12" Type="http://schemas.openxmlformats.org/officeDocument/2006/relationships/ctrlProp" Target="../ctrlProps/ctrlProp743.xml"/><Relationship Id="rId17" Type="http://schemas.openxmlformats.org/officeDocument/2006/relationships/ctrlProp" Target="../ctrlProps/ctrlProp748.xml"/><Relationship Id="rId33" Type="http://schemas.openxmlformats.org/officeDocument/2006/relationships/ctrlProp" Target="../ctrlProps/ctrlProp764.xml"/><Relationship Id="rId38" Type="http://schemas.openxmlformats.org/officeDocument/2006/relationships/ctrlProp" Target="../ctrlProps/ctrlProp769.xml"/><Relationship Id="rId59" Type="http://schemas.openxmlformats.org/officeDocument/2006/relationships/ctrlProp" Target="../ctrlProps/ctrlProp790.xml"/><Relationship Id="rId103" Type="http://schemas.openxmlformats.org/officeDocument/2006/relationships/ctrlProp" Target="../ctrlProps/ctrlProp834.xml"/><Relationship Id="rId108" Type="http://schemas.openxmlformats.org/officeDocument/2006/relationships/ctrlProp" Target="../ctrlProps/ctrlProp839.xml"/><Relationship Id="rId124" Type="http://schemas.openxmlformats.org/officeDocument/2006/relationships/ctrlProp" Target="../ctrlProps/ctrlProp855.xml"/><Relationship Id="rId54" Type="http://schemas.openxmlformats.org/officeDocument/2006/relationships/ctrlProp" Target="../ctrlProps/ctrlProp785.xml"/><Relationship Id="rId70" Type="http://schemas.openxmlformats.org/officeDocument/2006/relationships/ctrlProp" Target="../ctrlProps/ctrlProp801.xml"/><Relationship Id="rId75" Type="http://schemas.openxmlformats.org/officeDocument/2006/relationships/ctrlProp" Target="../ctrlProps/ctrlProp806.xml"/><Relationship Id="rId91" Type="http://schemas.openxmlformats.org/officeDocument/2006/relationships/ctrlProp" Target="../ctrlProps/ctrlProp822.xml"/><Relationship Id="rId96" Type="http://schemas.openxmlformats.org/officeDocument/2006/relationships/ctrlProp" Target="../ctrlProps/ctrlProp827.xml"/><Relationship Id="rId1" Type="http://schemas.openxmlformats.org/officeDocument/2006/relationships/printerSettings" Target="../printerSettings/printerSettings58.bin"/><Relationship Id="rId6" Type="http://schemas.openxmlformats.org/officeDocument/2006/relationships/ctrlProp" Target="../ctrlProps/ctrlProp737.xml"/><Relationship Id="rId23" Type="http://schemas.openxmlformats.org/officeDocument/2006/relationships/ctrlProp" Target="../ctrlProps/ctrlProp754.xml"/><Relationship Id="rId28" Type="http://schemas.openxmlformats.org/officeDocument/2006/relationships/ctrlProp" Target="../ctrlProps/ctrlProp759.xml"/><Relationship Id="rId49" Type="http://schemas.openxmlformats.org/officeDocument/2006/relationships/ctrlProp" Target="../ctrlProps/ctrlProp780.xml"/><Relationship Id="rId114" Type="http://schemas.openxmlformats.org/officeDocument/2006/relationships/ctrlProp" Target="../ctrlProps/ctrlProp845.xml"/><Relationship Id="rId119" Type="http://schemas.openxmlformats.org/officeDocument/2006/relationships/ctrlProp" Target="../ctrlProps/ctrlProp850.xml"/><Relationship Id="rId44" Type="http://schemas.openxmlformats.org/officeDocument/2006/relationships/ctrlProp" Target="../ctrlProps/ctrlProp775.xml"/><Relationship Id="rId60" Type="http://schemas.openxmlformats.org/officeDocument/2006/relationships/ctrlProp" Target="../ctrlProps/ctrlProp791.xml"/><Relationship Id="rId65" Type="http://schemas.openxmlformats.org/officeDocument/2006/relationships/ctrlProp" Target="../ctrlProps/ctrlProp796.xml"/><Relationship Id="rId81" Type="http://schemas.openxmlformats.org/officeDocument/2006/relationships/ctrlProp" Target="../ctrlProps/ctrlProp812.xml"/><Relationship Id="rId86" Type="http://schemas.openxmlformats.org/officeDocument/2006/relationships/ctrlProp" Target="../ctrlProps/ctrlProp817.xml"/><Relationship Id="rId4" Type="http://schemas.openxmlformats.org/officeDocument/2006/relationships/ctrlProp" Target="../ctrlProps/ctrlProp735.xml"/><Relationship Id="rId9" Type="http://schemas.openxmlformats.org/officeDocument/2006/relationships/ctrlProp" Target="../ctrlProps/ctrlProp740.xml"/><Relationship Id="rId13" Type="http://schemas.openxmlformats.org/officeDocument/2006/relationships/ctrlProp" Target="../ctrlProps/ctrlProp744.xml"/><Relationship Id="rId18" Type="http://schemas.openxmlformats.org/officeDocument/2006/relationships/ctrlProp" Target="../ctrlProps/ctrlProp749.xml"/><Relationship Id="rId39" Type="http://schemas.openxmlformats.org/officeDocument/2006/relationships/ctrlProp" Target="../ctrlProps/ctrlProp770.xml"/><Relationship Id="rId109" Type="http://schemas.openxmlformats.org/officeDocument/2006/relationships/ctrlProp" Target="../ctrlProps/ctrlProp840.xml"/><Relationship Id="rId34" Type="http://schemas.openxmlformats.org/officeDocument/2006/relationships/ctrlProp" Target="../ctrlProps/ctrlProp765.xml"/><Relationship Id="rId50" Type="http://schemas.openxmlformats.org/officeDocument/2006/relationships/ctrlProp" Target="../ctrlProps/ctrlProp781.xml"/><Relationship Id="rId55" Type="http://schemas.openxmlformats.org/officeDocument/2006/relationships/ctrlProp" Target="../ctrlProps/ctrlProp786.xml"/><Relationship Id="rId76" Type="http://schemas.openxmlformats.org/officeDocument/2006/relationships/ctrlProp" Target="../ctrlProps/ctrlProp807.xml"/><Relationship Id="rId97" Type="http://schemas.openxmlformats.org/officeDocument/2006/relationships/ctrlProp" Target="../ctrlProps/ctrlProp828.xml"/><Relationship Id="rId104" Type="http://schemas.openxmlformats.org/officeDocument/2006/relationships/ctrlProp" Target="../ctrlProps/ctrlProp835.xml"/><Relationship Id="rId120" Type="http://schemas.openxmlformats.org/officeDocument/2006/relationships/ctrlProp" Target="../ctrlProps/ctrlProp851.xml"/><Relationship Id="rId7" Type="http://schemas.openxmlformats.org/officeDocument/2006/relationships/ctrlProp" Target="../ctrlProps/ctrlProp738.xml"/><Relationship Id="rId71" Type="http://schemas.openxmlformats.org/officeDocument/2006/relationships/ctrlProp" Target="../ctrlProps/ctrlProp802.xml"/><Relationship Id="rId92" Type="http://schemas.openxmlformats.org/officeDocument/2006/relationships/ctrlProp" Target="../ctrlProps/ctrlProp823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760.xml"/><Relationship Id="rId24" Type="http://schemas.openxmlformats.org/officeDocument/2006/relationships/ctrlProp" Target="../ctrlProps/ctrlProp755.xml"/><Relationship Id="rId40" Type="http://schemas.openxmlformats.org/officeDocument/2006/relationships/ctrlProp" Target="../ctrlProps/ctrlProp771.xml"/><Relationship Id="rId45" Type="http://schemas.openxmlformats.org/officeDocument/2006/relationships/ctrlProp" Target="../ctrlProps/ctrlProp776.xml"/><Relationship Id="rId66" Type="http://schemas.openxmlformats.org/officeDocument/2006/relationships/ctrlProp" Target="../ctrlProps/ctrlProp797.xml"/><Relationship Id="rId87" Type="http://schemas.openxmlformats.org/officeDocument/2006/relationships/ctrlProp" Target="../ctrlProps/ctrlProp818.xml"/><Relationship Id="rId110" Type="http://schemas.openxmlformats.org/officeDocument/2006/relationships/ctrlProp" Target="../ctrlProps/ctrlProp841.xml"/><Relationship Id="rId115" Type="http://schemas.openxmlformats.org/officeDocument/2006/relationships/ctrlProp" Target="../ctrlProps/ctrlProp846.xml"/><Relationship Id="rId61" Type="http://schemas.openxmlformats.org/officeDocument/2006/relationships/ctrlProp" Target="../ctrlProps/ctrlProp792.xml"/><Relationship Id="rId82" Type="http://schemas.openxmlformats.org/officeDocument/2006/relationships/ctrlProp" Target="../ctrlProps/ctrlProp813.xml"/><Relationship Id="rId19" Type="http://schemas.openxmlformats.org/officeDocument/2006/relationships/ctrlProp" Target="../ctrlProps/ctrlProp750.xml"/><Relationship Id="rId14" Type="http://schemas.openxmlformats.org/officeDocument/2006/relationships/ctrlProp" Target="../ctrlProps/ctrlProp745.xml"/><Relationship Id="rId30" Type="http://schemas.openxmlformats.org/officeDocument/2006/relationships/ctrlProp" Target="../ctrlProps/ctrlProp761.xml"/><Relationship Id="rId35" Type="http://schemas.openxmlformats.org/officeDocument/2006/relationships/ctrlProp" Target="../ctrlProps/ctrlProp766.xml"/><Relationship Id="rId56" Type="http://schemas.openxmlformats.org/officeDocument/2006/relationships/ctrlProp" Target="../ctrlProps/ctrlProp787.xml"/><Relationship Id="rId77" Type="http://schemas.openxmlformats.org/officeDocument/2006/relationships/ctrlProp" Target="../ctrlProps/ctrlProp808.xml"/><Relationship Id="rId100" Type="http://schemas.openxmlformats.org/officeDocument/2006/relationships/ctrlProp" Target="../ctrlProps/ctrlProp831.xml"/><Relationship Id="rId105" Type="http://schemas.openxmlformats.org/officeDocument/2006/relationships/ctrlProp" Target="../ctrlProps/ctrlProp836.xml"/><Relationship Id="rId8" Type="http://schemas.openxmlformats.org/officeDocument/2006/relationships/ctrlProp" Target="../ctrlProps/ctrlProp739.xml"/><Relationship Id="rId51" Type="http://schemas.openxmlformats.org/officeDocument/2006/relationships/ctrlProp" Target="../ctrlProps/ctrlProp782.xml"/><Relationship Id="rId72" Type="http://schemas.openxmlformats.org/officeDocument/2006/relationships/ctrlProp" Target="../ctrlProps/ctrlProp803.xml"/><Relationship Id="rId93" Type="http://schemas.openxmlformats.org/officeDocument/2006/relationships/ctrlProp" Target="../ctrlProps/ctrlProp824.xml"/><Relationship Id="rId98" Type="http://schemas.openxmlformats.org/officeDocument/2006/relationships/ctrlProp" Target="../ctrlProps/ctrlProp829.xml"/><Relationship Id="rId121" Type="http://schemas.openxmlformats.org/officeDocument/2006/relationships/ctrlProp" Target="../ctrlProps/ctrlProp852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756.xml"/><Relationship Id="rId46" Type="http://schemas.openxmlformats.org/officeDocument/2006/relationships/ctrlProp" Target="../ctrlProps/ctrlProp777.xml"/><Relationship Id="rId67" Type="http://schemas.openxmlformats.org/officeDocument/2006/relationships/ctrlProp" Target="../ctrlProps/ctrlProp798.xml"/><Relationship Id="rId116" Type="http://schemas.openxmlformats.org/officeDocument/2006/relationships/ctrlProp" Target="../ctrlProps/ctrlProp847.xml"/><Relationship Id="rId20" Type="http://schemas.openxmlformats.org/officeDocument/2006/relationships/ctrlProp" Target="../ctrlProps/ctrlProp751.xml"/><Relationship Id="rId41" Type="http://schemas.openxmlformats.org/officeDocument/2006/relationships/ctrlProp" Target="../ctrlProps/ctrlProp772.xml"/><Relationship Id="rId62" Type="http://schemas.openxmlformats.org/officeDocument/2006/relationships/ctrlProp" Target="../ctrlProps/ctrlProp793.xml"/><Relationship Id="rId83" Type="http://schemas.openxmlformats.org/officeDocument/2006/relationships/ctrlProp" Target="../ctrlProps/ctrlProp814.xml"/><Relationship Id="rId88" Type="http://schemas.openxmlformats.org/officeDocument/2006/relationships/ctrlProp" Target="../ctrlProps/ctrlProp819.xml"/><Relationship Id="rId111" Type="http://schemas.openxmlformats.org/officeDocument/2006/relationships/ctrlProp" Target="../ctrlProps/ctrlProp842.xml"/><Relationship Id="rId15" Type="http://schemas.openxmlformats.org/officeDocument/2006/relationships/ctrlProp" Target="../ctrlProps/ctrlProp746.xml"/><Relationship Id="rId36" Type="http://schemas.openxmlformats.org/officeDocument/2006/relationships/ctrlProp" Target="../ctrlProps/ctrlProp767.xml"/><Relationship Id="rId57" Type="http://schemas.openxmlformats.org/officeDocument/2006/relationships/ctrlProp" Target="../ctrlProps/ctrlProp788.xml"/><Relationship Id="rId106" Type="http://schemas.openxmlformats.org/officeDocument/2006/relationships/ctrlProp" Target="../ctrlProps/ctrlProp837.xml"/><Relationship Id="rId10" Type="http://schemas.openxmlformats.org/officeDocument/2006/relationships/ctrlProp" Target="../ctrlProps/ctrlProp741.xml"/><Relationship Id="rId31" Type="http://schemas.openxmlformats.org/officeDocument/2006/relationships/ctrlProp" Target="../ctrlProps/ctrlProp762.xml"/><Relationship Id="rId52" Type="http://schemas.openxmlformats.org/officeDocument/2006/relationships/ctrlProp" Target="../ctrlProps/ctrlProp783.xml"/><Relationship Id="rId73" Type="http://schemas.openxmlformats.org/officeDocument/2006/relationships/ctrlProp" Target="../ctrlProps/ctrlProp804.xml"/><Relationship Id="rId78" Type="http://schemas.openxmlformats.org/officeDocument/2006/relationships/ctrlProp" Target="../ctrlProps/ctrlProp809.xml"/><Relationship Id="rId94" Type="http://schemas.openxmlformats.org/officeDocument/2006/relationships/ctrlProp" Target="../ctrlProps/ctrlProp825.xml"/><Relationship Id="rId99" Type="http://schemas.openxmlformats.org/officeDocument/2006/relationships/ctrlProp" Target="../ctrlProps/ctrlProp830.xml"/><Relationship Id="rId101" Type="http://schemas.openxmlformats.org/officeDocument/2006/relationships/ctrlProp" Target="../ctrlProps/ctrlProp832.xml"/><Relationship Id="rId122" Type="http://schemas.openxmlformats.org/officeDocument/2006/relationships/ctrlProp" Target="../ctrlProps/ctrlProp853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5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69.xml"/><Relationship Id="rId21" Type="http://schemas.openxmlformats.org/officeDocument/2006/relationships/ctrlProp" Target="../ctrlProps/ctrlProp873.xml"/><Relationship Id="rId63" Type="http://schemas.openxmlformats.org/officeDocument/2006/relationships/ctrlProp" Target="../ctrlProps/ctrlProp915.xml"/><Relationship Id="rId159" Type="http://schemas.openxmlformats.org/officeDocument/2006/relationships/ctrlProp" Target="../ctrlProps/ctrlProp1011.xml"/><Relationship Id="rId170" Type="http://schemas.openxmlformats.org/officeDocument/2006/relationships/ctrlProp" Target="../ctrlProps/ctrlProp1022.xml"/><Relationship Id="rId226" Type="http://schemas.openxmlformats.org/officeDocument/2006/relationships/ctrlProp" Target="../ctrlProps/ctrlProp1078.xml"/><Relationship Id="rId268" Type="http://schemas.openxmlformats.org/officeDocument/2006/relationships/ctrlProp" Target="../ctrlProps/ctrlProp1120.xml"/><Relationship Id="rId32" Type="http://schemas.openxmlformats.org/officeDocument/2006/relationships/ctrlProp" Target="../ctrlProps/ctrlProp884.xml"/><Relationship Id="rId74" Type="http://schemas.openxmlformats.org/officeDocument/2006/relationships/ctrlProp" Target="../ctrlProps/ctrlProp926.xml"/><Relationship Id="rId128" Type="http://schemas.openxmlformats.org/officeDocument/2006/relationships/ctrlProp" Target="../ctrlProps/ctrlProp980.xml"/><Relationship Id="rId5" Type="http://schemas.openxmlformats.org/officeDocument/2006/relationships/ctrlProp" Target="../ctrlProps/ctrlProp857.xml"/><Relationship Id="rId181" Type="http://schemas.openxmlformats.org/officeDocument/2006/relationships/ctrlProp" Target="../ctrlProps/ctrlProp1033.xml"/><Relationship Id="rId237" Type="http://schemas.openxmlformats.org/officeDocument/2006/relationships/ctrlProp" Target="../ctrlProps/ctrlProp1089.xml"/><Relationship Id="rId279" Type="http://schemas.openxmlformats.org/officeDocument/2006/relationships/ctrlProp" Target="../ctrlProps/ctrlProp1131.xml"/><Relationship Id="rId22" Type="http://schemas.openxmlformats.org/officeDocument/2006/relationships/ctrlProp" Target="../ctrlProps/ctrlProp874.xml"/><Relationship Id="rId43" Type="http://schemas.openxmlformats.org/officeDocument/2006/relationships/ctrlProp" Target="../ctrlProps/ctrlProp895.xml"/><Relationship Id="rId64" Type="http://schemas.openxmlformats.org/officeDocument/2006/relationships/ctrlProp" Target="../ctrlProps/ctrlProp916.xml"/><Relationship Id="rId118" Type="http://schemas.openxmlformats.org/officeDocument/2006/relationships/ctrlProp" Target="../ctrlProps/ctrlProp970.xml"/><Relationship Id="rId139" Type="http://schemas.openxmlformats.org/officeDocument/2006/relationships/ctrlProp" Target="../ctrlProps/ctrlProp991.xml"/><Relationship Id="rId85" Type="http://schemas.openxmlformats.org/officeDocument/2006/relationships/ctrlProp" Target="../ctrlProps/ctrlProp937.xml"/><Relationship Id="rId150" Type="http://schemas.openxmlformats.org/officeDocument/2006/relationships/ctrlProp" Target="../ctrlProps/ctrlProp1002.xml"/><Relationship Id="rId171" Type="http://schemas.openxmlformats.org/officeDocument/2006/relationships/ctrlProp" Target="../ctrlProps/ctrlProp1023.xml"/><Relationship Id="rId192" Type="http://schemas.openxmlformats.org/officeDocument/2006/relationships/ctrlProp" Target="../ctrlProps/ctrlProp1044.xml"/><Relationship Id="rId206" Type="http://schemas.openxmlformats.org/officeDocument/2006/relationships/ctrlProp" Target="../ctrlProps/ctrlProp1058.xml"/><Relationship Id="rId227" Type="http://schemas.openxmlformats.org/officeDocument/2006/relationships/ctrlProp" Target="../ctrlProps/ctrlProp1079.xml"/><Relationship Id="rId248" Type="http://schemas.openxmlformats.org/officeDocument/2006/relationships/ctrlProp" Target="../ctrlProps/ctrlProp1100.xml"/><Relationship Id="rId269" Type="http://schemas.openxmlformats.org/officeDocument/2006/relationships/ctrlProp" Target="../ctrlProps/ctrlProp1121.xml"/><Relationship Id="rId12" Type="http://schemas.openxmlformats.org/officeDocument/2006/relationships/ctrlProp" Target="../ctrlProps/ctrlProp864.xml"/><Relationship Id="rId33" Type="http://schemas.openxmlformats.org/officeDocument/2006/relationships/ctrlProp" Target="../ctrlProps/ctrlProp885.xml"/><Relationship Id="rId108" Type="http://schemas.openxmlformats.org/officeDocument/2006/relationships/ctrlProp" Target="../ctrlProps/ctrlProp960.xml"/><Relationship Id="rId129" Type="http://schemas.openxmlformats.org/officeDocument/2006/relationships/ctrlProp" Target="../ctrlProps/ctrlProp981.xml"/><Relationship Id="rId280" Type="http://schemas.openxmlformats.org/officeDocument/2006/relationships/ctrlProp" Target="../ctrlProps/ctrlProp1132.xml"/><Relationship Id="rId54" Type="http://schemas.openxmlformats.org/officeDocument/2006/relationships/ctrlProp" Target="../ctrlProps/ctrlProp906.xml"/><Relationship Id="rId75" Type="http://schemas.openxmlformats.org/officeDocument/2006/relationships/ctrlProp" Target="../ctrlProps/ctrlProp927.xml"/><Relationship Id="rId96" Type="http://schemas.openxmlformats.org/officeDocument/2006/relationships/ctrlProp" Target="../ctrlProps/ctrlProp948.xml"/><Relationship Id="rId140" Type="http://schemas.openxmlformats.org/officeDocument/2006/relationships/ctrlProp" Target="../ctrlProps/ctrlProp992.xml"/><Relationship Id="rId161" Type="http://schemas.openxmlformats.org/officeDocument/2006/relationships/ctrlProp" Target="../ctrlProps/ctrlProp1013.xml"/><Relationship Id="rId182" Type="http://schemas.openxmlformats.org/officeDocument/2006/relationships/ctrlProp" Target="../ctrlProps/ctrlProp1034.xml"/><Relationship Id="rId217" Type="http://schemas.openxmlformats.org/officeDocument/2006/relationships/ctrlProp" Target="../ctrlProps/ctrlProp1069.xml"/><Relationship Id="rId6" Type="http://schemas.openxmlformats.org/officeDocument/2006/relationships/ctrlProp" Target="../ctrlProps/ctrlProp858.xml"/><Relationship Id="rId238" Type="http://schemas.openxmlformats.org/officeDocument/2006/relationships/ctrlProp" Target="../ctrlProps/ctrlProp1090.xml"/><Relationship Id="rId259" Type="http://schemas.openxmlformats.org/officeDocument/2006/relationships/ctrlProp" Target="../ctrlProps/ctrlProp1111.xml"/><Relationship Id="rId23" Type="http://schemas.openxmlformats.org/officeDocument/2006/relationships/ctrlProp" Target="../ctrlProps/ctrlProp875.xml"/><Relationship Id="rId119" Type="http://schemas.openxmlformats.org/officeDocument/2006/relationships/ctrlProp" Target="../ctrlProps/ctrlProp971.xml"/><Relationship Id="rId270" Type="http://schemas.openxmlformats.org/officeDocument/2006/relationships/ctrlProp" Target="../ctrlProps/ctrlProp1122.xml"/><Relationship Id="rId44" Type="http://schemas.openxmlformats.org/officeDocument/2006/relationships/ctrlProp" Target="../ctrlProps/ctrlProp896.xml"/><Relationship Id="rId65" Type="http://schemas.openxmlformats.org/officeDocument/2006/relationships/ctrlProp" Target="../ctrlProps/ctrlProp917.xml"/><Relationship Id="rId86" Type="http://schemas.openxmlformats.org/officeDocument/2006/relationships/ctrlProp" Target="../ctrlProps/ctrlProp938.xml"/><Relationship Id="rId130" Type="http://schemas.openxmlformats.org/officeDocument/2006/relationships/ctrlProp" Target="../ctrlProps/ctrlProp982.xml"/><Relationship Id="rId151" Type="http://schemas.openxmlformats.org/officeDocument/2006/relationships/ctrlProp" Target="../ctrlProps/ctrlProp1003.xml"/><Relationship Id="rId172" Type="http://schemas.openxmlformats.org/officeDocument/2006/relationships/ctrlProp" Target="../ctrlProps/ctrlProp1024.xml"/><Relationship Id="rId193" Type="http://schemas.openxmlformats.org/officeDocument/2006/relationships/ctrlProp" Target="../ctrlProps/ctrlProp1045.xml"/><Relationship Id="rId207" Type="http://schemas.openxmlformats.org/officeDocument/2006/relationships/ctrlProp" Target="../ctrlProps/ctrlProp1059.xml"/><Relationship Id="rId228" Type="http://schemas.openxmlformats.org/officeDocument/2006/relationships/ctrlProp" Target="../ctrlProps/ctrlProp1080.xml"/><Relationship Id="rId249" Type="http://schemas.openxmlformats.org/officeDocument/2006/relationships/ctrlProp" Target="../ctrlProps/ctrlProp1101.xml"/><Relationship Id="rId13" Type="http://schemas.openxmlformats.org/officeDocument/2006/relationships/ctrlProp" Target="../ctrlProps/ctrlProp865.xml"/><Relationship Id="rId109" Type="http://schemas.openxmlformats.org/officeDocument/2006/relationships/ctrlProp" Target="../ctrlProps/ctrlProp961.xml"/><Relationship Id="rId260" Type="http://schemas.openxmlformats.org/officeDocument/2006/relationships/ctrlProp" Target="../ctrlProps/ctrlProp1112.xml"/><Relationship Id="rId281" Type="http://schemas.openxmlformats.org/officeDocument/2006/relationships/ctrlProp" Target="../ctrlProps/ctrlProp1133.xml"/><Relationship Id="rId34" Type="http://schemas.openxmlformats.org/officeDocument/2006/relationships/ctrlProp" Target="../ctrlProps/ctrlProp886.xml"/><Relationship Id="rId55" Type="http://schemas.openxmlformats.org/officeDocument/2006/relationships/ctrlProp" Target="../ctrlProps/ctrlProp907.xml"/><Relationship Id="rId76" Type="http://schemas.openxmlformats.org/officeDocument/2006/relationships/ctrlProp" Target="../ctrlProps/ctrlProp928.xml"/><Relationship Id="rId97" Type="http://schemas.openxmlformats.org/officeDocument/2006/relationships/ctrlProp" Target="../ctrlProps/ctrlProp949.xml"/><Relationship Id="rId120" Type="http://schemas.openxmlformats.org/officeDocument/2006/relationships/ctrlProp" Target="../ctrlProps/ctrlProp972.xml"/><Relationship Id="rId141" Type="http://schemas.openxmlformats.org/officeDocument/2006/relationships/ctrlProp" Target="../ctrlProps/ctrlProp993.xml"/><Relationship Id="rId7" Type="http://schemas.openxmlformats.org/officeDocument/2006/relationships/ctrlProp" Target="../ctrlProps/ctrlProp859.xml"/><Relationship Id="rId162" Type="http://schemas.openxmlformats.org/officeDocument/2006/relationships/ctrlProp" Target="../ctrlProps/ctrlProp1014.xml"/><Relationship Id="rId183" Type="http://schemas.openxmlformats.org/officeDocument/2006/relationships/ctrlProp" Target="../ctrlProps/ctrlProp1035.xml"/><Relationship Id="rId218" Type="http://schemas.openxmlformats.org/officeDocument/2006/relationships/ctrlProp" Target="../ctrlProps/ctrlProp1070.xml"/><Relationship Id="rId239" Type="http://schemas.openxmlformats.org/officeDocument/2006/relationships/ctrlProp" Target="../ctrlProps/ctrlProp1091.xml"/><Relationship Id="rId250" Type="http://schemas.openxmlformats.org/officeDocument/2006/relationships/ctrlProp" Target="../ctrlProps/ctrlProp1102.xml"/><Relationship Id="rId271" Type="http://schemas.openxmlformats.org/officeDocument/2006/relationships/ctrlProp" Target="../ctrlProps/ctrlProp1123.xml"/><Relationship Id="rId24" Type="http://schemas.openxmlformats.org/officeDocument/2006/relationships/ctrlProp" Target="../ctrlProps/ctrlProp876.xml"/><Relationship Id="rId45" Type="http://schemas.openxmlformats.org/officeDocument/2006/relationships/ctrlProp" Target="../ctrlProps/ctrlProp897.xml"/><Relationship Id="rId66" Type="http://schemas.openxmlformats.org/officeDocument/2006/relationships/ctrlProp" Target="../ctrlProps/ctrlProp918.xml"/><Relationship Id="rId87" Type="http://schemas.openxmlformats.org/officeDocument/2006/relationships/ctrlProp" Target="../ctrlProps/ctrlProp939.xml"/><Relationship Id="rId110" Type="http://schemas.openxmlformats.org/officeDocument/2006/relationships/ctrlProp" Target="../ctrlProps/ctrlProp962.xml"/><Relationship Id="rId131" Type="http://schemas.openxmlformats.org/officeDocument/2006/relationships/ctrlProp" Target="../ctrlProps/ctrlProp983.xml"/><Relationship Id="rId152" Type="http://schemas.openxmlformats.org/officeDocument/2006/relationships/ctrlProp" Target="../ctrlProps/ctrlProp1004.xml"/><Relationship Id="rId173" Type="http://schemas.openxmlformats.org/officeDocument/2006/relationships/ctrlProp" Target="../ctrlProps/ctrlProp1025.xml"/><Relationship Id="rId194" Type="http://schemas.openxmlformats.org/officeDocument/2006/relationships/ctrlProp" Target="../ctrlProps/ctrlProp1046.xml"/><Relationship Id="rId208" Type="http://schemas.openxmlformats.org/officeDocument/2006/relationships/ctrlProp" Target="../ctrlProps/ctrlProp1060.xml"/><Relationship Id="rId229" Type="http://schemas.openxmlformats.org/officeDocument/2006/relationships/ctrlProp" Target="../ctrlProps/ctrlProp1081.xml"/><Relationship Id="rId240" Type="http://schemas.openxmlformats.org/officeDocument/2006/relationships/ctrlProp" Target="../ctrlProps/ctrlProp1092.xml"/><Relationship Id="rId261" Type="http://schemas.openxmlformats.org/officeDocument/2006/relationships/ctrlProp" Target="../ctrlProps/ctrlProp1113.xml"/><Relationship Id="rId14" Type="http://schemas.openxmlformats.org/officeDocument/2006/relationships/ctrlProp" Target="../ctrlProps/ctrlProp866.xml"/><Relationship Id="rId35" Type="http://schemas.openxmlformats.org/officeDocument/2006/relationships/ctrlProp" Target="../ctrlProps/ctrlProp887.xml"/><Relationship Id="rId56" Type="http://schemas.openxmlformats.org/officeDocument/2006/relationships/ctrlProp" Target="../ctrlProps/ctrlProp908.xml"/><Relationship Id="rId77" Type="http://schemas.openxmlformats.org/officeDocument/2006/relationships/ctrlProp" Target="../ctrlProps/ctrlProp929.xml"/><Relationship Id="rId100" Type="http://schemas.openxmlformats.org/officeDocument/2006/relationships/ctrlProp" Target="../ctrlProps/ctrlProp952.xml"/><Relationship Id="rId282" Type="http://schemas.openxmlformats.org/officeDocument/2006/relationships/ctrlProp" Target="../ctrlProps/ctrlProp1134.xml"/><Relationship Id="rId8" Type="http://schemas.openxmlformats.org/officeDocument/2006/relationships/ctrlProp" Target="../ctrlProps/ctrlProp860.xml"/><Relationship Id="rId98" Type="http://schemas.openxmlformats.org/officeDocument/2006/relationships/ctrlProp" Target="../ctrlProps/ctrlProp950.xml"/><Relationship Id="rId121" Type="http://schemas.openxmlformats.org/officeDocument/2006/relationships/ctrlProp" Target="../ctrlProps/ctrlProp973.xml"/><Relationship Id="rId142" Type="http://schemas.openxmlformats.org/officeDocument/2006/relationships/ctrlProp" Target="../ctrlProps/ctrlProp994.xml"/><Relationship Id="rId163" Type="http://schemas.openxmlformats.org/officeDocument/2006/relationships/ctrlProp" Target="../ctrlProps/ctrlProp1015.xml"/><Relationship Id="rId184" Type="http://schemas.openxmlformats.org/officeDocument/2006/relationships/ctrlProp" Target="../ctrlProps/ctrlProp1036.xml"/><Relationship Id="rId219" Type="http://schemas.openxmlformats.org/officeDocument/2006/relationships/ctrlProp" Target="../ctrlProps/ctrlProp1071.xml"/><Relationship Id="rId230" Type="http://schemas.openxmlformats.org/officeDocument/2006/relationships/ctrlProp" Target="../ctrlProps/ctrlProp1082.xml"/><Relationship Id="rId251" Type="http://schemas.openxmlformats.org/officeDocument/2006/relationships/ctrlProp" Target="../ctrlProps/ctrlProp1103.xml"/><Relationship Id="rId25" Type="http://schemas.openxmlformats.org/officeDocument/2006/relationships/ctrlProp" Target="../ctrlProps/ctrlProp877.xml"/><Relationship Id="rId46" Type="http://schemas.openxmlformats.org/officeDocument/2006/relationships/ctrlProp" Target="../ctrlProps/ctrlProp898.xml"/><Relationship Id="rId67" Type="http://schemas.openxmlformats.org/officeDocument/2006/relationships/ctrlProp" Target="../ctrlProps/ctrlProp919.xml"/><Relationship Id="rId272" Type="http://schemas.openxmlformats.org/officeDocument/2006/relationships/ctrlProp" Target="../ctrlProps/ctrlProp1124.xml"/><Relationship Id="rId88" Type="http://schemas.openxmlformats.org/officeDocument/2006/relationships/ctrlProp" Target="../ctrlProps/ctrlProp940.xml"/><Relationship Id="rId111" Type="http://schemas.openxmlformats.org/officeDocument/2006/relationships/ctrlProp" Target="../ctrlProps/ctrlProp963.xml"/><Relationship Id="rId132" Type="http://schemas.openxmlformats.org/officeDocument/2006/relationships/ctrlProp" Target="../ctrlProps/ctrlProp984.xml"/><Relationship Id="rId153" Type="http://schemas.openxmlformats.org/officeDocument/2006/relationships/ctrlProp" Target="../ctrlProps/ctrlProp1005.xml"/><Relationship Id="rId174" Type="http://schemas.openxmlformats.org/officeDocument/2006/relationships/ctrlProp" Target="../ctrlProps/ctrlProp1026.xml"/><Relationship Id="rId195" Type="http://schemas.openxmlformats.org/officeDocument/2006/relationships/ctrlProp" Target="../ctrlProps/ctrlProp1047.xml"/><Relationship Id="rId209" Type="http://schemas.openxmlformats.org/officeDocument/2006/relationships/ctrlProp" Target="../ctrlProps/ctrlProp1061.xml"/><Relationship Id="rId220" Type="http://schemas.openxmlformats.org/officeDocument/2006/relationships/ctrlProp" Target="../ctrlProps/ctrlProp1072.xml"/><Relationship Id="rId241" Type="http://schemas.openxmlformats.org/officeDocument/2006/relationships/ctrlProp" Target="../ctrlProps/ctrlProp1093.xml"/><Relationship Id="rId15" Type="http://schemas.openxmlformats.org/officeDocument/2006/relationships/ctrlProp" Target="../ctrlProps/ctrlProp867.xml"/><Relationship Id="rId36" Type="http://schemas.openxmlformats.org/officeDocument/2006/relationships/ctrlProp" Target="../ctrlProps/ctrlProp888.xml"/><Relationship Id="rId57" Type="http://schemas.openxmlformats.org/officeDocument/2006/relationships/ctrlProp" Target="../ctrlProps/ctrlProp909.xml"/><Relationship Id="rId262" Type="http://schemas.openxmlformats.org/officeDocument/2006/relationships/ctrlProp" Target="../ctrlProps/ctrlProp1114.xml"/><Relationship Id="rId283" Type="http://schemas.openxmlformats.org/officeDocument/2006/relationships/ctrlProp" Target="../ctrlProps/ctrlProp1135.xml"/><Relationship Id="rId78" Type="http://schemas.openxmlformats.org/officeDocument/2006/relationships/ctrlProp" Target="../ctrlProps/ctrlProp930.xml"/><Relationship Id="rId99" Type="http://schemas.openxmlformats.org/officeDocument/2006/relationships/ctrlProp" Target="../ctrlProps/ctrlProp951.xml"/><Relationship Id="rId101" Type="http://schemas.openxmlformats.org/officeDocument/2006/relationships/ctrlProp" Target="../ctrlProps/ctrlProp953.xml"/><Relationship Id="rId122" Type="http://schemas.openxmlformats.org/officeDocument/2006/relationships/ctrlProp" Target="../ctrlProps/ctrlProp974.xml"/><Relationship Id="rId143" Type="http://schemas.openxmlformats.org/officeDocument/2006/relationships/ctrlProp" Target="../ctrlProps/ctrlProp995.xml"/><Relationship Id="rId164" Type="http://schemas.openxmlformats.org/officeDocument/2006/relationships/ctrlProp" Target="../ctrlProps/ctrlProp1016.xml"/><Relationship Id="rId185" Type="http://schemas.openxmlformats.org/officeDocument/2006/relationships/ctrlProp" Target="../ctrlProps/ctrlProp1037.xml"/><Relationship Id="rId9" Type="http://schemas.openxmlformats.org/officeDocument/2006/relationships/ctrlProp" Target="../ctrlProps/ctrlProp861.xml"/><Relationship Id="rId210" Type="http://schemas.openxmlformats.org/officeDocument/2006/relationships/ctrlProp" Target="../ctrlProps/ctrlProp1062.xml"/><Relationship Id="rId26" Type="http://schemas.openxmlformats.org/officeDocument/2006/relationships/ctrlProp" Target="../ctrlProps/ctrlProp878.xml"/><Relationship Id="rId231" Type="http://schemas.openxmlformats.org/officeDocument/2006/relationships/ctrlProp" Target="../ctrlProps/ctrlProp1083.xml"/><Relationship Id="rId252" Type="http://schemas.openxmlformats.org/officeDocument/2006/relationships/ctrlProp" Target="../ctrlProps/ctrlProp1104.xml"/><Relationship Id="rId273" Type="http://schemas.openxmlformats.org/officeDocument/2006/relationships/ctrlProp" Target="../ctrlProps/ctrlProp1125.xml"/><Relationship Id="rId47" Type="http://schemas.openxmlformats.org/officeDocument/2006/relationships/ctrlProp" Target="../ctrlProps/ctrlProp899.xml"/><Relationship Id="rId68" Type="http://schemas.openxmlformats.org/officeDocument/2006/relationships/ctrlProp" Target="../ctrlProps/ctrlProp920.xml"/><Relationship Id="rId89" Type="http://schemas.openxmlformats.org/officeDocument/2006/relationships/ctrlProp" Target="../ctrlProps/ctrlProp941.xml"/><Relationship Id="rId112" Type="http://schemas.openxmlformats.org/officeDocument/2006/relationships/ctrlProp" Target="../ctrlProps/ctrlProp964.xml"/><Relationship Id="rId133" Type="http://schemas.openxmlformats.org/officeDocument/2006/relationships/ctrlProp" Target="../ctrlProps/ctrlProp985.xml"/><Relationship Id="rId154" Type="http://schemas.openxmlformats.org/officeDocument/2006/relationships/ctrlProp" Target="../ctrlProps/ctrlProp1006.xml"/><Relationship Id="rId175" Type="http://schemas.openxmlformats.org/officeDocument/2006/relationships/ctrlProp" Target="../ctrlProps/ctrlProp1027.xml"/><Relationship Id="rId196" Type="http://schemas.openxmlformats.org/officeDocument/2006/relationships/ctrlProp" Target="../ctrlProps/ctrlProp1048.xml"/><Relationship Id="rId200" Type="http://schemas.openxmlformats.org/officeDocument/2006/relationships/ctrlProp" Target="../ctrlProps/ctrlProp1052.xml"/><Relationship Id="rId16" Type="http://schemas.openxmlformats.org/officeDocument/2006/relationships/ctrlProp" Target="../ctrlProps/ctrlProp868.xml"/><Relationship Id="rId221" Type="http://schemas.openxmlformats.org/officeDocument/2006/relationships/ctrlProp" Target="../ctrlProps/ctrlProp1073.xml"/><Relationship Id="rId242" Type="http://schemas.openxmlformats.org/officeDocument/2006/relationships/ctrlProp" Target="../ctrlProps/ctrlProp1094.xml"/><Relationship Id="rId263" Type="http://schemas.openxmlformats.org/officeDocument/2006/relationships/ctrlProp" Target="../ctrlProps/ctrlProp1115.xml"/><Relationship Id="rId284" Type="http://schemas.openxmlformats.org/officeDocument/2006/relationships/ctrlProp" Target="../ctrlProps/ctrlProp1136.xml"/><Relationship Id="rId37" Type="http://schemas.openxmlformats.org/officeDocument/2006/relationships/ctrlProp" Target="../ctrlProps/ctrlProp889.xml"/><Relationship Id="rId58" Type="http://schemas.openxmlformats.org/officeDocument/2006/relationships/ctrlProp" Target="../ctrlProps/ctrlProp910.xml"/><Relationship Id="rId79" Type="http://schemas.openxmlformats.org/officeDocument/2006/relationships/ctrlProp" Target="../ctrlProps/ctrlProp931.xml"/><Relationship Id="rId102" Type="http://schemas.openxmlformats.org/officeDocument/2006/relationships/ctrlProp" Target="../ctrlProps/ctrlProp954.xml"/><Relationship Id="rId123" Type="http://schemas.openxmlformats.org/officeDocument/2006/relationships/ctrlProp" Target="../ctrlProps/ctrlProp975.xml"/><Relationship Id="rId144" Type="http://schemas.openxmlformats.org/officeDocument/2006/relationships/ctrlProp" Target="../ctrlProps/ctrlProp996.xml"/><Relationship Id="rId90" Type="http://schemas.openxmlformats.org/officeDocument/2006/relationships/ctrlProp" Target="../ctrlProps/ctrlProp942.xml"/><Relationship Id="rId165" Type="http://schemas.openxmlformats.org/officeDocument/2006/relationships/ctrlProp" Target="../ctrlProps/ctrlProp1017.xml"/><Relationship Id="rId186" Type="http://schemas.openxmlformats.org/officeDocument/2006/relationships/ctrlProp" Target="../ctrlProps/ctrlProp1038.xml"/><Relationship Id="rId211" Type="http://schemas.openxmlformats.org/officeDocument/2006/relationships/ctrlProp" Target="../ctrlProps/ctrlProp1063.xml"/><Relationship Id="rId232" Type="http://schemas.openxmlformats.org/officeDocument/2006/relationships/ctrlProp" Target="../ctrlProps/ctrlProp1084.xml"/><Relationship Id="rId253" Type="http://schemas.openxmlformats.org/officeDocument/2006/relationships/ctrlProp" Target="../ctrlProps/ctrlProp1105.xml"/><Relationship Id="rId274" Type="http://schemas.openxmlformats.org/officeDocument/2006/relationships/ctrlProp" Target="../ctrlProps/ctrlProp1126.xml"/><Relationship Id="rId27" Type="http://schemas.openxmlformats.org/officeDocument/2006/relationships/ctrlProp" Target="../ctrlProps/ctrlProp879.xml"/><Relationship Id="rId48" Type="http://schemas.openxmlformats.org/officeDocument/2006/relationships/ctrlProp" Target="../ctrlProps/ctrlProp900.xml"/><Relationship Id="rId69" Type="http://schemas.openxmlformats.org/officeDocument/2006/relationships/ctrlProp" Target="../ctrlProps/ctrlProp921.xml"/><Relationship Id="rId113" Type="http://schemas.openxmlformats.org/officeDocument/2006/relationships/ctrlProp" Target="../ctrlProps/ctrlProp965.xml"/><Relationship Id="rId134" Type="http://schemas.openxmlformats.org/officeDocument/2006/relationships/ctrlProp" Target="../ctrlProps/ctrlProp986.xml"/><Relationship Id="rId80" Type="http://schemas.openxmlformats.org/officeDocument/2006/relationships/ctrlProp" Target="../ctrlProps/ctrlProp932.xml"/><Relationship Id="rId155" Type="http://schemas.openxmlformats.org/officeDocument/2006/relationships/ctrlProp" Target="../ctrlProps/ctrlProp1007.xml"/><Relationship Id="rId176" Type="http://schemas.openxmlformats.org/officeDocument/2006/relationships/ctrlProp" Target="../ctrlProps/ctrlProp1028.xml"/><Relationship Id="rId197" Type="http://schemas.openxmlformats.org/officeDocument/2006/relationships/ctrlProp" Target="../ctrlProps/ctrlProp1049.xml"/><Relationship Id="rId201" Type="http://schemas.openxmlformats.org/officeDocument/2006/relationships/ctrlProp" Target="../ctrlProps/ctrlProp1053.xml"/><Relationship Id="rId222" Type="http://schemas.openxmlformats.org/officeDocument/2006/relationships/ctrlProp" Target="../ctrlProps/ctrlProp1074.xml"/><Relationship Id="rId243" Type="http://schemas.openxmlformats.org/officeDocument/2006/relationships/ctrlProp" Target="../ctrlProps/ctrlProp1095.xml"/><Relationship Id="rId264" Type="http://schemas.openxmlformats.org/officeDocument/2006/relationships/ctrlProp" Target="../ctrlProps/ctrlProp1116.xml"/><Relationship Id="rId17" Type="http://schemas.openxmlformats.org/officeDocument/2006/relationships/ctrlProp" Target="../ctrlProps/ctrlProp869.xml"/><Relationship Id="rId38" Type="http://schemas.openxmlformats.org/officeDocument/2006/relationships/ctrlProp" Target="../ctrlProps/ctrlProp890.xml"/><Relationship Id="rId59" Type="http://schemas.openxmlformats.org/officeDocument/2006/relationships/ctrlProp" Target="../ctrlProps/ctrlProp911.xml"/><Relationship Id="rId103" Type="http://schemas.openxmlformats.org/officeDocument/2006/relationships/ctrlProp" Target="../ctrlProps/ctrlProp955.xml"/><Relationship Id="rId124" Type="http://schemas.openxmlformats.org/officeDocument/2006/relationships/ctrlProp" Target="../ctrlProps/ctrlProp976.xml"/><Relationship Id="rId70" Type="http://schemas.openxmlformats.org/officeDocument/2006/relationships/ctrlProp" Target="../ctrlProps/ctrlProp922.xml"/><Relationship Id="rId91" Type="http://schemas.openxmlformats.org/officeDocument/2006/relationships/ctrlProp" Target="../ctrlProps/ctrlProp943.xml"/><Relationship Id="rId145" Type="http://schemas.openxmlformats.org/officeDocument/2006/relationships/ctrlProp" Target="../ctrlProps/ctrlProp997.xml"/><Relationship Id="rId166" Type="http://schemas.openxmlformats.org/officeDocument/2006/relationships/ctrlProp" Target="../ctrlProps/ctrlProp1018.xml"/><Relationship Id="rId187" Type="http://schemas.openxmlformats.org/officeDocument/2006/relationships/ctrlProp" Target="../ctrlProps/ctrlProp1039.xml"/><Relationship Id="rId1" Type="http://schemas.openxmlformats.org/officeDocument/2006/relationships/printerSettings" Target="../printerSettings/printerSettings60.bin"/><Relationship Id="rId212" Type="http://schemas.openxmlformats.org/officeDocument/2006/relationships/ctrlProp" Target="../ctrlProps/ctrlProp1064.xml"/><Relationship Id="rId233" Type="http://schemas.openxmlformats.org/officeDocument/2006/relationships/ctrlProp" Target="../ctrlProps/ctrlProp1085.xml"/><Relationship Id="rId254" Type="http://schemas.openxmlformats.org/officeDocument/2006/relationships/ctrlProp" Target="../ctrlProps/ctrlProp1106.xml"/><Relationship Id="rId28" Type="http://schemas.openxmlformats.org/officeDocument/2006/relationships/ctrlProp" Target="../ctrlProps/ctrlProp880.xml"/><Relationship Id="rId49" Type="http://schemas.openxmlformats.org/officeDocument/2006/relationships/ctrlProp" Target="../ctrlProps/ctrlProp901.xml"/><Relationship Id="rId114" Type="http://schemas.openxmlformats.org/officeDocument/2006/relationships/ctrlProp" Target="../ctrlProps/ctrlProp966.xml"/><Relationship Id="rId275" Type="http://schemas.openxmlformats.org/officeDocument/2006/relationships/ctrlProp" Target="../ctrlProps/ctrlProp1127.xml"/><Relationship Id="rId60" Type="http://schemas.openxmlformats.org/officeDocument/2006/relationships/ctrlProp" Target="../ctrlProps/ctrlProp912.xml"/><Relationship Id="rId81" Type="http://schemas.openxmlformats.org/officeDocument/2006/relationships/ctrlProp" Target="../ctrlProps/ctrlProp933.xml"/><Relationship Id="rId135" Type="http://schemas.openxmlformats.org/officeDocument/2006/relationships/ctrlProp" Target="../ctrlProps/ctrlProp987.xml"/><Relationship Id="rId156" Type="http://schemas.openxmlformats.org/officeDocument/2006/relationships/ctrlProp" Target="../ctrlProps/ctrlProp1008.xml"/><Relationship Id="rId177" Type="http://schemas.openxmlformats.org/officeDocument/2006/relationships/ctrlProp" Target="../ctrlProps/ctrlProp1029.xml"/><Relationship Id="rId198" Type="http://schemas.openxmlformats.org/officeDocument/2006/relationships/ctrlProp" Target="../ctrlProps/ctrlProp1050.xml"/><Relationship Id="rId202" Type="http://schemas.openxmlformats.org/officeDocument/2006/relationships/ctrlProp" Target="../ctrlProps/ctrlProp1054.xml"/><Relationship Id="rId223" Type="http://schemas.openxmlformats.org/officeDocument/2006/relationships/ctrlProp" Target="../ctrlProps/ctrlProp1075.xml"/><Relationship Id="rId244" Type="http://schemas.openxmlformats.org/officeDocument/2006/relationships/ctrlProp" Target="../ctrlProps/ctrlProp1096.xml"/><Relationship Id="rId18" Type="http://schemas.openxmlformats.org/officeDocument/2006/relationships/ctrlProp" Target="../ctrlProps/ctrlProp870.xml"/><Relationship Id="rId39" Type="http://schemas.openxmlformats.org/officeDocument/2006/relationships/ctrlProp" Target="../ctrlProps/ctrlProp891.xml"/><Relationship Id="rId265" Type="http://schemas.openxmlformats.org/officeDocument/2006/relationships/ctrlProp" Target="../ctrlProps/ctrlProp1117.xml"/><Relationship Id="rId50" Type="http://schemas.openxmlformats.org/officeDocument/2006/relationships/ctrlProp" Target="../ctrlProps/ctrlProp902.xml"/><Relationship Id="rId104" Type="http://schemas.openxmlformats.org/officeDocument/2006/relationships/ctrlProp" Target="../ctrlProps/ctrlProp956.xml"/><Relationship Id="rId125" Type="http://schemas.openxmlformats.org/officeDocument/2006/relationships/ctrlProp" Target="../ctrlProps/ctrlProp977.xml"/><Relationship Id="rId146" Type="http://schemas.openxmlformats.org/officeDocument/2006/relationships/ctrlProp" Target="../ctrlProps/ctrlProp998.xml"/><Relationship Id="rId167" Type="http://schemas.openxmlformats.org/officeDocument/2006/relationships/ctrlProp" Target="../ctrlProps/ctrlProp1019.xml"/><Relationship Id="rId188" Type="http://schemas.openxmlformats.org/officeDocument/2006/relationships/ctrlProp" Target="../ctrlProps/ctrlProp1040.xml"/><Relationship Id="rId71" Type="http://schemas.openxmlformats.org/officeDocument/2006/relationships/ctrlProp" Target="../ctrlProps/ctrlProp923.xml"/><Relationship Id="rId92" Type="http://schemas.openxmlformats.org/officeDocument/2006/relationships/ctrlProp" Target="../ctrlProps/ctrlProp944.xml"/><Relationship Id="rId213" Type="http://schemas.openxmlformats.org/officeDocument/2006/relationships/ctrlProp" Target="../ctrlProps/ctrlProp1065.xml"/><Relationship Id="rId234" Type="http://schemas.openxmlformats.org/officeDocument/2006/relationships/ctrlProp" Target="../ctrlProps/ctrlProp1086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881.xml"/><Relationship Id="rId255" Type="http://schemas.openxmlformats.org/officeDocument/2006/relationships/ctrlProp" Target="../ctrlProps/ctrlProp1107.xml"/><Relationship Id="rId276" Type="http://schemas.openxmlformats.org/officeDocument/2006/relationships/ctrlProp" Target="../ctrlProps/ctrlProp1128.xml"/><Relationship Id="rId40" Type="http://schemas.openxmlformats.org/officeDocument/2006/relationships/ctrlProp" Target="../ctrlProps/ctrlProp892.xml"/><Relationship Id="rId115" Type="http://schemas.openxmlformats.org/officeDocument/2006/relationships/ctrlProp" Target="../ctrlProps/ctrlProp967.xml"/><Relationship Id="rId136" Type="http://schemas.openxmlformats.org/officeDocument/2006/relationships/ctrlProp" Target="../ctrlProps/ctrlProp988.xml"/><Relationship Id="rId157" Type="http://schemas.openxmlformats.org/officeDocument/2006/relationships/ctrlProp" Target="../ctrlProps/ctrlProp1009.xml"/><Relationship Id="rId178" Type="http://schemas.openxmlformats.org/officeDocument/2006/relationships/ctrlProp" Target="../ctrlProps/ctrlProp1030.xml"/><Relationship Id="rId61" Type="http://schemas.openxmlformats.org/officeDocument/2006/relationships/ctrlProp" Target="../ctrlProps/ctrlProp913.xml"/><Relationship Id="rId82" Type="http://schemas.openxmlformats.org/officeDocument/2006/relationships/ctrlProp" Target="../ctrlProps/ctrlProp934.xml"/><Relationship Id="rId199" Type="http://schemas.openxmlformats.org/officeDocument/2006/relationships/ctrlProp" Target="../ctrlProps/ctrlProp1051.xml"/><Relationship Id="rId203" Type="http://schemas.openxmlformats.org/officeDocument/2006/relationships/ctrlProp" Target="../ctrlProps/ctrlProp1055.xml"/><Relationship Id="rId19" Type="http://schemas.openxmlformats.org/officeDocument/2006/relationships/ctrlProp" Target="../ctrlProps/ctrlProp871.xml"/><Relationship Id="rId224" Type="http://schemas.openxmlformats.org/officeDocument/2006/relationships/ctrlProp" Target="../ctrlProps/ctrlProp1076.xml"/><Relationship Id="rId245" Type="http://schemas.openxmlformats.org/officeDocument/2006/relationships/ctrlProp" Target="../ctrlProps/ctrlProp1097.xml"/><Relationship Id="rId266" Type="http://schemas.openxmlformats.org/officeDocument/2006/relationships/ctrlProp" Target="../ctrlProps/ctrlProp1118.xml"/><Relationship Id="rId30" Type="http://schemas.openxmlformats.org/officeDocument/2006/relationships/ctrlProp" Target="../ctrlProps/ctrlProp882.xml"/><Relationship Id="rId105" Type="http://schemas.openxmlformats.org/officeDocument/2006/relationships/ctrlProp" Target="../ctrlProps/ctrlProp957.xml"/><Relationship Id="rId126" Type="http://schemas.openxmlformats.org/officeDocument/2006/relationships/ctrlProp" Target="../ctrlProps/ctrlProp978.xml"/><Relationship Id="rId147" Type="http://schemas.openxmlformats.org/officeDocument/2006/relationships/ctrlProp" Target="../ctrlProps/ctrlProp999.xml"/><Relationship Id="rId168" Type="http://schemas.openxmlformats.org/officeDocument/2006/relationships/ctrlProp" Target="../ctrlProps/ctrlProp1020.xml"/><Relationship Id="rId51" Type="http://schemas.openxmlformats.org/officeDocument/2006/relationships/ctrlProp" Target="../ctrlProps/ctrlProp903.xml"/><Relationship Id="rId72" Type="http://schemas.openxmlformats.org/officeDocument/2006/relationships/ctrlProp" Target="../ctrlProps/ctrlProp924.xml"/><Relationship Id="rId93" Type="http://schemas.openxmlformats.org/officeDocument/2006/relationships/ctrlProp" Target="../ctrlProps/ctrlProp945.xml"/><Relationship Id="rId189" Type="http://schemas.openxmlformats.org/officeDocument/2006/relationships/ctrlProp" Target="../ctrlProps/ctrlProp1041.xml"/><Relationship Id="rId3" Type="http://schemas.openxmlformats.org/officeDocument/2006/relationships/vmlDrawing" Target="../drawings/vmlDrawing9.vml"/><Relationship Id="rId214" Type="http://schemas.openxmlformats.org/officeDocument/2006/relationships/ctrlProp" Target="../ctrlProps/ctrlProp1066.xml"/><Relationship Id="rId235" Type="http://schemas.openxmlformats.org/officeDocument/2006/relationships/ctrlProp" Target="../ctrlProps/ctrlProp1087.xml"/><Relationship Id="rId256" Type="http://schemas.openxmlformats.org/officeDocument/2006/relationships/ctrlProp" Target="../ctrlProps/ctrlProp1108.xml"/><Relationship Id="rId277" Type="http://schemas.openxmlformats.org/officeDocument/2006/relationships/ctrlProp" Target="../ctrlProps/ctrlProp1129.xml"/><Relationship Id="rId116" Type="http://schemas.openxmlformats.org/officeDocument/2006/relationships/ctrlProp" Target="../ctrlProps/ctrlProp968.xml"/><Relationship Id="rId137" Type="http://schemas.openxmlformats.org/officeDocument/2006/relationships/ctrlProp" Target="../ctrlProps/ctrlProp989.xml"/><Relationship Id="rId158" Type="http://schemas.openxmlformats.org/officeDocument/2006/relationships/ctrlProp" Target="../ctrlProps/ctrlProp1010.xml"/><Relationship Id="rId20" Type="http://schemas.openxmlformats.org/officeDocument/2006/relationships/ctrlProp" Target="../ctrlProps/ctrlProp872.xml"/><Relationship Id="rId41" Type="http://schemas.openxmlformats.org/officeDocument/2006/relationships/ctrlProp" Target="../ctrlProps/ctrlProp893.xml"/><Relationship Id="rId62" Type="http://schemas.openxmlformats.org/officeDocument/2006/relationships/ctrlProp" Target="../ctrlProps/ctrlProp914.xml"/><Relationship Id="rId83" Type="http://schemas.openxmlformats.org/officeDocument/2006/relationships/ctrlProp" Target="../ctrlProps/ctrlProp935.xml"/><Relationship Id="rId179" Type="http://schemas.openxmlformats.org/officeDocument/2006/relationships/ctrlProp" Target="../ctrlProps/ctrlProp1031.xml"/><Relationship Id="rId190" Type="http://schemas.openxmlformats.org/officeDocument/2006/relationships/ctrlProp" Target="../ctrlProps/ctrlProp1042.xml"/><Relationship Id="rId204" Type="http://schemas.openxmlformats.org/officeDocument/2006/relationships/ctrlProp" Target="../ctrlProps/ctrlProp1056.xml"/><Relationship Id="rId225" Type="http://schemas.openxmlformats.org/officeDocument/2006/relationships/ctrlProp" Target="../ctrlProps/ctrlProp1077.xml"/><Relationship Id="rId246" Type="http://schemas.openxmlformats.org/officeDocument/2006/relationships/ctrlProp" Target="../ctrlProps/ctrlProp1098.xml"/><Relationship Id="rId267" Type="http://schemas.openxmlformats.org/officeDocument/2006/relationships/ctrlProp" Target="../ctrlProps/ctrlProp1119.xml"/><Relationship Id="rId106" Type="http://schemas.openxmlformats.org/officeDocument/2006/relationships/ctrlProp" Target="../ctrlProps/ctrlProp958.xml"/><Relationship Id="rId127" Type="http://schemas.openxmlformats.org/officeDocument/2006/relationships/ctrlProp" Target="../ctrlProps/ctrlProp979.xml"/><Relationship Id="rId10" Type="http://schemas.openxmlformats.org/officeDocument/2006/relationships/ctrlProp" Target="../ctrlProps/ctrlProp862.xml"/><Relationship Id="rId31" Type="http://schemas.openxmlformats.org/officeDocument/2006/relationships/ctrlProp" Target="../ctrlProps/ctrlProp883.xml"/><Relationship Id="rId52" Type="http://schemas.openxmlformats.org/officeDocument/2006/relationships/ctrlProp" Target="../ctrlProps/ctrlProp904.xml"/><Relationship Id="rId73" Type="http://schemas.openxmlformats.org/officeDocument/2006/relationships/ctrlProp" Target="../ctrlProps/ctrlProp925.xml"/><Relationship Id="rId94" Type="http://schemas.openxmlformats.org/officeDocument/2006/relationships/ctrlProp" Target="../ctrlProps/ctrlProp946.xml"/><Relationship Id="rId148" Type="http://schemas.openxmlformats.org/officeDocument/2006/relationships/ctrlProp" Target="../ctrlProps/ctrlProp1000.xml"/><Relationship Id="rId169" Type="http://schemas.openxmlformats.org/officeDocument/2006/relationships/ctrlProp" Target="../ctrlProps/ctrlProp1021.xml"/><Relationship Id="rId4" Type="http://schemas.openxmlformats.org/officeDocument/2006/relationships/ctrlProp" Target="../ctrlProps/ctrlProp856.xml"/><Relationship Id="rId180" Type="http://schemas.openxmlformats.org/officeDocument/2006/relationships/ctrlProp" Target="../ctrlProps/ctrlProp1032.xml"/><Relationship Id="rId215" Type="http://schemas.openxmlformats.org/officeDocument/2006/relationships/ctrlProp" Target="../ctrlProps/ctrlProp1067.xml"/><Relationship Id="rId236" Type="http://schemas.openxmlformats.org/officeDocument/2006/relationships/ctrlProp" Target="../ctrlProps/ctrlProp1088.xml"/><Relationship Id="rId257" Type="http://schemas.openxmlformats.org/officeDocument/2006/relationships/ctrlProp" Target="../ctrlProps/ctrlProp1109.xml"/><Relationship Id="rId278" Type="http://schemas.openxmlformats.org/officeDocument/2006/relationships/ctrlProp" Target="../ctrlProps/ctrlProp1130.xml"/><Relationship Id="rId42" Type="http://schemas.openxmlformats.org/officeDocument/2006/relationships/ctrlProp" Target="../ctrlProps/ctrlProp894.xml"/><Relationship Id="rId84" Type="http://schemas.openxmlformats.org/officeDocument/2006/relationships/ctrlProp" Target="../ctrlProps/ctrlProp936.xml"/><Relationship Id="rId138" Type="http://schemas.openxmlformats.org/officeDocument/2006/relationships/ctrlProp" Target="../ctrlProps/ctrlProp990.xml"/><Relationship Id="rId191" Type="http://schemas.openxmlformats.org/officeDocument/2006/relationships/ctrlProp" Target="../ctrlProps/ctrlProp1043.xml"/><Relationship Id="rId205" Type="http://schemas.openxmlformats.org/officeDocument/2006/relationships/ctrlProp" Target="../ctrlProps/ctrlProp1057.xml"/><Relationship Id="rId247" Type="http://schemas.openxmlformats.org/officeDocument/2006/relationships/ctrlProp" Target="../ctrlProps/ctrlProp1099.xml"/><Relationship Id="rId107" Type="http://schemas.openxmlformats.org/officeDocument/2006/relationships/ctrlProp" Target="../ctrlProps/ctrlProp959.xml"/><Relationship Id="rId11" Type="http://schemas.openxmlformats.org/officeDocument/2006/relationships/ctrlProp" Target="../ctrlProps/ctrlProp863.xml"/><Relationship Id="rId53" Type="http://schemas.openxmlformats.org/officeDocument/2006/relationships/ctrlProp" Target="../ctrlProps/ctrlProp905.xml"/><Relationship Id="rId149" Type="http://schemas.openxmlformats.org/officeDocument/2006/relationships/ctrlProp" Target="../ctrlProps/ctrlProp1001.xml"/><Relationship Id="rId95" Type="http://schemas.openxmlformats.org/officeDocument/2006/relationships/ctrlProp" Target="../ctrlProps/ctrlProp947.xml"/><Relationship Id="rId160" Type="http://schemas.openxmlformats.org/officeDocument/2006/relationships/ctrlProp" Target="../ctrlProps/ctrlProp1012.xml"/><Relationship Id="rId216" Type="http://schemas.openxmlformats.org/officeDocument/2006/relationships/ctrlProp" Target="../ctrlProps/ctrlProp1068.xml"/><Relationship Id="rId258" Type="http://schemas.openxmlformats.org/officeDocument/2006/relationships/ctrlProp" Target="../ctrlProps/ctrlProp1110.xml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Global">
    <tabColor rgb="FFFF0000"/>
  </sheetPr>
  <dimension ref="A1"/>
  <sheetViews>
    <sheetView workbookViewId="0">
      <selection activeCell="A20" sqref="A20"/>
    </sheetView>
  </sheetViews>
  <sheetFormatPr defaultRowHeight="12.75" x14ac:dyDescent="0.2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lobGuiMedDisc">
    <tabColor rgb="FF7030A0"/>
  </sheetPr>
  <dimension ref="B1:BO40"/>
  <sheetViews>
    <sheetView zoomScaleNormal="100" workbookViewId="0">
      <pane ySplit="7" topLeftCell="A8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680" customWidth="1"/>
    <col min="2" max="3" width="5.42578125" style="680" customWidth="1"/>
    <col min="4" max="4" width="3.140625" style="680" customWidth="1"/>
    <col min="5" max="5" width="9.42578125" style="680" customWidth="1"/>
    <col min="6" max="6" width="9.140625" style="680"/>
    <col min="7" max="7" width="9.5703125" style="680" customWidth="1"/>
    <col min="8" max="8" width="9.140625" style="680"/>
    <col min="9" max="9" width="9.5703125" style="680" customWidth="1"/>
    <col min="10" max="10" width="10.7109375" style="680" customWidth="1"/>
    <col min="11" max="11" width="9.140625" style="680"/>
    <col min="12" max="12" width="9.28515625" style="680" customWidth="1"/>
    <col min="13" max="13" width="14.42578125" style="680" customWidth="1"/>
    <col min="14" max="14" width="5.28515625" style="680" customWidth="1"/>
    <col min="15" max="15" width="7" style="680" customWidth="1"/>
    <col min="16" max="16" width="11" style="680" customWidth="1"/>
    <col min="17" max="17" width="10.140625" style="680" customWidth="1"/>
    <col min="18" max="18" width="9.140625" style="680"/>
    <col min="19" max="19" width="30.7109375" style="680" customWidth="1"/>
    <col min="20" max="16384" width="9.140625" style="680"/>
  </cols>
  <sheetData>
    <row r="1" spans="2:67" s="672" customFormat="1" ht="17.25" customHeight="1" x14ac:dyDescent="0.2">
      <c r="B1" s="820"/>
      <c r="C1" s="820"/>
      <c r="D1" s="594"/>
      <c r="E1" s="594"/>
      <c r="F1" s="594"/>
      <c r="G1" s="594"/>
      <c r="H1" s="594"/>
      <c r="I1" s="594"/>
      <c r="J1" s="594"/>
      <c r="K1" s="594"/>
      <c r="L1" s="594"/>
      <c r="M1" s="594"/>
      <c r="N1" s="594"/>
      <c r="O1" s="594"/>
      <c r="P1" s="594"/>
      <c r="Q1" s="594"/>
      <c r="R1" s="594"/>
      <c r="S1" s="594"/>
    </row>
    <row r="2" spans="2:67" s="672" customFormat="1" ht="17.25" customHeight="1" x14ac:dyDescent="0.2">
      <c r="B2" s="594"/>
      <c r="C2" s="594"/>
      <c r="D2" s="594"/>
      <c r="E2" s="626" t="s">
        <v>304</v>
      </c>
      <c r="F2" s="594"/>
      <c r="G2" s="627">
        <f ca="1">Var_AfspraakDatum</f>
        <v>42750</v>
      </c>
      <c r="H2" s="628"/>
      <c r="I2" s="626" t="s">
        <v>305</v>
      </c>
      <c r="J2" s="626"/>
      <c r="K2" s="821" t="str">
        <f>PatDetails!B13</f>
        <v/>
      </c>
      <c r="L2" s="594"/>
      <c r="M2" s="594" t="str">
        <f>PatDetails!B21</f>
        <v>Gewicht:</v>
      </c>
      <c r="N2" s="626"/>
      <c r="O2" s="594"/>
      <c r="P2" s="594" t="s">
        <v>519</v>
      </c>
      <c r="Q2" s="822">
        <f>__1_Bed</f>
        <v>0</v>
      </c>
      <c r="R2" s="822"/>
      <c r="S2" s="594"/>
    </row>
    <row r="3" spans="2:67" s="672" customFormat="1" ht="17.25" customHeight="1" x14ac:dyDescent="0.2">
      <c r="B3" s="594"/>
      <c r="C3" s="594"/>
      <c r="D3" s="594"/>
      <c r="E3" s="626" t="s">
        <v>28</v>
      </c>
      <c r="F3" s="594"/>
      <c r="G3" s="631" t="str">
        <f>PatDetails!B19</f>
        <v/>
      </c>
      <c r="H3" s="631"/>
      <c r="I3" s="626" t="s">
        <v>312</v>
      </c>
      <c r="J3" s="626"/>
      <c r="K3" s="823" t="str">
        <f ca="1">PatDetails!B14</f>
        <v/>
      </c>
      <c r="L3" s="594"/>
      <c r="M3" s="594" t="str">
        <f>PatDetails!B22</f>
        <v>Lengte:</v>
      </c>
      <c r="N3" s="626"/>
      <c r="O3" s="594"/>
      <c r="P3" s="594"/>
      <c r="Q3" s="626"/>
      <c r="R3" s="594"/>
      <c r="S3" s="594"/>
    </row>
    <row r="4" spans="2:67" s="672" customFormat="1" ht="17.25" customHeight="1" x14ac:dyDescent="0.2">
      <c r="B4" s="594"/>
      <c r="C4" s="594"/>
      <c r="D4" s="594"/>
      <c r="E4" s="632" t="s">
        <v>4671</v>
      </c>
      <c r="F4" s="661"/>
      <c r="G4" s="626" t="str">
        <f>PatDetails!B15</f>
        <v/>
      </c>
      <c r="H4" s="628"/>
      <c r="I4" s="626" t="s">
        <v>275</v>
      </c>
      <c r="J4" s="626"/>
      <c r="K4" s="661" t="str">
        <f ca="1">PatDetails!B18</f>
        <v/>
      </c>
      <c r="L4" s="594"/>
      <c r="M4" s="594" t="str">
        <f>PatDetails!B23</f>
        <v>Lichamelijk oppervlak:</v>
      </c>
      <c r="N4" s="626"/>
      <c r="O4" s="594"/>
      <c r="P4" s="626"/>
      <c r="Q4" s="626"/>
      <c r="R4" s="661"/>
      <c r="S4" s="661"/>
    </row>
    <row r="5" spans="2:67" s="672" customFormat="1" ht="8.1" customHeight="1" x14ac:dyDescent="0.2">
      <c r="B5" s="594"/>
      <c r="C5" s="594"/>
      <c r="D5" s="594"/>
      <c r="E5" s="594"/>
      <c r="F5" s="594"/>
      <c r="G5" s="594"/>
      <c r="H5" s="594"/>
      <c r="I5" s="594"/>
      <c r="J5" s="594"/>
      <c r="K5" s="594"/>
      <c r="L5" s="594"/>
      <c r="M5" s="594"/>
      <c r="N5" s="594"/>
      <c r="O5" s="594"/>
      <c r="P5" s="594"/>
      <c r="Q5" s="594"/>
      <c r="R5" s="594"/>
      <c r="S5" s="594"/>
    </row>
    <row r="6" spans="2:67" s="677" customFormat="1" ht="8.1" customHeight="1" x14ac:dyDescent="0.2"/>
    <row r="7" spans="2:67" s="677" customFormat="1" ht="20.100000000000001" customHeight="1" x14ac:dyDescent="0.2">
      <c r="B7" s="839" t="s">
        <v>4669</v>
      </c>
      <c r="C7" s="839" t="s">
        <v>4465</v>
      </c>
      <c r="D7" s="668"/>
      <c r="E7" s="667" t="s">
        <v>331</v>
      </c>
      <c r="F7" s="666"/>
      <c r="G7" s="668"/>
      <c r="H7" s="668"/>
      <c r="I7" s="668" t="s">
        <v>210</v>
      </c>
      <c r="J7" s="668" t="s">
        <v>639</v>
      </c>
      <c r="K7" s="668"/>
      <c r="L7" s="668" t="s">
        <v>448</v>
      </c>
      <c r="M7" s="668" t="s">
        <v>332</v>
      </c>
      <c r="N7" s="668" t="s">
        <v>153</v>
      </c>
      <c r="O7" s="668"/>
      <c r="P7" s="668"/>
      <c r="Q7" s="668" t="s">
        <v>4469</v>
      </c>
      <c r="R7" s="668" t="s">
        <v>376</v>
      </c>
      <c r="S7" s="668" t="s">
        <v>244</v>
      </c>
    </row>
    <row r="8" spans="2:67" ht="8.1" customHeight="1" x14ac:dyDescent="0.2">
      <c r="B8" s="654"/>
      <c r="C8" s="654"/>
      <c r="D8" s="654"/>
      <c r="E8" s="678"/>
      <c r="F8" s="679"/>
      <c r="G8" s="654"/>
      <c r="H8" s="654"/>
      <c r="I8" s="654"/>
      <c r="J8" s="654"/>
      <c r="K8" s="654"/>
      <c r="L8" s="654"/>
      <c r="M8" s="654"/>
      <c r="N8" s="654"/>
      <c r="O8" s="654"/>
      <c r="P8" s="654"/>
      <c r="Q8" s="654"/>
      <c r="R8" s="654"/>
      <c r="S8" s="654"/>
      <c r="T8" s="640"/>
      <c r="U8" s="640"/>
      <c r="V8" s="640"/>
      <c r="W8" s="677"/>
      <c r="X8" s="677"/>
      <c r="Y8" s="677"/>
    </row>
    <row r="9" spans="2:67" ht="20.100000000000001" customHeight="1" thickBot="1" x14ac:dyDescent="0.25">
      <c r="B9" s="681" t="str">
        <f>GlobBerMedDisc!AL2</f>
        <v/>
      </c>
      <c r="C9" s="681" t="str">
        <f>GlobBerMedDisc!AO2</f>
        <v/>
      </c>
      <c r="D9" s="808">
        <v>1</v>
      </c>
      <c r="E9" s="864" t="str">
        <f>GlobBerMedDisc!AP2</f>
        <v/>
      </c>
      <c r="F9" s="865"/>
      <c r="G9" s="865"/>
      <c r="H9" s="865"/>
      <c r="I9" s="753" t="str">
        <f>GlobBerMedDisc!W2</f>
        <v/>
      </c>
      <c r="J9" s="754" t="str">
        <f>IF(GlobBerMedDisc!C2&gt;1,GlobBerMedDisc!H2,"")</f>
        <v/>
      </c>
      <c r="K9" s="755" t="str">
        <f>IF(GlobBerMedDisc!C2&gt;1,GlobBerMedDisc!F2,"")</f>
        <v/>
      </c>
      <c r="L9" s="756">
        <f>GlobBerMedDisc!L2</f>
        <v>0</v>
      </c>
      <c r="M9" s="756" t="str">
        <f>GlobBerMedDisc!AM2</f>
        <v/>
      </c>
      <c r="N9" s="756" t="str">
        <f>IF(AND(GlobBerMedDisc!C2&gt;1,GlobBerMedDisc!O2&gt;1),GlobBerMedDisc!N2,"")</f>
        <v/>
      </c>
      <c r="O9" s="756" t="str">
        <f>IF(AND(GlobBerMedDisc!C2&gt;1,N9&lt;&gt;0,GlobBerMedDisc!O2&gt;1),"ml","")</f>
        <v/>
      </c>
      <c r="P9" s="756"/>
      <c r="Q9" s="756" t="str">
        <f>GlobBerMedDisc!AN2</f>
        <v/>
      </c>
      <c r="R9" s="756" t="str">
        <f>IF(AND(N9&lt;&gt;"",GlobBerMedDisc!Q2&gt;0),GlobBerMedDisc!Q2&amp;" min","")</f>
        <v/>
      </c>
      <c r="S9" s="757">
        <f>GlobBerMedDisc!AB2</f>
        <v>0</v>
      </c>
      <c r="T9" s="677"/>
      <c r="U9" s="677"/>
      <c r="V9" s="677"/>
      <c r="W9" s="677"/>
      <c r="X9" s="677"/>
      <c r="Y9" s="677"/>
    </row>
    <row r="10" spans="2:67" ht="20.100000000000001" customHeight="1" thickTop="1" thickBot="1" x14ac:dyDescent="0.25">
      <c r="B10" s="681" t="str">
        <f>GlobBerMedDisc!AL3</f>
        <v/>
      </c>
      <c r="C10" s="681" t="str">
        <f>GlobBerMedDisc!AO3</f>
        <v/>
      </c>
      <c r="D10" s="808">
        <v>2</v>
      </c>
      <c r="E10" s="862" t="str">
        <f>GlobBerMedDisc!AP3</f>
        <v/>
      </c>
      <c r="F10" s="863"/>
      <c r="G10" s="863"/>
      <c r="H10" s="863"/>
      <c r="I10" s="758" t="str">
        <f>GlobBerMedDisc!W3</f>
        <v/>
      </c>
      <c r="J10" s="759" t="str">
        <f>IF(GlobBerMedDisc!C3&gt;1,GlobBerMedDisc!H3,"")</f>
        <v/>
      </c>
      <c r="K10" s="760" t="str">
        <f>IF(GlobBerMedDisc!C3&gt;1,GlobBerMedDisc!F3,"")</f>
        <v/>
      </c>
      <c r="L10" s="761">
        <f>GlobBerMedDisc!L3</f>
        <v>0</v>
      </c>
      <c r="M10" s="761" t="str">
        <f>GlobBerMedDisc!AM3</f>
        <v/>
      </c>
      <c r="N10" s="761" t="str">
        <f>IF(AND(GlobBerMedDisc!C3&gt;1,GlobBerMedDisc!O3&gt;1),GlobBerMedDisc!N3,"")</f>
        <v/>
      </c>
      <c r="O10" s="761" t="str">
        <f>IF(AND(GlobBerMedDisc!C3&gt;1,N10&lt;&gt;0,GlobBerMedDisc!O3&gt;1),"ml","")</f>
        <v/>
      </c>
      <c r="P10" s="761"/>
      <c r="Q10" s="761" t="str">
        <f>GlobBerMedDisc!AN3</f>
        <v/>
      </c>
      <c r="R10" s="761" t="str">
        <f>IF(AND(N10&lt;&gt;"",GlobBerMedDisc!Q3&gt;0),GlobBerMedDisc!Q3&amp;" min","")</f>
        <v/>
      </c>
      <c r="S10" s="762">
        <f>GlobBerMedDisc!AB3</f>
        <v>0</v>
      </c>
      <c r="T10" s="677"/>
      <c r="U10" s="677"/>
      <c r="V10" s="677"/>
      <c r="W10" s="677"/>
      <c r="X10" s="677"/>
      <c r="Y10" s="677"/>
    </row>
    <row r="11" spans="2:67" ht="20.100000000000001" customHeight="1" thickTop="1" thickBot="1" x14ac:dyDescent="0.25">
      <c r="B11" s="681" t="str">
        <f>GlobBerMedDisc!AL4</f>
        <v/>
      </c>
      <c r="C11" s="681" t="str">
        <f>GlobBerMedDisc!AO4</f>
        <v/>
      </c>
      <c r="D11" s="808">
        <v>3</v>
      </c>
      <c r="E11" s="862" t="str">
        <f>GlobBerMedDisc!AP4</f>
        <v/>
      </c>
      <c r="F11" s="863"/>
      <c r="G11" s="863"/>
      <c r="H11" s="863"/>
      <c r="I11" s="758" t="str">
        <f>GlobBerMedDisc!W4</f>
        <v/>
      </c>
      <c r="J11" s="759" t="str">
        <f>IF(GlobBerMedDisc!C4&gt;1,GlobBerMedDisc!H4,"")</f>
        <v/>
      </c>
      <c r="K11" s="760" t="str">
        <f>IF(GlobBerMedDisc!C4&gt;1,GlobBerMedDisc!F4,"")</f>
        <v/>
      </c>
      <c r="L11" s="761">
        <f>GlobBerMedDisc!L4</f>
        <v>0</v>
      </c>
      <c r="M11" s="761" t="str">
        <f>GlobBerMedDisc!AM4</f>
        <v/>
      </c>
      <c r="N11" s="761" t="str">
        <f>IF(AND(GlobBerMedDisc!C4&gt;1,GlobBerMedDisc!O4&gt;1),GlobBerMedDisc!N4,"")</f>
        <v/>
      </c>
      <c r="O11" s="761" t="str">
        <f>IF(AND(GlobBerMedDisc!C4&gt;1,N11&lt;&gt;0,GlobBerMedDisc!O4&gt;1),"ml","")</f>
        <v/>
      </c>
      <c r="P11" s="761"/>
      <c r="Q11" s="761" t="str">
        <f>GlobBerMedDisc!AN4</f>
        <v/>
      </c>
      <c r="R11" s="761" t="str">
        <f>IF(AND(N11&lt;&gt;"",GlobBerMedDisc!Q4&gt;0),GlobBerMedDisc!Q4&amp;" min","")</f>
        <v/>
      </c>
      <c r="S11" s="762">
        <f>GlobBerMedDisc!AB4</f>
        <v>0</v>
      </c>
      <c r="T11" s="677"/>
      <c r="U11" s="677"/>
      <c r="V11" s="677"/>
      <c r="W11" s="677"/>
      <c r="X11" s="677"/>
      <c r="Y11" s="677"/>
    </row>
    <row r="12" spans="2:67" ht="20.100000000000001" customHeight="1" thickTop="1" thickBot="1" x14ac:dyDescent="0.25">
      <c r="B12" s="681" t="str">
        <f>GlobBerMedDisc!AL5</f>
        <v/>
      </c>
      <c r="C12" s="681" t="str">
        <f>GlobBerMedDisc!AO5</f>
        <v/>
      </c>
      <c r="D12" s="808">
        <v>4</v>
      </c>
      <c r="E12" s="862" t="str">
        <f>GlobBerMedDisc!AP5</f>
        <v/>
      </c>
      <c r="F12" s="863"/>
      <c r="G12" s="863"/>
      <c r="H12" s="863"/>
      <c r="I12" s="758" t="str">
        <f>GlobBerMedDisc!W5</f>
        <v/>
      </c>
      <c r="J12" s="759" t="str">
        <f>IF(GlobBerMedDisc!C5&gt;1,GlobBerMedDisc!H5,"")</f>
        <v/>
      </c>
      <c r="K12" s="760" t="str">
        <f>IF(GlobBerMedDisc!C5&gt;1,GlobBerMedDisc!F5,"")</f>
        <v/>
      </c>
      <c r="L12" s="761">
        <f>GlobBerMedDisc!L5</f>
        <v>0</v>
      </c>
      <c r="M12" s="761" t="str">
        <f>GlobBerMedDisc!AM5</f>
        <v/>
      </c>
      <c r="N12" s="761" t="str">
        <f>IF(AND(GlobBerMedDisc!C5&gt;1,GlobBerMedDisc!O5&gt;1),GlobBerMedDisc!N5,"")</f>
        <v/>
      </c>
      <c r="O12" s="761" t="str">
        <f>IF(AND(GlobBerMedDisc!C5&gt;1,N12&lt;&gt;0,GlobBerMedDisc!O5&gt;1),"ml","")</f>
        <v/>
      </c>
      <c r="P12" s="761"/>
      <c r="Q12" s="761" t="str">
        <f>GlobBerMedDisc!AN5</f>
        <v/>
      </c>
      <c r="R12" s="761" t="str">
        <f>IF(AND(N12&lt;&gt;"",GlobBerMedDisc!Q5&gt;0),GlobBerMedDisc!Q5&amp;" min","")</f>
        <v/>
      </c>
      <c r="S12" s="762">
        <f>GlobBerMedDisc!AB5</f>
        <v>0</v>
      </c>
      <c r="T12" s="677"/>
      <c r="U12" s="677"/>
      <c r="V12" s="677"/>
      <c r="W12" s="677"/>
      <c r="X12" s="677"/>
      <c r="Y12" s="677"/>
    </row>
    <row r="13" spans="2:67" s="683" customFormat="1" ht="20.100000000000001" customHeight="1" thickTop="1" thickBot="1" x14ac:dyDescent="0.25">
      <c r="B13" s="681" t="str">
        <f>GlobBerMedDisc!AL6</f>
        <v/>
      </c>
      <c r="C13" s="681" t="str">
        <f>GlobBerMedDisc!AO6</f>
        <v/>
      </c>
      <c r="D13" s="808">
        <v>5</v>
      </c>
      <c r="E13" s="862" t="str">
        <f>GlobBerMedDisc!AP6</f>
        <v/>
      </c>
      <c r="F13" s="863"/>
      <c r="G13" s="863"/>
      <c r="H13" s="863"/>
      <c r="I13" s="758" t="str">
        <f>GlobBerMedDisc!W6</f>
        <v/>
      </c>
      <c r="J13" s="759" t="str">
        <f>IF(GlobBerMedDisc!C6&gt;1,GlobBerMedDisc!H6,"")</f>
        <v/>
      </c>
      <c r="K13" s="760" t="str">
        <f>IF(GlobBerMedDisc!C6&gt;1,GlobBerMedDisc!F6,"")</f>
        <v/>
      </c>
      <c r="L13" s="761">
        <f>GlobBerMedDisc!L6</f>
        <v>0</v>
      </c>
      <c r="M13" s="761" t="str">
        <f>GlobBerMedDisc!AM6</f>
        <v/>
      </c>
      <c r="N13" s="761" t="str">
        <f>IF(AND(GlobBerMedDisc!C6&gt;1,GlobBerMedDisc!O6&gt;1),GlobBerMedDisc!N6,"")</f>
        <v/>
      </c>
      <c r="O13" s="761" t="str">
        <f>IF(AND(GlobBerMedDisc!C6&gt;1,N13&lt;&gt;0,GlobBerMedDisc!O6&gt;1),"ml","")</f>
        <v/>
      </c>
      <c r="P13" s="761"/>
      <c r="Q13" s="761" t="str">
        <f>GlobBerMedDisc!AN6</f>
        <v/>
      </c>
      <c r="R13" s="761" t="str">
        <f>IF(AND(N13&lt;&gt;"",GlobBerMedDisc!Q6&gt;0),GlobBerMedDisc!Q6&amp;" min","")</f>
        <v/>
      </c>
      <c r="S13" s="762">
        <f>GlobBerMedDisc!AB6</f>
        <v>0</v>
      </c>
      <c r="T13" s="677"/>
      <c r="U13" s="677"/>
      <c r="V13" s="677"/>
      <c r="W13" s="677"/>
      <c r="X13" s="677"/>
      <c r="Y13" s="677"/>
      <c r="Z13" s="680"/>
      <c r="AA13" s="680"/>
      <c r="AB13" s="680"/>
      <c r="AC13" s="680"/>
      <c r="AD13" s="680"/>
      <c r="AE13" s="680"/>
      <c r="AF13" s="680"/>
      <c r="AG13" s="680"/>
      <c r="AH13" s="680"/>
      <c r="AI13" s="680"/>
      <c r="AJ13" s="680"/>
      <c r="AK13" s="680"/>
      <c r="AL13" s="680"/>
      <c r="AM13" s="680"/>
      <c r="AN13" s="680"/>
      <c r="AO13" s="680"/>
      <c r="AP13" s="680"/>
      <c r="AQ13" s="680"/>
      <c r="AR13" s="680"/>
      <c r="AS13" s="680"/>
      <c r="AT13" s="680"/>
      <c r="AU13" s="680"/>
      <c r="AV13" s="680"/>
      <c r="AW13" s="680"/>
      <c r="AX13" s="680"/>
      <c r="AY13" s="680"/>
      <c r="AZ13" s="680"/>
      <c r="BA13" s="680"/>
      <c r="BB13" s="680"/>
      <c r="BC13" s="680"/>
      <c r="BD13" s="680"/>
      <c r="BE13" s="680"/>
      <c r="BF13" s="680"/>
      <c r="BG13" s="680"/>
      <c r="BH13" s="680"/>
      <c r="BI13" s="680"/>
      <c r="BJ13" s="680"/>
      <c r="BK13" s="680"/>
      <c r="BL13" s="680"/>
      <c r="BM13" s="680"/>
      <c r="BN13" s="680"/>
      <c r="BO13" s="680"/>
    </row>
    <row r="14" spans="2:67" ht="20.100000000000001" customHeight="1" thickTop="1" thickBot="1" x14ac:dyDescent="0.25">
      <c r="B14" s="681" t="str">
        <f>GlobBerMedDisc!AL7</f>
        <v/>
      </c>
      <c r="C14" s="681" t="str">
        <f>GlobBerMedDisc!AO7</f>
        <v/>
      </c>
      <c r="D14" s="808">
        <v>6</v>
      </c>
      <c r="E14" s="862" t="str">
        <f>GlobBerMedDisc!AP7</f>
        <v/>
      </c>
      <c r="F14" s="863"/>
      <c r="G14" s="863"/>
      <c r="H14" s="863"/>
      <c r="I14" s="758" t="str">
        <f>GlobBerMedDisc!W7</f>
        <v/>
      </c>
      <c r="J14" s="759" t="str">
        <f>IF(GlobBerMedDisc!C7&gt;1,GlobBerMedDisc!H7,"")</f>
        <v/>
      </c>
      <c r="K14" s="760" t="str">
        <f>IF(GlobBerMedDisc!C7&gt;1,GlobBerMedDisc!F7,"")</f>
        <v/>
      </c>
      <c r="L14" s="761">
        <f>GlobBerMedDisc!L7</f>
        <v>0</v>
      </c>
      <c r="M14" s="761" t="str">
        <f>GlobBerMedDisc!AM7</f>
        <v/>
      </c>
      <c r="N14" s="761" t="str">
        <f>IF(AND(GlobBerMedDisc!C7&gt;1,GlobBerMedDisc!O7&gt;1),GlobBerMedDisc!N7,"")</f>
        <v/>
      </c>
      <c r="O14" s="761" t="str">
        <f>IF(AND(GlobBerMedDisc!C7&gt;1,N14&lt;&gt;0,GlobBerMedDisc!O7&gt;1),"ml","")</f>
        <v/>
      </c>
      <c r="P14" s="761"/>
      <c r="Q14" s="761" t="str">
        <f>GlobBerMedDisc!AN7</f>
        <v/>
      </c>
      <c r="R14" s="761" t="str">
        <f>IF(AND(N14&lt;&gt;"",GlobBerMedDisc!Q7&gt;0),GlobBerMedDisc!Q7&amp;" min","")</f>
        <v/>
      </c>
      <c r="S14" s="762">
        <f>GlobBerMedDisc!AB7</f>
        <v>0</v>
      </c>
      <c r="T14" s="677"/>
      <c r="U14" s="677"/>
      <c r="V14" s="677"/>
      <c r="W14" s="677"/>
      <c r="X14" s="677"/>
      <c r="Y14" s="677"/>
    </row>
    <row r="15" spans="2:67" ht="20.100000000000001" customHeight="1" thickTop="1" thickBot="1" x14ac:dyDescent="0.25">
      <c r="B15" s="681" t="str">
        <f>GlobBerMedDisc!AL8</f>
        <v/>
      </c>
      <c r="C15" s="681" t="str">
        <f>GlobBerMedDisc!AO8</f>
        <v/>
      </c>
      <c r="D15" s="808">
        <v>7</v>
      </c>
      <c r="E15" s="862" t="str">
        <f>GlobBerMedDisc!AP8</f>
        <v/>
      </c>
      <c r="F15" s="863"/>
      <c r="G15" s="863"/>
      <c r="H15" s="863"/>
      <c r="I15" s="758" t="str">
        <f>GlobBerMedDisc!W8</f>
        <v/>
      </c>
      <c r="J15" s="759" t="str">
        <f>IF(GlobBerMedDisc!C8&gt;1,GlobBerMedDisc!H8,"")</f>
        <v/>
      </c>
      <c r="K15" s="760" t="str">
        <f>IF(GlobBerMedDisc!C8&gt;1,GlobBerMedDisc!F8,"")</f>
        <v/>
      </c>
      <c r="L15" s="761">
        <f>GlobBerMedDisc!L8</f>
        <v>0</v>
      </c>
      <c r="M15" s="761" t="str">
        <f>GlobBerMedDisc!AM8</f>
        <v/>
      </c>
      <c r="N15" s="761" t="str">
        <f>IF(AND(GlobBerMedDisc!C8&gt;1,GlobBerMedDisc!O8&gt;1),GlobBerMedDisc!N8,"")</f>
        <v/>
      </c>
      <c r="O15" s="761" t="str">
        <f>IF(AND(GlobBerMedDisc!C8&gt;1,N15&lt;&gt;0,GlobBerMedDisc!O8&gt;1),"ml","")</f>
        <v/>
      </c>
      <c r="P15" s="761"/>
      <c r="Q15" s="761" t="str">
        <f>GlobBerMedDisc!AN8</f>
        <v/>
      </c>
      <c r="R15" s="761" t="str">
        <f>IF(AND(N15&lt;&gt;"",GlobBerMedDisc!Q8&gt;0),GlobBerMedDisc!Q8&amp;" min","")</f>
        <v/>
      </c>
      <c r="S15" s="762">
        <f>GlobBerMedDisc!AB8</f>
        <v>0</v>
      </c>
      <c r="T15" s="677"/>
      <c r="U15" s="677"/>
      <c r="V15" s="677"/>
      <c r="W15" s="677"/>
      <c r="X15" s="677"/>
      <c r="Y15" s="677"/>
    </row>
    <row r="16" spans="2:67" ht="20.100000000000001" customHeight="1" thickTop="1" thickBot="1" x14ac:dyDescent="0.25">
      <c r="B16" s="681" t="str">
        <f>GlobBerMedDisc!AL9</f>
        <v/>
      </c>
      <c r="C16" s="681" t="str">
        <f>GlobBerMedDisc!AO9</f>
        <v/>
      </c>
      <c r="D16" s="808">
        <v>8</v>
      </c>
      <c r="E16" s="862" t="str">
        <f>GlobBerMedDisc!AP9</f>
        <v/>
      </c>
      <c r="F16" s="863"/>
      <c r="G16" s="863"/>
      <c r="H16" s="863"/>
      <c r="I16" s="758" t="str">
        <f>GlobBerMedDisc!W9</f>
        <v/>
      </c>
      <c r="J16" s="759" t="str">
        <f>IF(GlobBerMedDisc!C9&gt;1,GlobBerMedDisc!H9,"")</f>
        <v/>
      </c>
      <c r="K16" s="760" t="str">
        <f>IF(GlobBerMedDisc!C9&gt;1,GlobBerMedDisc!F9,"")</f>
        <v/>
      </c>
      <c r="L16" s="761">
        <f>GlobBerMedDisc!L9</f>
        <v>0</v>
      </c>
      <c r="M16" s="761" t="str">
        <f>GlobBerMedDisc!AM9</f>
        <v/>
      </c>
      <c r="N16" s="761" t="str">
        <f>IF(AND(GlobBerMedDisc!C9&gt;1,GlobBerMedDisc!O9&gt;1),GlobBerMedDisc!N9,"")</f>
        <v/>
      </c>
      <c r="O16" s="761" t="str">
        <f>IF(AND(GlobBerMedDisc!C9&gt;1,N16&lt;&gt;0,GlobBerMedDisc!O9&gt;1),"ml","")</f>
        <v/>
      </c>
      <c r="P16" s="761"/>
      <c r="Q16" s="761" t="str">
        <f>GlobBerMedDisc!AN9</f>
        <v/>
      </c>
      <c r="R16" s="761" t="str">
        <f>IF(AND(N16&lt;&gt;"",GlobBerMedDisc!Q9&gt;0),GlobBerMedDisc!Q9&amp;" min","")</f>
        <v/>
      </c>
      <c r="S16" s="762">
        <f>GlobBerMedDisc!AB9</f>
        <v>0</v>
      </c>
      <c r="T16" s="677"/>
      <c r="U16" s="677"/>
      <c r="V16" s="677"/>
      <c r="W16" s="677"/>
      <c r="X16" s="677"/>
      <c r="Y16" s="677"/>
    </row>
    <row r="17" spans="2:25" ht="20.100000000000001" customHeight="1" thickTop="1" thickBot="1" x14ac:dyDescent="0.25">
      <c r="B17" s="681" t="str">
        <f>GlobBerMedDisc!AL10</f>
        <v/>
      </c>
      <c r="C17" s="681" t="str">
        <f>GlobBerMedDisc!AO10</f>
        <v/>
      </c>
      <c r="D17" s="808">
        <v>9</v>
      </c>
      <c r="E17" s="862" t="str">
        <f>GlobBerMedDisc!AP10</f>
        <v/>
      </c>
      <c r="F17" s="863"/>
      <c r="G17" s="863"/>
      <c r="H17" s="863"/>
      <c r="I17" s="758" t="str">
        <f>GlobBerMedDisc!W10</f>
        <v/>
      </c>
      <c r="J17" s="759" t="str">
        <f>IF(GlobBerMedDisc!C10&gt;1,GlobBerMedDisc!H10,"")</f>
        <v/>
      </c>
      <c r="K17" s="760" t="str">
        <f>IF(GlobBerMedDisc!C10&gt;1,GlobBerMedDisc!F10,"")</f>
        <v/>
      </c>
      <c r="L17" s="761">
        <f>GlobBerMedDisc!L10</f>
        <v>0</v>
      </c>
      <c r="M17" s="761" t="str">
        <f>GlobBerMedDisc!AM10</f>
        <v/>
      </c>
      <c r="N17" s="761" t="str">
        <f>IF(AND(GlobBerMedDisc!C10&gt;1,GlobBerMedDisc!O10&gt;1),GlobBerMedDisc!N10,"")</f>
        <v/>
      </c>
      <c r="O17" s="761" t="str">
        <f>IF(AND(GlobBerMedDisc!C10&gt;1,N17&lt;&gt;0,GlobBerMedDisc!O10&gt;1),"ml","")</f>
        <v/>
      </c>
      <c r="P17" s="761"/>
      <c r="Q17" s="761" t="str">
        <f>GlobBerMedDisc!AN10</f>
        <v/>
      </c>
      <c r="R17" s="761" t="str">
        <f>IF(AND(N17&lt;&gt;"",GlobBerMedDisc!Q10&gt;0),GlobBerMedDisc!Q10&amp;" min","")</f>
        <v/>
      </c>
      <c r="S17" s="762">
        <f>GlobBerMedDisc!AB10</f>
        <v>0</v>
      </c>
      <c r="T17" s="677"/>
      <c r="U17" s="677"/>
      <c r="V17" s="677"/>
      <c r="W17" s="677"/>
      <c r="X17" s="677"/>
      <c r="Y17" s="677"/>
    </row>
    <row r="18" spans="2:25" ht="20.100000000000001" customHeight="1" thickTop="1" thickBot="1" x14ac:dyDescent="0.25">
      <c r="B18" s="681" t="str">
        <f>GlobBerMedDisc!AL11</f>
        <v/>
      </c>
      <c r="C18" s="681" t="str">
        <f>GlobBerMedDisc!AO11</f>
        <v/>
      </c>
      <c r="D18" s="808">
        <v>10</v>
      </c>
      <c r="E18" s="862" t="str">
        <f>GlobBerMedDisc!AP11</f>
        <v/>
      </c>
      <c r="F18" s="863"/>
      <c r="G18" s="863"/>
      <c r="H18" s="863"/>
      <c r="I18" s="758" t="str">
        <f>GlobBerMedDisc!W11</f>
        <v/>
      </c>
      <c r="J18" s="759" t="str">
        <f>IF(GlobBerMedDisc!C11&gt;1,GlobBerMedDisc!H11,"")</f>
        <v/>
      </c>
      <c r="K18" s="760" t="str">
        <f>IF(GlobBerMedDisc!C11&gt;1,GlobBerMedDisc!F11,"")</f>
        <v/>
      </c>
      <c r="L18" s="761">
        <f>GlobBerMedDisc!L11</f>
        <v>0</v>
      </c>
      <c r="M18" s="761" t="str">
        <f>GlobBerMedDisc!AM11</f>
        <v/>
      </c>
      <c r="N18" s="761" t="str">
        <f>IF(AND(GlobBerMedDisc!C11&gt;1,GlobBerMedDisc!O11&gt;1),GlobBerMedDisc!N11,"")</f>
        <v/>
      </c>
      <c r="O18" s="761" t="str">
        <f>IF(AND(GlobBerMedDisc!C11&gt;1,N18&lt;&gt;0,GlobBerMedDisc!O11&gt;1),"ml","")</f>
        <v/>
      </c>
      <c r="P18" s="761"/>
      <c r="Q18" s="761" t="str">
        <f>GlobBerMedDisc!AN11</f>
        <v/>
      </c>
      <c r="R18" s="761" t="str">
        <f>IF(AND(N18&lt;&gt;"",GlobBerMedDisc!Q11&gt;0),GlobBerMedDisc!Q11&amp;" min","")</f>
        <v/>
      </c>
      <c r="S18" s="762">
        <f>GlobBerMedDisc!AB11</f>
        <v>0</v>
      </c>
      <c r="T18" s="677"/>
      <c r="U18" s="677"/>
      <c r="V18" s="677"/>
      <c r="W18" s="677"/>
      <c r="X18" s="677"/>
      <c r="Y18" s="677"/>
    </row>
    <row r="19" spans="2:25" ht="20.100000000000001" customHeight="1" thickTop="1" thickBot="1" x14ac:dyDescent="0.25">
      <c r="B19" s="681" t="str">
        <f>GlobBerMedDisc!AL12</f>
        <v/>
      </c>
      <c r="C19" s="681" t="str">
        <f>GlobBerMedDisc!AO12</f>
        <v/>
      </c>
      <c r="D19" s="808">
        <v>11</v>
      </c>
      <c r="E19" s="862" t="str">
        <f>GlobBerMedDisc!AP12</f>
        <v/>
      </c>
      <c r="F19" s="863"/>
      <c r="G19" s="863"/>
      <c r="H19" s="863"/>
      <c r="I19" s="758" t="str">
        <f>GlobBerMedDisc!W12</f>
        <v/>
      </c>
      <c r="J19" s="759" t="str">
        <f>IF(GlobBerMedDisc!C12&gt;1,GlobBerMedDisc!H12,"")</f>
        <v/>
      </c>
      <c r="K19" s="760" t="str">
        <f>IF(GlobBerMedDisc!C12&gt;1,GlobBerMedDisc!F12,"")</f>
        <v/>
      </c>
      <c r="L19" s="761">
        <f>GlobBerMedDisc!L12</f>
        <v>0</v>
      </c>
      <c r="M19" s="761" t="str">
        <f>GlobBerMedDisc!AM12</f>
        <v/>
      </c>
      <c r="N19" s="761" t="str">
        <f>IF(AND(GlobBerMedDisc!C12&gt;1,GlobBerMedDisc!O12&gt;1),GlobBerMedDisc!N12,"")</f>
        <v/>
      </c>
      <c r="O19" s="761" t="str">
        <f>IF(AND(GlobBerMedDisc!C12&gt;1,N19&lt;&gt;0,GlobBerMedDisc!O12&gt;1),"ml","")</f>
        <v/>
      </c>
      <c r="P19" s="761"/>
      <c r="Q19" s="761" t="str">
        <f>GlobBerMedDisc!AN12</f>
        <v/>
      </c>
      <c r="R19" s="761" t="str">
        <f>IF(AND(N19&lt;&gt;"",GlobBerMedDisc!Q12&gt;0),GlobBerMedDisc!Q12&amp;" min","")</f>
        <v/>
      </c>
      <c r="S19" s="762">
        <f>GlobBerMedDisc!AB12</f>
        <v>0</v>
      </c>
      <c r="T19" s="677"/>
      <c r="U19" s="677"/>
      <c r="V19" s="677"/>
      <c r="W19" s="677"/>
      <c r="X19" s="677"/>
      <c r="Y19" s="677"/>
    </row>
    <row r="20" spans="2:25" ht="20.100000000000001" customHeight="1" thickTop="1" thickBot="1" x14ac:dyDescent="0.25">
      <c r="B20" s="681" t="str">
        <f>GlobBerMedDisc!AL13</f>
        <v/>
      </c>
      <c r="C20" s="681" t="str">
        <f>GlobBerMedDisc!AO13</f>
        <v/>
      </c>
      <c r="D20" s="808">
        <v>12</v>
      </c>
      <c r="E20" s="862" t="str">
        <f>GlobBerMedDisc!AP13</f>
        <v/>
      </c>
      <c r="F20" s="863"/>
      <c r="G20" s="863"/>
      <c r="H20" s="863"/>
      <c r="I20" s="758" t="str">
        <f>GlobBerMedDisc!W13</f>
        <v/>
      </c>
      <c r="J20" s="759" t="str">
        <f>IF(GlobBerMedDisc!C13&gt;1,GlobBerMedDisc!H13,"")</f>
        <v/>
      </c>
      <c r="K20" s="760" t="str">
        <f>IF(GlobBerMedDisc!C13&gt;1,GlobBerMedDisc!F13,"")</f>
        <v/>
      </c>
      <c r="L20" s="761">
        <f>GlobBerMedDisc!L13</f>
        <v>0</v>
      </c>
      <c r="M20" s="761" t="str">
        <f>GlobBerMedDisc!AM13</f>
        <v/>
      </c>
      <c r="N20" s="761" t="str">
        <f>IF(AND(GlobBerMedDisc!C13&gt;1,GlobBerMedDisc!O13&gt;1),GlobBerMedDisc!N13,"")</f>
        <v/>
      </c>
      <c r="O20" s="761" t="str">
        <f>IF(AND(GlobBerMedDisc!C13&gt;1,N20&lt;&gt;0,GlobBerMedDisc!O13&gt;1),"ml","")</f>
        <v/>
      </c>
      <c r="P20" s="761"/>
      <c r="Q20" s="761" t="str">
        <f>GlobBerMedDisc!AN13</f>
        <v/>
      </c>
      <c r="R20" s="761" t="str">
        <f>IF(AND(N20&lt;&gt;"",GlobBerMedDisc!Q13&gt;0),GlobBerMedDisc!Q13&amp;" min","")</f>
        <v/>
      </c>
      <c r="S20" s="762">
        <f>GlobBerMedDisc!AB13</f>
        <v>0</v>
      </c>
      <c r="T20" s="677"/>
      <c r="U20" s="677"/>
      <c r="V20" s="677"/>
      <c r="W20" s="677"/>
      <c r="X20" s="677"/>
      <c r="Y20" s="677"/>
    </row>
    <row r="21" spans="2:25" ht="20.100000000000001" customHeight="1" thickTop="1" thickBot="1" x14ac:dyDescent="0.25">
      <c r="B21" s="681" t="str">
        <f>GlobBerMedDisc!AL14</f>
        <v/>
      </c>
      <c r="C21" s="681" t="str">
        <f>GlobBerMedDisc!AO14</f>
        <v/>
      </c>
      <c r="D21" s="808">
        <v>13</v>
      </c>
      <c r="E21" s="862" t="str">
        <f>GlobBerMedDisc!AP14</f>
        <v/>
      </c>
      <c r="F21" s="863"/>
      <c r="G21" s="863"/>
      <c r="H21" s="863"/>
      <c r="I21" s="758" t="str">
        <f>GlobBerMedDisc!W14</f>
        <v/>
      </c>
      <c r="J21" s="759" t="str">
        <f>IF(GlobBerMedDisc!C14&gt;1,GlobBerMedDisc!H14,"")</f>
        <v/>
      </c>
      <c r="K21" s="760" t="str">
        <f>IF(GlobBerMedDisc!C14&gt;1,GlobBerMedDisc!F14,"")</f>
        <v/>
      </c>
      <c r="L21" s="761">
        <f>GlobBerMedDisc!L14</f>
        <v>0</v>
      </c>
      <c r="M21" s="761" t="str">
        <f>GlobBerMedDisc!AM14</f>
        <v/>
      </c>
      <c r="N21" s="761" t="str">
        <f>IF(AND(GlobBerMedDisc!C14&gt;1,GlobBerMedDisc!O14&gt;1),GlobBerMedDisc!N14,"")</f>
        <v/>
      </c>
      <c r="O21" s="761" t="str">
        <f>IF(AND(GlobBerMedDisc!C14&gt;1,N21&lt;&gt;0,GlobBerMedDisc!O14&gt;1),"ml","")</f>
        <v/>
      </c>
      <c r="P21" s="761"/>
      <c r="Q21" s="761" t="str">
        <f>GlobBerMedDisc!AN14</f>
        <v/>
      </c>
      <c r="R21" s="761" t="str">
        <f>IF(AND(N21&lt;&gt;"",GlobBerMedDisc!Q14&gt;0),GlobBerMedDisc!Q14&amp;" min","")</f>
        <v/>
      </c>
      <c r="S21" s="762">
        <f>GlobBerMedDisc!AB14</f>
        <v>0</v>
      </c>
      <c r="T21" s="677"/>
      <c r="U21" s="677"/>
      <c r="V21" s="677"/>
      <c r="W21" s="677"/>
      <c r="X21" s="677"/>
      <c r="Y21" s="677"/>
    </row>
    <row r="22" spans="2:25" ht="20.100000000000001" customHeight="1" thickTop="1" thickBot="1" x14ac:dyDescent="0.25">
      <c r="B22" s="681" t="str">
        <f>GlobBerMedDisc!AL15</f>
        <v/>
      </c>
      <c r="C22" s="681" t="str">
        <f>GlobBerMedDisc!AO15</f>
        <v/>
      </c>
      <c r="D22" s="808">
        <v>14</v>
      </c>
      <c r="E22" s="862" t="str">
        <f>GlobBerMedDisc!AP15</f>
        <v/>
      </c>
      <c r="F22" s="863"/>
      <c r="G22" s="863"/>
      <c r="H22" s="863"/>
      <c r="I22" s="758" t="str">
        <f>GlobBerMedDisc!W15</f>
        <v/>
      </c>
      <c r="J22" s="759" t="str">
        <f>IF(GlobBerMedDisc!C15&gt;1,GlobBerMedDisc!H15,"")</f>
        <v/>
      </c>
      <c r="K22" s="760" t="str">
        <f>IF(GlobBerMedDisc!C15&gt;1,GlobBerMedDisc!F15,"")</f>
        <v/>
      </c>
      <c r="L22" s="761">
        <f>GlobBerMedDisc!L15</f>
        <v>0</v>
      </c>
      <c r="M22" s="761" t="str">
        <f>GlobBerMedDisc!AM15</f>
        <v/>
      </c>
      <c r="N22" s="761" t="str">
        <f>IF(AND(GlobBerMedDisc!C15&gt;1,GlobBerMedDisc!O15&gt;1),GlobBerMedDisc!N15,"")</f>
        <v/>
      </c>
      <c r="O22" s="761" t="str">
        <f>IF(AND(GlobBerMedDisc!C15&gt;1,N22&lt;&gt;0,GlobBerMedDisc!O15&gt;1),"ml","")</f>
        <v/>
      </c>
      <c r="P22" s="761"/>
      <c r="Q22" s="761" t="str">
        <f>GlobBerMedDisc!AN15</f>
        <v/>
      </c>
      <c r="R22" s="761" t="str">
        <f>IF(AND(N22&lt;&gt;"",GlobBerMedDisc!Q15&gt;0),GlobBerMedDisc!Q15&amp;" min","")</f>
        <v/>
      </c>
      <c r="S22" s="762">
        <f>GlobBerMedDisc!AB15</f>
        <v>0</v>
      </c>
      <c r="T22" s="677"/>
      <c r="U22" s="677"/>
      <c r="V22" s="677"/>
      <c r="W22" s="677"/>
      <c r="X22" s="677"/>
      <c r="Y22" s="677"/>
    </row>
    <row r="23" spans="2:25" ht="20.100000000000001" customHeight="1" thickTop="1" thickBot="1" x14ac:dyDescent="0.25">
      <c r="B23" s="681" t="str">
        <f>GlobBerMedDisc!AL16</f>
        <v/>
      </c>
      <c r="C23" s="681" t="str">
        <f>GlobBerMedDisc!AO16</f>
        <v/>
      </c>
      <c r="D23" s="808">
        <v>15</v>
      </c>
      <c r="E23" s="862" t="str">
        <f>GlobBerMedDisc!AP16</f>
        <v/>
      </c>
      <c r="F23" s="863"/>
      <c r="G23" s="863"/>
      <c r="H23" s="863"/>
      <c r="I23" s="758" t="str">
        <f>GlobBerMedDisc!W16</f>
        <v/>
      </c>
      <c r="J23" s="759" t="str">
        <f>IF(GlobBerMedDisc!C16&gt;1,GlobBerMedDisc!H16,"")</f>
        <v/>
      </c>
      <c r="K23" s="760" t="str">
        <f>IF(GlobBerMedDisc!C16&gt;1,GlobBerMedDisc!F16,"")</f>
        <v/>
      </c>
      <c r="L23" s="761">
        <f>GlobBerMedDisc!L16</f>
        <v>0</v>
      </c>
      <c r="M23" s="761" t="str">
        <f>GlobBerMedDisc!AM16</f>
        <v/>
      </c>
      <c r="N23" s="761" t="str">
        <f>IF(AND(GlobBerMedDisc!C16&gt;1,GlobBerMedDisc!O16&gt;1),GlobBerMedDisc!N16,"")</f>
        <v/>
      </c>
      <c r="O23" s="761" t="str">
        <f>IF(AND(GlobBerMedDisc!C16&gt;1,N23&lt;&gt;0,GlobBerMedDisc!O16&gt;1),"ml","")</f>
        <v/>
      </c>
      <c r="P23" s="761"/>
      <c r="Q23" s="761" t="str">
        <f>GlobBerMedDisc!AN16</f>
        <v/>
      </c>
      <c r="R23" s="761" t="str">
        <f>IF(AND(N23&lt;&gt;"",GlobBerMedDisc!Q16&gt;0),GlobBerMedDisc!Q16&amp;" min","")</f>
        <v/>
      </c>
      <c r="S23" s="762">
        <f>GlobBerMedDisc!AB16</f>
        <v>0</v>
      </c>
      <c r="T23" s="677"/>
      <c r="U23" s="677"/>
      <c r="V23" s="677"/>
      <c r="W23" s="677"/>
      <c r="X23" s="677"/>
      <c r="Y23" s="677"/>
    </row>
    <row r="24" spans="2:25" ht="20.100000000000001" customHeight="1" thickTop="1" thickBot="1" x14ac:dyDescent="0.25">
      <c r="B24" s="681" t="str">
        <f>GlobBerMedDisc!AL17</f>
        <v/>
      </c>
      <c r="C24" s="681" t="str">
        <f>GlobBerMedDisc!AO17</f>
        <v/>
      </c>
      <c r="D24" s="808">
        <v>16</v>
      </c>
      <c r="E24" s="862" t="str">
        <f>GlobBerMedDisc!AP17</f>
        <v/>
      </c>
      <c r="F24" s="863"/>
      <c r="G24" s="863"/>
      <c r="H24" s="863"/>
      <c r="I24" s="758" t="str">
        <f>GlobBerMedDisc!W17</f>
        <v/>
      </c>
      <c r="J24" s="759" t="str">
        <f>IF(GlobBerMedDisc!C17&gt;1,GlobBerMedDisc!H17,"")</f>
        <v/>
      </c>
      <c r="K24" s="760" t="str">
        <f>IF(GlobBerMedDisc!C17&gt;1,GlobBerMedDisc!F17,"")</f>
        <v/>
      </c>
      <c r="L24" s="761">
        <f>GlobBerMedDisc!L17</f>
        <v>0</v>
      </c>
      <c r="M24" s="761" t="str">
        <f>GlobBerMedDisc!AM17</f>
        <v/>
      </c>
      <c r="N24" s="761" t="str">
        <f>IF(AND(GlobBerMedDisc!C17&gt;1,GlobBerMedDisc!O17&gt;1),GlobBerMedDisc!N17,"")</f>
        <v/>
      </c>
      <c r="O24" s="761" t="str">
        <f>IF(AND(GlobBerMedDisc!C17&gt;1,N24&lt;&gt;0,GlobBerMedDisc!O17&gt;1),"ml","")</f>
        <v/>
      </c>
      <c r="P24" s="761"/>
      <c r="Q24" s="761" t="str">
        <f>GlobBerMedDisc!AN17</f>
        <v/>
      </c>
      <c r="R24" s="761" t="str">
        <f>IF(AND(N24&lt;&gt;"",GlobBerMedDisc!Q17&gt;0),GlobBerMedDisc!Q17&amp;" min","")</f>
        <v/>
      </c>
      <c r="S24" s="762">
        <f>GlobBerMedDisc!AB17</f>
        <v>0</v>
      </c>
      <c r="T24" s="677"/>
      <c r="U24" s="677"/>
      <c r="V24" s="677"/>
      <c r="W24" s="677"/>
      <c r="X24" s="677"/>
      <c r="Y24" s="677"/>
    </row>
    <row r="25" spans="2:25" ht="20.100000000000001" customHeight="1" thickTop="1" thickBot="1" x14ac:dyDescent="0.25">
      <c r="B25" s="681" t="str">
        <f>GlobBerMedDisc!AL18</f>
        <v/>
      </c>
      <c r="C25" s="681" t="str">
        <f>GlobBerMedDisc!AO18</f>
        <v/>
      </c>
      <c r="D25" s="808">
        <v>17</v>
      </c>
      <c r="E25" s="862" t="str">
        <f>GlobBerMedDisc!AP18</f>
        <v/>
      </c>
      <c r="F25" s="863"/>
      <c r="G25" s="863"/>
      <c r="H25" s="863"/>
      <c r="I25" s="758" t="str">
        <f>GlobBerMedDisc!W18</f>
        <v/>
      </c>
      <c r="J25" s="759" t="str">
        <f>IF(GlobBerMedDisc!C18&gt;1,GlobBerMedDisc!H18,"")</f>
        <v/>
      </c>
      <c r="K25" s="760" t="str">
        <f>IF(GlobBerMedDisc!C18&gt;1,GlobBerMedDisc!F18,"")</f>
        <v/>
      </c>
      <c r="L25" s="761">
        <f>GlobBerMedDisc!L18</f>
        <v>0</v>
      </c>
      <c r="M25" s="761" t="str">
        <f>GlobBerMedDisc!AM18</f>
        <v/>
      </c>
      <c r="N25" s="761" t="str">
        <f>IF(AND(GlobBerMedDisc!C18&gt;1,GlobBerMedDisc!O18&gt;1),GlobBerMedDisc!N18,"")</f>
        <v/>
      </c>
      <c r="O25" s="761" t="str">
        <f>IF(AND(GlobBerMedDisc!C18&gt;1,N25&lt;&gt;0,GlobBerMedDisc!O18&gt;1),"ml","")</f>
        <v/>
      </c>
      <c r="P25" s="761"/>
      <c r="Q25" s="761" t="str">
        <f>GlobBerMedDisc!AN18</f>
        <v/>
      </c>
      <c r="R25" s="761" t="str">
        <f>IF(AND(N25&lt;&gt;"",GlobBerMedDisc!Q18&gt;0),GlobBerMedDisc!Q18&amp;" min","")</f>
        <v/>
      </c>
      <c r="S25" s="762">
        <f>GlobBerMedDisc!AB18</f>
        <v>0</v>
      </c>
      <c r="T25" s="677"/>
      <c r="U25" s="677"/>
      <c r="V25" s="677"/>
      <c r="W25" s="677"/>
      <c r="X25" s="677"/>
      <c r="Y25" s="677"/>
    </row>
    <row r="26" spans="2:25" ht="20.100000000000001" customHeight="1" thickTop="1" thickBot="1" x14ac:dyDescent="0.25">
      <c r="B26" s="681" t="str">
        <f>GlobBerMedDisc!AL19</f>
        <v/>
      </c>
      <c r="C26" s="681" t="str">
        <f>GlobBerMedDisc!AO19</f>
        <v/>
      </c>
      <c r="D26" s="808">
        <v>18</v>
      </c>
      <c r="E26" s="862" t="str">
        <f>GlobBerMedDisc!AP19</f>
        <v/>
      </c>
      <c r="F26" s="863"/>
      <c r="G26" s="863"/>
      <c r="H26" s="863"/>
      <c r="I26" s="758" t="str">
        <f>GlobBerMedDisc!W19</f>
        <v/>
      </c>
      <c r="J26" s="759" t="str">
        <f>IF(GlobBerMedDisc!C19&gt;1,GlobBerMedDisc!H19,"")</f>
        <v/>
      </c>
      <c r="K26" s="760" t="str">
        <f>IF(GlobBerMedDisc!C19&gt;1,GlobBerMedDisc!F19,"")</f>
        <v/>
      </c>
      <c r="L26" s="761">
        <f>GlobBerMedDisc!L19</f>
        <v>0</v>
      </c>
      <c r="M26" s="761" t="str">
        <f>GlobBerMedDisc!AM19</f>
        <v/>
      </c>
      <c r="N26" s="761" t="str">
        <f>IF(AND(GlobBerMedDisc!C19&gt;1,GlobBerMedDisc!O19&gt;1),GlobBerMedDisc!N19,"")</f>
        <v/>
      </c>
      <c r="O26" s="761" t="str">
        <f>IF(AND(GlobBerMedDisc!C19&gt;1,N26&lt;&gt;0,GlobBerMedDisc!O19&gt;1),"ml","")</f>
        <v/>
      </c>
      <c r="P26" s="761"/>
      <c r="Q26" s="761" t="str">
        <f>GlobBerMedDisc!AN19</f>
        <v/>
      </c>
      <c r="R26" s="761" t="str">
        <f>IF(AND(N26&lt;&gt;"",GlobBerMedDisc!Q19&gt;0),GlobBerMedDisc!Q19&amp;" min","")</f>
        <v/>
      </c>
      <c r="S26" s="762">
        <f>GlobBerMedDisc!AB19</f>
        <v>0</v>
      </c>
      <c r="T26" s="677"/>
      <c r="U26" s="677"/>
      <c r="V26" s="677"/>
      <c r="W26" s="677"/>
      <c r="X26" s="677"/>
      <c r="Y26" s="677"/>
    </row>
    <row r="27" spans="2:25" ht="20.100000000000001" customHeight="1" thickTop="1" thickBot="1" x14ac:dyDescent="0.25">
      <c r="B27" s="681" t="str">
        <f>GlobBerMedDisc!AL20</f>
        <v/>
      </c>
      <c r="C27" s="681" t="str">
        <f>GlobBerMedDisc!AO20</f>
        <v/>
      </c>
      <c r="D27" s="808">
        <v>19</v>
      </c>
      <c r="E27" s="862" t="str">
        <f>GlobBerMedDisc!AP20</f>
        <v/>
      </c>
      <c r="F27" s="863"/>
      <c r="G27" s="863"/>
      <c r="H27" s="863"/>
      <c r="I27" s="758" t="str">
        <f>GlobBerMedDisc!W20</f>
        <v/>
      </c>
      <c r="J27" s="759" t="str">
        <f>IF(GlobBerMedDisc!C20&gt;1,GlobBerMedDisc!H20,"")</f>
        <v/>
      </c>
      <c r="K27" s="760" t="str">
        <f>IF(GlobBerMedDisc!C20&gt;1,GlobBerMedDisc!F20,"")</f>
        <v/>
      </c>
      <c r="L27" s="761">
        <f>GlobBerMedDisc!L20</f>
        <v>0</v>
      </c>
      <c r="M27" s="761" t="str">
        <f>GlobBerMedDisc!AM20</f>
        <v/>
      </c>
      <c r="N27" s="761" t="str">
        <f>IF(AND(GlobBerMedDisc!C20&gt;1,GlobBerMedDisc!O20&gt;1),GlobBerMedDisc!N20,"")</f>
        <v/>
      </c>
      <c r="O27" s="761" t="str">
        <f>IF(AND(GlobBerMedDisc!C20&gt;1,N27&lt;&gt;0,GlobBerMedDisc!O20&gt;1),"ml","")</f>
        <v/>
      </c>
      <c r="P27" s="761"/>
      <c r="Q27" s="761" t="str">
        <f>GlobBerMedDisc!AN20</f>
        <v/>
      </c>
      <c r="R27" s="761" t="str">
        <f>IF(AND(N27&lt;&gt;"",GlobBerMedDisc!Q20&gt;0),GlobBerMedDisc!Q20&amp;" min","")</f>
        <v/>
      </c>
      <c r="S27" s="762">
        <f>GlobBerMedDisc!AB20</f>
        <v>0</v>
      </c>
      <c r="T27" s="677"/>
      <c r="U27" s="677"/>
      <c r="V27" s="677"/>
      <c r="W27" s="677"/>
      <c r="X27" s="677"/>
      <c r="Y27" s="677"/>
    </row>
    <row r="28" spans="2:25" ht="20.100000000000001" customHeight="1" thickTop="1" thickBot="1" x14ac:dyDescent="0.25">
      <c r="B28" s="681" t="str">
        <f>GlobBerMedDisc!AL21</f>
        <v/>
      </c>
      <c r="C28" s="681" t="str">
        <f>GlobBerMedDisc!AO21</f>
        <v/>
      </c>
      <c r="D28" s="808">
        <v>20</v>
      </c>
      <c r="E28" s="862" t="str">
        <f>GlobBerMedDisc!AP21</f>
        <v/>
      </c>
      <c r="F28" s="863"/>
      <c r="G28" s="863"/>
      <c r="H28" s="863"/>
      <c r="I28" s="758" t="str">
        <f>GlobBerMedDisc!W21</f>
        <v/>
      </c>
      <c r="J28" s="759" t="str">
        <f>IF(GlobBerMedDisc!C21&gt;1,GlobBerMedDisc!H21,"")</f>
        <v/>
      </c>
      <c r="K28" s="760" t="str">
        <f>IF(GlobBerMedDisc!C21&gt;1,GlobBerMedDisc!F21,"")</f>
        <v/>
      </c>
      <c r="L28" s="761">
        <f>GlobBerMedDisc!L21</f>
        <v>0</v>
      </c>
      <c r="M28" s="761" t="str">
        <f>GlobBerMedDisc!AM21</f>
        <v/>
      </c>
      <c r="N28" s="761" t="str">
        <f>IF(AND(GlobBerMedDisc!C21&gt;1,GlobBerMedDisc!O21&gt;1),GlobBerMedDisc!N21,"")</f>
        <v/>
      </c>
      <c r="O28" s="761" t="str">
        <f>IF(AND(GlobBerMedDisc!C21&gt;1,N28&lt;&gt;0,GlobBerMedDisc!O21&gt;1),"ml","")</f>
        <v/>
      </c>
      <c r="P28" s="761"/>
      <c r="Q28" s="761" t="str">
        <f>GlobBerMedDisc!AN21</f>
        <v/>
      </c>
      <c r="R28" s="761" t="str">
        <f>IF(AND(N28&lt;&gt;"",GlobBerMedDisc!Q21&gt;0),GlobBerMedDisc!Q21&amp;" min","")</f>
        <v/>
      </c>
      <c r="S28" s="762">
        <f>GlobBerMedDisc!AB21</f>
        <v>0</v>
      </c>
      <c r="T28" s="677"/>
      <c r="U28" s="677"/>
      <c r="V28" s="677"/>
      <c r="W28" s="677"/>
      <c r="X28" s="677"/>
      <c r="Y28" s="677"/>
    </row>
    <row r="29" spans="2:25" ht="20.100000000000001" customHeight="1" thickTop="1" thickBot="1" x14ac:dyDescent="0.25">
      <c r="B29" s="681" t="str">
        <f>GlobBerMedDisc!AL22</f>
        <v/>
      </c>
      <c r="C29" s="681" t="str">
        <f>GlobBerMedDisc!AO22</f>
        <v/>
      </c>
      <c r="D29" s="808">
        <v>21</v>
      </c>
      <c r="E29" s="862" t="str">
        <f>GlobBerMedDisc!AP22</f>
        <v/>
      </c>
      <c r="F29" s="863"/>
      <c r="G29" s="863"/>
      <c r="H29" s="863"/>
      <c r="I29" s="758" t="str">
        <f>GlobBerMedDisc!W22</f>
        <v/>
      </c>
      <c r="J29" s="759" t="str">
        <f>IF(GlobBerMedDisc!C22&gt;1,GlobBerMedDisc!H22,"")</f>
        <v/>
      </c>
      <c r="K29" s="760" t="str">
        <f>IF(GlobBerMedDisc!C22&gt;1,GlobBerMedDisc!F22,"")</f>
        <v/>
      </c>
      <c r="L29" s="761">
        <f>GlobBerMedDisc!L22</f>
        <v>0</v>
      </c>
      <c r="M29" s="761" t="str">
        <f>GlobBerMedDisc!AM22</f>
        <v/>
      </c>
      <c r="N29" s="761" t="str">
        <f>IF(AND(GlobBerMedDisc!C22&gt;1,GlobBerMedDisc!O22&gt;1),GlobBerMedDisc!N22,"")</f>
        <v/>
      </c>
      <c r="O29" s="761" t="str">
        <f>IF(AND(GlobBerMedDisc!C22&gt;1,N29&lt;&gt;0,GlobBerMedDisc!O22&gt;1),"ml","")</f>
        <v/>
      </c>
      <c r="P29" s="761"/>
      <c r="Q29" s="761" t="str">
        <f>GlobBerMedDisc!AN22</f>
        <v/>
      </c>
      <c r="R29" s="761" t="str">
        <f>IF(AND(N29&lt;&gt;"",GlobBerMedDisc!Q22&gt;0),GlobBerMedDisc!Q22&amp;" min","")</f>
        <v/>
      </c>
      <c r="S29" s="762">
        <f>GlobBerMedDisc!AB22</f>
        <v>0</v>
      </c>
      <c r="T29" s="677"/>
      <c r="U29" s="677"/>
      <c r="V29" s="677"/>
      <c r="W29" s="677"/>
      <c r="X29" s="677"/>
      <c r="Y29" s="677"/>
    </row>
    <row r="30" spans="2:25" ht="20.100000000000001" customHeight="1" thickTop="1" thickBot="1" x14ac:dyDescent="0.25">
      <c r="B30" s="681" t="str">
        <f>GlobBerMedDisc!AL23</f>
        <v/>
      </c>
      <c r="C30" s="681" t="str">
        <f>GlobBerMedDisc!AO23</f>
        <v/>
      </c>
      <c r="D30" s="808">
        <v>22</v>
      </c>
      <c r="E30" s="862" t="str">
        <f>GlobBerMedDisc!AP23</f>
        <v/>
      </c>
      <c r="F30" s="863"/>
      <c r="G30" s="863"/>
      <c r="H30" s="863"/>
      <c r="I30" s="758" t="str">
        <f>GlobBerMedDisc!W23</f>
        <v/>
      </c>
      <c r="J30" s="759" t="str">
        <f>IF(GlobBerMedDisc!C23&gt;1,GlobBerMedDisc!H23,"")</f>
        <v/>
      </c>
      <c r="K30" s="760" t="str">
        <f>IF(GlobBerMedDisc!C23&gt;1,GlobBerMedDisc!F23,"")</f>
        <v/>
      </c>
      <c r="L30" s="761">
        <f>GlobBerMedDisc!L23</f>
        <v>0</v>
      </c>
      <c r="M30" s="761" t="str">
        <f>GlobBerMedDisc!AM23</f>
        <v/>
      </c>
      <c r="N30" s="761" t="str">
        <f>IF(AND(GlobBerMedDisc!C23&gt;1,GlobBerMedDisc!O23&gt;1),GlobBerMedDisc!N23,"")</f>
        <v/>
      </c>
      <c r="O30" s="761" t="str">
        <f>IF(AND(GlobBerMedDisc!C23&gt;1,N30&lt;&gt;0,GlobBerMedDisc!O23&gt;1),"ml","")</f>
        <v/>
      </c>
      <c r="P30" s="761"/>
      <c r="Q30" s="761" t="str">
        <f>GlobBerMedDisc!AN23</f>
        <v/>
      </c>
      <c r="R30" s="761" t="str">
        <f>IF(AND(N30&lt;&gt;"",GlobBerMedDisc!Q23&gt;0),GlobBerMedDisc!Q23&amp;" min","")</f>
        <v/>
      </c>
      <c r="S30" s="762">
        <f>GlobBerMedDisc!AB23</f>
        <v>0</v>
      </c>
      <c r="T30" s="677"/>
      <c r="U30" s="677"/>
      <c r="V30" s="677"/>
      <c r="W30" s="677"/>
      <c r="X30" s="677"/>
      <c r="Y30" s="677"/>
    </row>
    <row r="31" spans="2:25" ht="20.100000000000001" customHeight="1" thickTop="1" thickBot="1" x14ac:dyDescent="0.25">
      <c r="B31" s="681" t="str">
        <f>GlobBerMedDisc!AL24</f>
        <v/>
      </c>
      <c r="C31" s="681" t="str">
        <f>GlobBerMedDisc!AO24</f>
        <v/>
      </c>
      <c r="D31" s="808">
        <v>23</v>
      </c>
      <c r="E31" s="862" t="str">
        <f>GlobBerMedDisc!AP24</f>
        <v/>
      </c>
      <c r="F31" s="863"/>
      <c r="G31" s="863"/>
      <c r="H31" s="863"/>
      <c r="I31" s="758" t="str">
        <f>GlobBerMedDisc!W24</f>
        <v/>
      </c>
      <c r="J31" s="759" t="str">
        <f>IF(GlobBerMedDisc!C24&gt;1,GlobBerMedDisc!H24,"")</f>
        <v/>
      </c>
      <c r="K31" s="760" t="str">
        <f>IF(GlobBerMedDisc!C24&gt;1,GlobBerMedDisc!F24,"")</f>
        <v/>
      </c>
      <c r="L31" s="761">
        <f>GlobBerMedDisc!L24</f>
        <v>0</v>
      </c>
      <c r="M31" s="761" t="str">
        <f>GlobBerMedDisc!AM24</f>
        <v/>
      </c>
      <c r="N31" s="761" t="str">
        <f>IF(AND(GlobBerMedDisc!C24&gt;1,GlobBerMedDisc!O24&gt;1),GlobBerMedDisc!N24,"")</f>
        <v/>
      </c>
      <c r="O31" s="761" t="str">
        <f>IF(AND(GlobBerMedDisc!C24&gt;1,N31&lt;&gt;0,GlobBerMedDisc!O24&gt;1),"ml","")</f>
        <v/>
      </c>
      <c r="P31" s="761"/>
      <c r="Q31" s="761" t="str">
        <f>GlobBerMedDisc!AN24</f>
        <v/>
      </c>
      <c r="R31" s="761" t="str">
        <f>IF(AND(N31&lt;&gt;"",GlobBerMedDisc!Q24&gt;0),GlobBerMedDisc!Q24&amp;" min","")</f>
        <v/>
      </c>
      <c r="S31" s="762">
        <f>GlobBerMedDisc!AB24</f>
        <v>0</v>
      </c>
      <c r="T31" s="677"/>
      <c r="U31" s="677"/>
      <c r="V31" s="677"/>
      <c r="W31" s="677"/>
      <c r="X31" s="677"/>
      <c r="Y31" s="677"/>
    </row>
    <row r="32" spans="2:25" ht="20.100000000000001" customHeight="1" thickTop="1" thickBot="1" x14ac:dyDescent="0.25">
      <c r="B32" s="681" t="str">
        <f>GlobBerMedDisc!AL25</f>
        <v/>
      </c>
      <c r="C32" s="681" t="str">
        <f>GlobBerMedDisc!AO25</f>
        <v/>
      </c>
      <c r="D32" s="808">
        <v>24</v>
      </c>
      <c r="E32" s="862" t="str">
        <f>GlobBerMedDisc!AP25</f>
        <v/>
      </c>
      <c r="F32" s="863"/>
      <c r="G32" s="863"/>
      <c r="H32" s="863"/>
      <c r="I32" s="758" t="str">
        <f>GlobBerMedDisc!W25</f>
        <v/>
      </c>
      <c r="J32" s="759" t="str">
        <f>IF(GlobBerMedDisc!C25&gt;1,GlobBerMedDisc!H25,"")</f>
        <v/>
      </c>
      <c r="K32" s="760" t="str">
        <f>IF(GlobBerMedDisc!C25&gt;1,GlobBerMedDisc!F25,"")</f>
        <v/>
      </c>
      <c r="L32" s="761">
        <f>GlobBerMedDisc!L25</f>
        <v>0</v>
      </c>
      <c r="M32" s="761" t="str">
        <f>GlobBerMedDisc!AM25</f>
        <v/>
      </c>
      <c r="N32" s="761" t="str">
        <f>IF(AND(GlobBerMedDisc!C25&gt;1,GlobBerMedDisc!O25&gt;1),GlobBerMedDisc!N25,"")</f>
        <v/>
      </c>
      <c r="O32" s="761" t="str">
        <f>IF(AND(GlobBerMedDisc!C25&gt;1,N32&lt;&gt;0,GlobBerMedDisc!O25&gt;1),"ml","")</f>
        <v/>
      </c>
      <c r="P32" s="761"/>
      <c r="Q32" s="761" t="str">
        <f>GlobBerMedDisc!AN25</f>
        <v/>
      </c>
      <c r="R32" s="761" t="str">
        <f>IF(AND(N32&lt;&gt;"",GlobBerMedDisc!Q25&gt;0),GlobBerMedDisc!Q25&amp;" min","")</f>
        <v/>
      </c>
      <c r="S32" s="762">
        <f>GlobBerMedDisc!AB25</f>
        <v>0</v>
      </c>
      <c r="T32" s="677"/>
      <c r="U32" s="677"/>
      <c r="V32" s="677"/>
      <c r="W32" s="677"/>
      <c r="X32" s="677"/>
      <c r="Y32" s="677"/>
    </row>
    <row r="33" spans="2:25" ht="20.100000000000001" customHeight="1" thickTop="1" thickBot="1" x14ac:dyDescent="0.25">
      <c r="B33" s="681" t="str">
        <f>GlobBerMedDisc!AL26</f>
        <v/>
      </c>
      <c r="C33" s="681" t="str">
        <f>GlobBerMedDisc!AO26</f>
        <v/>
      </c>
      <c r="D33" s="808">
        <v>25</v>
      </c>
      <c r="E33" s="862" t="str">
        <f>GlobBerMedDisc!AP26</f>
        <v/>
      </c>
      <c r="F33" s="863"/>
      <c r="G33" s="863"/>
      <c r="H33" s="863"/>
      <c r="I33" s="758" t="str">
        <f>GlobBerMedDisc!W26</f>
        <v/>
      </c>
      <c r="J33" s="759" t="str">
        <f>IF(GlobBerMedDisc!C26&gt;1,GlobBerMedDisc!H26,"")</f>
        <v/>
      </c>
      <c r="K33" s="760" t="str">
        <f>IF(GlobBerMedDisc!C26&gt;1,GlobBerMedDisc!F26,"")</f>
        <v/>
      </c>
      <c r="L33" s="761">
        <f>GlobBerMedDisc!L26</f>
        <v>0</v>
      </c>
      <c r="M33" s="761" t="str">
        <f>GlobBerMedDisc!AM26</f>
        <v/>
      </c>
      <c r="N33" s="761" t="str">
        <f>IF(AND(GlobBerMedDisc!C26&gt;1,GlobBerMedDisc!O26&gt;1),GlobBerMedDisc!N26,"")</f>
        <v/>
      </c>
      <c r="O33" s="761" t="str">
        <f>IF(AND(GlobBerMedDisc!C26&gt;1,N33&lt;&gt;0,GlobBerMedDisc!O26&gt;1),"ml","")</f>
        <v/>
      </c>
      <c r="P33" s="761"/>
      <c r="Q33" s="761" t="str">
        <f>GlobBerMedDisc!AN26</f>
        <v/>
      </c>
      <c r="R33" s="761" t="str">
        <f>IF(AND(N33&lt;&gt;"",GlobBerMedDisc!Q26&gt;0),GlobBerMedDisc!Q26&amp;" min","")</f>
        <v/>
      </c>
      <c r="S33" s="762">
        <f>GlobBerMedDisc!AB26</f>
        <v>0</v>
      </c>
      <c r="T33" s="677"/>
      <c r="U33" s="677"/>
      <c r="V33" s="677"/>
      <c r="W33" s="677"/>
      <c r="X33" s="677"/>
      <c r="Y33" s="677"/>
    </row>
    <row r="34" spans="2:25" ht="20.100000000000001" customHeight="1" thickTop="1" thickBot="1" x14ac:dyDescent="0.25">
      <c r="B34" s="681" t="str">
        <f>GlobBerMedDisc!AL27</f>
        <v/>
      </c>
      <c r="C34" s="681" t="str">
        <f>GlobBerMedDisc!AO27</f>
        <v/>
      </c>
      <c r="D34" s="808">
        <v>26</v>
      </c>
      <c r="E34" s="862" t="str">
        <f>GlobBerMedDisc!AP27</f>
        <v/>
      </c>
      <c r="F34" s="863"/>
      <c r="G34" s="863"/>
      <c r="H34" s="863"/>
      <c r="I34" s="758" t="str">
        <f>GlobBerMedDisc!W27</f>
        <v/>
      </c>
      <c r="J34" s="759" t="str">
        <f>IF(GlobBerMedDisc!C27&gt;1,GlobBerMedDisc!H27,"")</f>
        <v/>
      </c>
      <c r="K34" s="760" t="str">
        <f>IF(GlobBerMedDisc!C27&gt;1,GlobBerMedDisc!F27,"")</f>
        <v/>
      </c>
      <c r="L34" s="761">
        <f>GlobBerMedDisc!L27</f>
        <v>0</v>
      </c>
      <c r="M34" s="761" t="str">
        <f>GlobBerMedDisc!AM27</f>
        <v/>
      </c>
      <c r="N34" s="761" t="str">
        <f>IF(AND(GlobBerMedDisc!C27&gt;1,GlobBerMedDisc!O27&gt;1),GlobBerMedDisc!N27,"")</f>
        <v/>
      </c>
      <c r="O34" s="761" t="str">
        <f>IF(AND(GlobBerMedDisc!C27&gt;1,N34&lt;&gt;0,GlobBerMedDisc!O27&gt;1),"ml","")</f>
        <v/>
      </c>
      <c r="P34" s="761"/>
      <c r="Q34" s="761" t="str">
        <f>GlobBerMedDisc!AN27</f>
        <v/>
      </c>
      <c r="R34" s="761" t="str">
        <f>IF(AND(N34&lt;&gt;"",GlobBerMedDisc!Q27&gt;0),GlobBerMedDisc!Q27&amp;" min","")</f>
        <v/>
      </c>
      <c r="S34" s="762">
        <f>GlobBerMedDisc!AB27</f>
        <v>0</v>
      </c>
      <c r="T34" s="677"/>
      <c r="U34" s="677"/>
      <c r="V34" s="677"/>
      <c r="W34" s="677"/>
      <c r="X34" s="677"/>
      <c r="Y34" s="677"/>
    </row>
    <row r="35" spans="2:25" ht="20.100000000000001" customHeight="1" thickTop="1" thickBot="1" x14ac:dyDescent="0.25">
      <c r="B35" s="681" t="str">
        <f>GlobBerMedDisc!AL28</f>
        <v/>
      </c>
      <c r="C35" s="681" t="str">
        <f>GlobBerMedDisc!AO28</f>
        <v/>
      </c>
      <c r="D35" s="808">
        <v>27</v>
      </c>
      <c r="E35" s="862" t="str">
        <f>GlobBerMedDisc!AP28</f>
        <v/>
      </c>
      <c r="F35" s="863"/>
      <c r="G35" s="863"/>
      <c r="H35" s="863"/>
      <c r="I35" s="758" t="str">
        <f>GlobBerMedDisc!W28</f>
        <v/>
      </c>
      <c r="J35" s="759" t="str">
        <f>IF(GlobBerMedDisc!C28&gt;1,GlobBerMedDisc!H28,"")</f>
        <v/>
      </c>
      <c r="K35" s="760" t="str">
        <f>IF(GlobBerMedDisc!C28&gt;1,GlobBerMedDisc!F28,"")</f>
        <v/>
      </c>
      <c r="L35" s="761">
        <f>GlobBerMedDisc!L28</f>
        <v>0</v>
      </c>
      <c r="M35" s="761" t="str">
        <f>GlobBerMedDisc!AM28</f>
        <v/>
      </c>
      <c r="N35" s="761" t="str">
        <f>IF(AND(GlobBerMedDisc!C28&gt;1,GlobBerMedDisc!O28&gt;1),GlobBerMedDisc!N28,"")</f>
        <v/>
      </c>
      <c r="O35" s="761" t="str">
        <f>IF(AND(GlobBerMedDisc!C28&gt;1,N35&lt;&gt;0,GlobBerMedDisc!O28&gt;1),"ml","")</f>
        <v/>
      </c>
      <c r="P35" s="761"/>
      <c r="Q35" s="761" t="str">
        <f>GlobBerMedDisc!AN28</f>
        <v/>
      </c>
      <c r="R35" s="761" t="str">
        <f>IF(AND(N35&lt;&gt;"",GlobBerMedDisc!Q28&gt;0),GlobBerMedDisc!Q28&amp;" min","")</f>
        <v/>
      </c>
      <c r="S35" s="762">
        <f>GlobBerMedDisc!AB28</f>
        <v>0</v>
      </c>
      <c r="T35" s="677"/>
      <c r="U35" s="677"/>
      <c r="V35" s="677"/>
      <c r="W35" s="677"/>
      <c r="X35" s="677"/>
      <c r="Y35" s="677"/>
    </row>
    <row r="36" spans="2:25" ht="20.100000000000001" customHeight="1" thickTop="1" thickBot="1" x14ac:dyDescent="0.25">
      <c r="B36" s="681" t="str">
        <f>GlobBerMedDisc!AL29</f>
        <v/>
      </c>
      <c r="C36" s="681" t="str">
        <f>GlobBerMedDisc!AO29</f>
        <v/>
      </c>
      <c r="D36" s="808">
        <v>28</v>
      </c>
      <c r="E36" s="862" t="str">
        <f>GlobBerMedDisc!AP29</f>
        <v/>
      </c>
      <c r="F36" s="863"/>
      <c r="G36" s="863"/>
      <c r="H36" s="863"/>
      <c r="I36" s="758" t="str">
        <f>GlobBerMedDisc!W29</f>
        <v/>
      </c>
      <c r="J36" s="759" t="str">
        <f>IF(GlobBerMedDisc!C29&gt;1,GlobBerMedDisc!H29,"")</f>
        <v/>
      </c>
      <c r="K36" s="760" t="str">
        <f>IF(GlobBerMedDisc!C29&gt;1,GlobBerMedDisc!F29,"")</f>
        <v/>
      </c>
      <c r="L36" s="761">
        <f>GlobBerMedDisc!L29</f>
        <v>0</v>
      </c>
      <c r="M36" s="761" t="str">
        <f>GlobBerMedDisc!AM29</f>
        <v/>
      </c>
      <c r="N36" s="761" t="str">
        <f>IF(AND(GlobBerMedDisc!C29&gt;1,GlobBerMedDisc!O29&gt;1),GlobBerMedDisc!N29,"")</f>
        <v/>
      </c>
      <c r="O36" s="761" t="str">
        <f>IF(AND(GlobBerMedDisc!C29&gt;1,N36&lt;&gt;0,GlobBerMedDisc!O29&gt;1),"ml","")</f>
        <v/>
      </c>
      <c r="P36" s="761"/>
      <c r="Q36" s="761" t="str">
        <f>GlobBerMedDisc!AN29</f>
        <v/>
      </c>
      <c r="R36" s="761" t="str">
        <f>IF(AND(N36&lt;&gt;"",GlobBerMedDisc!Q29&gt;0),GlobBerMedDisc!Q29&amp;" min","")</f>
        <v/>
      </c>
      <c r="S36" s="762">
        <f>GlobBerMedDisc!AB29</f>
        <v>0</v>
      </c>
      <c r="T36" s="677"/>
      <c r="U36" s="677"/>
      <c r="V36" s="677"/>
      <c r="W36" s="677"/>
      <c r="X36" s="677"/>
      <c r="Y36" s="677"/>
    </row>
    <row r="37" spans="2:25" ht="20.100000000000001" customHeight="1" thickTop="1" thickBot="1" x14ac:dyDescent="0.25">
      <c r="B37" s="681" t="str">
        <f>GlobBerMedDisc!AL30</f>
        <v/>
      </c>
      <c r="C37" s="681" t="str">
        <f>GlobBerMedDisc!AO30</f>
        <v/>
      </c>
      <c r="D37" s="808">
        <v>29</v>
      </c>
      <c r="E37" s="862" t="str">
        <f>GlobBerMedDisc!AP30</f>
        <v/>
      </c>
      <c r="F37" s="863"/>
      <c r="G37" s="863"/>
      <c r="H37" s="863"/>
      <c r="I37" s="758" t="str">
        <f>GlobBerMedDisc!W30</f>
        <v/>
      </c>
      <c r="J37" s="759" t="str">
        <f>IF(GlobBerMedDisc!C30&gt;1,GlobBerMedDisc!H30,"")</f>
        <v/>
      </c>
      <c r="K37" s="760" t="str">
        <f>IF(GlobBerMedDisc!C30&gt;1,GlobBerMedDisc!F30,"")</f>
        <v/>
      </c>
      <c r="L37" s="761">
        <f>GlobBerMedDisc!L30</f>
        <v>0</v>
      </c>
      <c r="M37" s="761" t="str">
        <f>GlobBerMedDisc!AM30</f>
        <v/>
      </c>
      <c r="N37" s="761" t="str">
        <f>IF(AND(GlobBerMedDisc!C30&gt;1,GlobBerMedDisc!O30&gt;1),GlobBerMedDisc!N30,"")</f>
        <v/>
      </c>
      <c r="O37" s="761" t="str">
        <f>IF(AND(GlobBerMedDisc!C30&gt;1,N37&lt;&gt;0,GlobBerMedDisc!O30&gt;1),"ml","")</f>
        <v/>
      </c>
      <c r="P37" s="761"/>
      <c r="Q37" s="761" t="str">
        <f>GlobBerMedDisc!AN30</f>
        <v/>
      </c>
      <c r="R37" s="761" t="str">
        <f>IF(AND(N37&lt;&gt;"",GlobBerMedDisc!Q30&gt;0),GlobBerMedDisc!Q30&amp;" min","")</f>
        <v/>
      </c>
      <c r="S37" s="762">
        <f>GlobBerMedDisc!AB30</f>
        <v>0</v>
      </c>
      <c r="T37" s="677"/>
      <c r="U37" s="677"/>
      <c r="V37" s="677"/>
      <c r="W37" s="677"/>
      <c r="X37" s="677"/>
      <c r="Y37" s="677"/>
    </row>
    <row r="38" spans="2:25" ht="20.100000000000001" customHeight="1" thickTop="1" thickBot="1" x14ac:dyDescent="0.25">
      <c r="B38" s="681" t="str">
        <f>GlobBerMedDisc!AL31</f>
        <v/>
      </c>
      <c r="C38" s="681" t="str">
        <f>GlobBerMedDisc!AO31</f>
        <v/>
      </c>
      <c r="D38" s="808">
        <v>30</v>
      </c>
      <c r="E38" s="866" t="str">
        <f>GlobBerMedDisc!AP31</f>
        <v/>
      </c>
      <c r="F38" s="867"/>
      <c r="G38" s="867"/>
      <c r="H38" s="867"/>
      <c r="I38" s="763" t="str">
        <f>GlobBerMedDisc!W31</f>
        <v/>
      </c>
      <c r="J38" s="764" t="str">
        <f>IF(GlobBerMedDisc!C31&gt;1,GlobBerMedDisc!H31,"")</f>
        <v/>
      </c>
      <c r="K38" s="765" t="str">
        <f>IF(GlobBerMedDisc!C31&gt;1,GlobBerMedDisc!F31,"")</f>
        <v/>
      </c>
      <c r="L38" s="766">
        <f>GlobBerMedDisc!L31</f>
        <v>0</v>
      </c>
      <c r="M38" s="766" t="str">
        <f>GlobBerMedDisc!AM31</f>
        <v/>
      </c>
      <c r="N38" s="766" t="str">
        <f>IF(AND(GlobBerMedDisc!C31&gt;1,GlobBerMedDisc!O31&gt;1),GlobBerMedDisc!N31,"")</f>
        <v/>
      </c>
      <c r="O38" s="766" t="str">
        <f>IF(AND(GlobBerMedDisc!C31&gt;1,N38&lt;&gt;0,GlobBerMedDisc!O31&gt;1),"ml","")</f>
        <v/>
      </c>
      <c r="P38" s="766"/>
      <c r="Q38" s="766" t="str">
        <f>GlobBerMedDisc!AN31</f>
        <v/>
      </c>
      <c r="R38" s="766" t="str">
        <f>IF(AND(N38&lt;&gt;"",GlobBerMedDisc!Q31&gt;0),GlobBerMedDisc!Q31&amp;" min","")</f>
        <v/>
      </c>
      <c r="S38" s="767">
        <f>GlobBerMedDisc!AB31</f>
        <v>0</v>
      </c>
      <c r="T38" s="677"/>
      <c r="U38" s="677"/>
      <c r="V38" s="677"/>
      <c r="W38" s="677"/>
      <c r="X38" s="677"/>
      <c r="Y38" s="677"/>
    </row>
    <row r="39" spans="2:25" ht="13.5" thickTop="1" x14ac:dyDescent="0.2">
      <c r="B39" s="684"/>
      <c r="C39" s="684"/>
      <c r="D39" s="684"/>
      <c r="E39" s="684"/>
      <c r="F39" s="684"/>
      <c r="G39" s="684"/>
      <c r="H39" s="684"/>
      <c r="I39" s="684"/>
      <c r="J39" s="684"/>
      <c r="K39" s="684"/>
      <c r="L39" s="684"/>
      <c r="M39" s="684"/>
      <c r="N39" s="684"/>
      <c r="O39" s="684"/>
      <c r="P39" s="684"/>
      <c r="Q39" s="684"/>
    </row>
    <row r="40" spans="2:25" x14ac:dyDescent="0.2">
      <c r="B40" s="684"/>
      <c r="C40" s="684"/>
      <c r="D40" s="684"/>
      <c r="E40" s="684"/>
      <c r="F40" s="684"/>
      <c r="G40" s="684"/>
      <c r="H40" s="684"/>
      <c r="I40" s="684"/>
      <c r="J40" s="684"/>
      <c r="K40" s="684"/>
      <c r="L40" s="684"/>
      <c r="M40" s="684"/>
      <c r="N40" s="684"/>
      <c r="O40" s="684"/>
      <c r="P40" s="684"/>
      <c r="Q40" s="684"/>
      <c r="R40" s="684"/>
    </row>
  </sheetData>
  <customSheetViews>
    <customSheetView guid="{33CCADFA-0D48-46A6-8927-2B2144029216}">
      <pane ySplit="4" topLeftCell="A5" activePane="bottomLeft" state="frozenSplit"/>
      <selection pane="bottomLeft" activeCell="M9" sqref="M9"/>
      <pageMargins left="0.75" right="0.75" top="1" bottom="1" header="0.5" footer="0.5"/>
      <pageSetup paperSize="9" orientation="landscape" blackAndWhite="1" r:id="rId1"/>
      <headerFooter alignWithMargins="0"/>
    </customSheetView>
  </customSheetViews>
  <mergeCells count="30">
    <mergeCell ref="E36:H36"/>
    <mergeCell ref="E37:H37"/>
    <mergeCell ref="E38:H38"/>
    <mergeCell ref="E31:H31"/>
    <mergeCell ref="E32:H32"/>
    <mergeCell ref="E33:H33"/>
    <mergeCell ref="E34:H34"/>
    <mergeCell ref="E35:H35"/>
    <mergeCell ref="E21:H21"/>
    <mergeCell ref="E28:H28"/>
    <mergeCell ref="E24:H24"/>
    <mergeCell ref="E25:H25"/>
    <mergeCell ref="E26:H26"/>
    <mergeCell ref="E27:H27"/>
    <mergeCell ref="E29:H29"/>
    <mergeCell ref="E30:H30"/>
    <mergeCell ref="E9:H9"/>
    <mergeCell ref="E10:H10"/>
    <mergeCell ref="E15:H15"/>
    <mergeCell ref="E14:H14"/>
    <mergeCell ref="E13:H13"/>
    <mergeCell ref="E12:H12"/>
    <mergeCell ref="E11:H11"/>
    <mergeCell ref="E20:H20"/>
    <mergeCell ref="E19:H19"/>
    <mergeCell ref="E18:H18"/>
    <mergeCell ref="E17:H17"/>
    <mergeCell ref="E16:H16"/>
    <mergeCell ref="E23:H23"/>
    <mergeCell ref="E22:H22"/>
  </mergeCells>
  <phoneticPr fontId="28" type="noConversion"/>
  <pageMargins left="0.75" right="0.75" top="1" bottom="1" header="0.5" footer="0.5"/>
  <pageSetup paperSize="9" orientation="landscape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5" name="Spinner 70">
              <controlPr defaultSize="0" autoPict="0">
                <anchor moveWithCells="1" sizeWithCells="1">
                  <from>
                    <xdr:col>8</xdr:col>
                    <xdr:colOff>495300</xdr:colOff>
                    <xdr:row>8</xdr:row>
                    <xdr:rowOff>9525</xdr:rowOff>
                  </from>
                  <to>
                    <xdr:col>8</xdr:col>
                    <xdr:colOff>628650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autoPict="0">
                <anchor moveWithCells="1" sizeWithCells="1">
                  <from>
                    <xdr:col>10</xdr:col>
                    <xdr:colOff>0</xdr:colOff>
                    <xdr:row>8</xdr:row>
                    <xdr:rowOff>9525</xdr:rowOff>
                  </from>
                  <to>
                    <xdr:col>10</xdr:col>
                    <xdr:colOff>133350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autoLine="0" autoPict="0">
                <anchor moveWithCells="1">
                  <from>
                    <xdr:col>15</xdr:col>
                    <xdr:colOff>0</xdr:colOff>
                    <xdr:row>8</xdr:row>
                    <xdr:rowOff>0</xdr:rowOff>
                  </from>
                  <to>
                    <xdr:col>15</xdr:col>
                    <xdr:colOff>733425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autoPict="0">
                <anchor moveWithCells="1" sizeWithCells="1">
                  <from>
                    <xdr:col>14</xdr:col>
                    <xdr:colOff>323850</xdr:colOff>
                    <xdr:row>8</xdr:row>
                    <xdr:rowOff>9525</xdr:rowOff>
                  </from>
                  <to>
                    <xdr:col>14</xdr:col>
                    <xdr:colOff>466725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9" name="Spinner 125">
              <controlPr defaultSize="0" autoPict="0">
                <anchor moveWithCells="1" sizeWithCells="1">
                  <from>
                    <xdr:col>10</xdr:col>
                    <xdr:colOff>0</xdr:colOff>
                    <xdr:row>9</xdr:row>
                    <xdr:rowOff>9525</xdr:rowOff>
                  </from>
                  <to>
                    <xdr:col>10</xdr:col>
                    <xdr:colOff>133350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0" name="Drop Down 127">
              <controlPr defaultSize="0" autoLine="0" autoPict="0">
                <anchor moveWithCells="1">
                  <from>
                    <xdr:col>15</xdr:col>
                    <xdr:colOff>0</xdr:colOff>
                    <xdr:row>8</xdr:row>
                    <xdr:rowOff>247650</xdr:rowOff>
                  </from>
                  <to>
                    <xdr:col>15</xdr:col>
                    <xdr:colOff>733425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1" name="Spinner 128">
              <controlPr defaultSize="0" autoPict="0">
                <anchor moveWithCells="1" sizeWithCells="1">
                  <from>
                    <xdr:col>14</xdr:col>
                    <xdr:colOff>323850</xdr:colOff>
                    <xdr:row>9</xdr:row>
                    <xdr:rowOff>9525</xdr:rowOff>
                  </from>
                  <to>
                    <xdr:col>14</xdr:col>
                    <xdr:colOff>466725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2" name="Spinner 130">
              <controlPr defaultSize="0" autoPict="0">
                <anchor moveWithCells="1" sizeWithCells="1">
                  <from>
                    <xdr:col>8</xdr:col>
                    <xdr:colOff>495300</xdr:colOff>
                    <xdr:row>10</xdr:row>
                    <xdr:rowOff>9525</xdr:rowOff>
                  </from>
                  <to>
                    <xdr:col>8</xdr:col>
                    <xdr:colOff>628650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3" name="Spinner 132">
              <controlPr defaultSize="0" autoPict="0">
                <anchor moveWithCells="1" sizeWithCells="1">
                  <from>
                    <xdr:col>10</xdr:col>
                    <xdr:colOff>0</xdr:colOff>
                    <xdr:row>10</xdr:row>
                    <xdr:rowOff>9525</xdr:rowOff>
                  </from>
                  <to>
                    <xdr:col>10</xdr:col>
                    <xdr:colOff>133350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4" name="Drop Down 134">
              <controlPr defaultSize="0" autoLine="0" autoPict="0">
                <anchor moveWithCells="1">
                  <from>
                    <xdr:col>15</xdr:col>
                    <xdr:colOff>0</xdr:colOff>
                    <xdr:row>10</xdr:row>
                    <xdr:rowOff>28575</xdr:rowOff>
                  </from>
                  <to>
                    <xdr:col>15</xdr:col>
                    <xdr:colOff>723900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5" name="Spinner 135">
              <controlPr defaultSize="0" autoPict="0">
                <anchor moveWithCells="1" sizeWithCells="1">
                  <from>
                    <xdr:col>14</xdr:col>
                    <xdr:colOff>323850</xdr:colOff>
                    <xdr:row>10</xdr:row>
                    <xdr:rowOff>9525</xdr:rowOff>
                  </from>
                  <to>
                    <xdr:col>14</xdr:col>
                    <xdr:colOff>466725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6" name="Spinner 137">
              <controlPr defaultSize="0" autoPict="0">
                <anchor moveWithCells="1" sizeWithCells="1">
                  <from>
                    <xdr:col>8</xdr:col>
                    <xdr:colOff>495300</xdr:colOff>
                    <xdr:row>11</xdr:row>
                    <xdr:rowOff>9525</xdr:rowOff>
                  </from>
                  <to>
                    <xdr:col>8</xdr:col>
                    <xdr:colOff>628650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7" name="Spinner 139">
              <controlPr defaultSize="0" autoPict="0">
                <anchor moveWithCells="1" sizeWithCells="1">
                  <from>
                    <xdr:col>10</xdr:col>
                    <xdr:colOff>0</xdr:colOff>
                    <xdr:row>11</xdr:row>
                    <xdr:rowOff>9525</xdr:rowOff>
                  </from>
                  <to>
                    <xdr:col>10</xdr:col>
                    <xdr:colOff>133350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8" name="Drop Down 141">
              <controlPr defaultSize="0" autoLine="0" autoPict="0">
                <anchor moveWithCells="1">
                  <from>
                    <xdr:col>15</xdr:col>
                    <xdr:colOff>0</xdr:colOff>
                    <xdr:row>10</xdr:row>
                    <xdr:rowOff>247650</xdr:rowOff>
                  </from>
                  <to>
                    <xdr:col>15</xdr:col>
                    <xdr:colOff>733425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9" name="Spinner 142">
              <controlPr defaultSize="0" autoPict="0">
                <anchor moveWithCells="1" sizeWithCells="1">
                  <from>
                    <xdr:col>14</xdr:col>
                    <xdr:colOff>323850</xdr:colOff>
                    <xdr:row>11</xdr:row>
                    <xdr:rowOff>9525</xdr:rowOff>
                  </from>
                  <to>
                    <xdr:col>14</xdr:col>
                    <xdr:colOff>466725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20" name="Spinner 144">
              <controlPr defaultSize="0" autoPict="0">
                <anchor moveWithCells="1" sizeWithCells="1">
                  <from>
                    <xdr:col>8</xdr:col>
                    <xdr:colOff>495300</xdr:colOff>
                    <xdr:row>12</xdr:row>
                    <xdr:rowOff>9525</xdr:rowOff>
                  </from>
                  <to>
                    <xdr:col>8</xdr:col>
                    <xdr:colOff>628650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1" name="Spinner 146">
              <controlPr defaultSize="0" autoPict="0">
                <anchor moveWithCells="1" sizeWithCells="1">
                  <from>
                    <xdr:col>10</xdr:col>
                    <xdr:colOff>0</xdr:colOff>
                    <xdr:row>12</xdr:row>
                    <xdr:rowOff>9525</xdr:rowOff>
                  </from>
                  <to>
                    <xdr:col>10</xdr:col>
                    <xdr:colOff>133350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2" name="Drop Down 148">
              <controlPr defaultSize="0" autoLine="0" autoPict="0">
                <anchor moveWithCells="1">
                  <from>
                    <xdr:col>15</xdr:col>
                    <xdr:colOff>0</xdr:colOff>
                    <xdr:row>11</xdr:row>
                    <xdr:rowOff>247650</xdr:rowOff>
                  </from>
                  <to>
                    <xdr:col>15</xdr:col>
                    <xdr:colOff>733425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3" name="Spinner 149">
              <controlPr defaultSize="0" autoPict="0">
                <anchor moveWithCells="1" sizeWithCells="1">
                  <from>
                    <xdr:col>14</xdr:col>
                    <xdr:colOff>323850</xdr:colOff>
                    <xdr:row>12</xdr:row>
                    <xdr:rowOff>9525</xdr:rowOff>
                  </from>
                  <to>
                    <xdr:col>14</xdr:col>
                    <xdr:colOff>466725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4" name="Spinner 151">
              <controlPr defaultSize="0" autoPict="0">
                <anchor moveWithCells="1" sizeWithCells="1">
                  <from>
                    <xdr:col>8</xdr:col>
                    <xdr:colOff>495300</xdr:colOff>
                    <xdr:row>13</xdr:row>
                    <xdr:rowOff>9525</xdr:rowOff>
                  </from>
                  <to>
                    <xdr:col>8</xdr:col>
                    <xdr:colOff>628650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5" name="Spinner 153">
              <controlPr defaultSize="0" autoPict="0">
                <anchor moveWithCells="1" sizeWithCells="1">
                  <from>
                    <xdr:col>10</xdr:col>
                    <xdr:colOff>0</xdr:colOff>
                    <xdr:row>13</xdr:row>
                    <xdr:rowOff>9525</xdr:rowOff>
                  </from>
                  <to>
                    <xdr:col>10</xdr:col>
                    <xdr:colOff>133350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6" name="Drop Down 155">
              <controlPr defaultSize="0" autoLine="0" autoPict="0">
                <anchor moveWithCells="1">
                  <from>
                    <xdr:col>15</xdr:col>
                    <xdr:colOff>0</xdr:colOff>
                    <xdr:row>12</xdr:row>
                    <xdr:rowOff>247650</xdr:rowOff>
                  </from>
                  <to>
                    <xdr:col>15</xdr:col>
                    <xdr:colOff>733425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7" name="Spinner 156">
              <controlPr defaultSize="0" autoPict="0">
                <anchor moveWithCells="1" sizeWithCells="1">
                  <from>
                    <xdr:col>14</xdr:col>
                    <xdr:colOff>323850</xdr:colOff>
                    <xdr:row>13</xdr:row>
                    <xdr:rowOff>9525</xdr:rowOff>
                  </from>
                  <to>
                    <xdr:col>14</xdr:col>
                    <xdr:colOff>466725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8" name="Spinner 158">
              <controlPr defaultSize="0" autoPict="0">
                <anchor moveWithCells="1" sizeWithCells="1">
                  <from>
                    <xdr:col>8</xdr:col>
                    <xdr:colOff>495300</xdr:colOff>
                    <xdr:row>14</xdr:row>
                    <xdr:rowOff>9525</xdr:rowOff>
                  </from>
                  <to>
                    <xdr:col>8</xdr:col>
                    <xdr:colOff>628650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9" name="Spinner 160">
              <controlPr defaultSize="0" autoPict="0">
                <anchor moveWithCells="1" sizeWithCells="1">
                  <from>
                    <xdr:col>10</xdr:col>
                    <xdr:colOff>0</xdr:colOff>
                    <xdr:row>14</xdr:row>
                    <xdr:rowOff>9525</xdr:rowOff>
                  </from>
                  <to>
                    <xdr:col>10</xdr:col>
                    <xdr:colOff>133350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30" name="Drop Down 162">
              <controlPr defaultSize="0" autoLine="0" autoPict="0">
                <anchor moveWithCells="1">
                  <from>
                    <xdr:col>15</xdr:col>
                    <xdr:colOff>0</xdr:colOff>
                    <xdr:row>13</xdr:row>
                    <xdr:rowOff>238125</xdr:rowOff>
                  </from>
                  <to>
                    <xdr:col>15</xdr:col>
                    <xdr:colOff>733425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1" name="Spinner 163">
              <controlPr defaultSize="0" autoPict="0">
                <anchor moveWithCells="1" sizeWithCells="1">
                  <from>
                    <xdr:col>14</xdr:col>
                    <xdr:colOff>323850</xdr:colOff>
                    <xdr:row>14</xdr:row>
                    <xdr:rowOff>9525</xdr:rowOff>
                  </from>
                  <to>
                    <xdr:col>14</xdr:col>
                    <xdr:colOff>466725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2" name="Spinner 165">
              <controlPr defaultSize="0" autoPict="0">
                <anchor moveWithCells="1" sizeWithCells="1">
                  <from>
                    <xdr:col>8</xdr:col>
                    <xdr:colOff>495300</xdr:colOff>
                    <xdr:row>15</xdr:row>
                    <xdr:rowOff>9525</xdr:rowOff>
                  </from>
                  <to>
                    <xdr:col>8</xdr:col>
                    <xdr:colOff>628650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3" name="Spinner 167">
              <controlPr defaultSize="0" autoPict="0">
                <anchor moveWithCells="1" sizeWithCells="1">
                  <from>
                    <xdr:col>10</xdr:col>
                    <xdr:colOff>0</xdr:colOff>
                    <xdr:row>15</xdr:row>
                    <xdr:rowOff>9525</xdr:rowOff>
                  </from>
                  <to>
                    <xdr:col>10</xdr:col>
                    <xdr:colOff>133350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4" name="Drop Down 169">
              <controlPr defaultSize="0" autoLine="0" autoPict="0">
                <anchor moveWithCells="1">
                  <from>
                    <xdr:col>15</xdr:col>
                    <xdr:colOff>0</xdr:colOff>
                    <xdr:row>14</xdr:row>
                    <xdr:rowOff>238125</xdr:rowOff>
                  </from>
                  <to>
                    <xdr:col>15</xdr:col>
                    <xdr:colOff>733425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5" name="Spinner 170">
              <controlPr defaultSize="0" autoPict="0">
                <anchor moveWithCells="1" sizeWithCells="1">
                  <from>
                    <xdr:col>14</xdr:col>
                    <xdr:colOff>323850</xdr:colOff>
                    <xdr:row>15</xdr:row>
                    <xdr:rowOff>9525</xdr:rowOff>
                  </from>
                  <to>
                    <xdr:col>14</xdr:col>
                    <xdr:colOff>466725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6" name="Spinner 172">
              <controlPr defaultSize="0" autoPict="0">
                <anchor moveWithCells="1" sizeWithCells="1">
                  <from>
                    <xdr:col>8</xdr:col>
                    <xdr:colOff>495300</xdr:colOff>
                    <xdr:row>16</xdr:row>
                    <xdr:rowOff>9525</xdr:rowOff>
                  </from>
                  <to>
                    <xdr:col>8</xdr:col>
                    <xdr:colOff>628650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7" name="Spinner 174">
              <controlPr defaultSize="0" autoPict="0">
                <anchor moveWithCells="1" sizeWithCells="1">
                  <from>
                    <xdr:col>10</xdr:col>
                    <xdr:colOff>0</xdr:colOff>
                    <xdr:row>16</xdr:row>
                    <xdr:rowOff>9525</xdr:rowOff>
                  </from>
                  <to>
                    <xdr:col>10</xdr:col>
                    <xdr:colOff>133350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8" name="Drop Down 176">
              <controlPr defaultSize="0" autoLine="0" autoPict="0">
                <anchor moveWithCells="1">
                  <from>
                    <xdr:col>15</xdr:col>
                    <xdr:colOff>0</xdr:colOff>
                    <xdr:row>15</xdr:row>
                    <xdr:rowOff>238125</xdr:rowOff>
                  </from>
                  <to>
                    <xdr:col>15</xdr:col>
                    <xdr:colOff>733425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9" name="Spinner 177">
              <controlPr defaultSize="0" autoPict="0">
                <anchor moveWithCells="1" sizeWithCells="1">
                  <from>
                    <xdr:col>14</xdr:col>
                    <xdr:colOff>323850</xdr:colOff>
                    <xdr:row>16</xdr:row>
                    <xdr:rowOff>9525</xdr:rowOff>
                  </from>
                  <to>
                    <xdr:col>14</xdr:col>
                    <xdr:colOff>466725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0" name="Spinner 179">
              <controlPr defaultSize="0" autoPict="0">
                <anchor moveWithCells="1" sizeWithCells="1">
                  <from>
                    <xdr:col>8</xdr:col>
                    <xdr:colOff>495300</xdr:colOff>
                    <xdr:row>17</xdr:row>
                    <xdr:rowOff>9525</xdr:rowOff>
                  </from>
                  <to>
                    <xdr:col>8</xdr:col>
                    <xdr:colOff>628650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1" name="Spinner 181">
              <controlPr defaultSize="0" autoPict="0">
                <anchor moveWithCells="1" sizeWithCells="1">
                  <from>
                    <xdr:col>10</xdr:col>
                    <xdr:colOff>0</xdr:colOff>
                    <xdr:row>17</xdr:row>
                    <xdr:rowOff>9525</xdr:rowOff>
                  </from>
                  <to>
                    <xdr:col>10</xdr:col>
                    <xdr:colOff>133350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2" name="Drop Down 183">
              <controlPr defaultSize="0" autoLine="0" autoPict="0">
                <anchor moveWithCells="1">
                  <from>
                    <xdr:col>15</xdr:col>
                    <xdr:colOff>0</xdr:colOff>
                    <xdr:row>16</xdr:row>
                    <xdr:rowOff>238125</xdr:rowOff>
                  </from>
                  <to>
                    <xdr:col>15</xdr:col>
                    <xdr:colOff>733425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3" name="Spinner 184">
              <controlPr defaultSize="0" autoPict="0">
                <anchor moveWithCells="1" sizeWithCells="1">
                  <from>
                    <xdr:col>14</xdr:col>
                    <xdr:colOff>323850</xdr:colOff>
                    <xdr:row>17</xdr:row>
                    <xdr:rowOff>9525</xdr:rowOff>
                  </from>
                  <to>
                    <xdr:col>14</xdr:col>
                    <xdr:colOff>466725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4" name="Spinner 263">
              <controlPr defaultSize="0" autoPict="0">
                <anchor moveWithCells="1" sizeWithCells="1">
                  <from>
                    <xdr:col>8</xdr:col>
                    <xdr:colOff>495300</xdr:colOff>
                    <xdr:row>18</xdr:row>
                    <xdr:rowOff>9525</xdr:rowOff>
                  </from>
                  <to>
                    <xdr:col>8</xdr:col>
                    <xdr:colOff>628650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5" name="Spinner 265">
              <controlPr defaultSize="0" autoPict="0">
                <anchor moveWithCells="1" sizeWithCells="1">
                  <from>
                    <xdr:col>10</xdr:col>
                    <xdr:colOff>0</xdr:colOff>
                    <xdr:row>18</xdr:row>
                    <xdr:rowOff>9525</xdr:rowOff>
                  </from>
                  <to>
                    <xdr:col>10</xdr:col>
                    <xdr:colOff>133350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6" name="Drop Down 267">
              <controlPr defaultSize="0" autoLine="0" autoPict="0">
                <anchor moveWithCells="1">
                  <from>
                    <xdr:col>15</xdr:col>
                    <xdr:colOff>0</xdr:colOff>
                    <xdr:row>17</xdr:row>
                    <xdr:rowOff>238125</xdr:rowOff>
                  </from>
                  <to>
                    <xdr:col>15</xdr:col>
                    <xdr:colOff>733425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7" name="Spinner 268">
              <controlPr defaultSize="0" autoPict="0">
                <anchor moveWithCells="1" sizeWithCells="1">
                  <from>
                    <xdr:col>14</xdr:col>
                    <xdr:colOff>323850</xdr:colOff>
                    <xdr:row>18</xdr:row>
                    <xdr:rowOff>9525</xdr:rowOff>
                  </from>
                  <to>
                    <xdr:col>14</xdr:col>
                    <xdr:colOff>466725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8" name="Spinner 270">
              <controlPr defaultSize="0" autoPict="0">
                <anchor moveWithCells="1" sizeWithCells="1">
                  <from>
                    <xdr:col>8</xdr:col>
                    <xdr:colOff>495300</xdr:colOff>
                    <xdr:row>19</xdr:row>
                    <xdr:rowOff>9525</xdr:rowOff>
                  </from>
                  <to>
                    <xdr:col>8</xdr:col>
                    <xdr:colOff>628650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9" name="Spinner 272">
              <controlPr defaultSize="0" autoPict="0">
                <anchor moveWithCells="1" sizeWithCells="1">
                  <from>
                    <xdr:col>10</xdr:col>
                    <xdr:colOff>0</xdr:colOff>
                    <xdr:row>19</xdr:row>
                    <xdr:rowOff>9525</xdr:rowOff>
                  </from>
                  <to>
                    <xdr:col>10</xdr:col>
                    <xdr:colOff>133350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50" name="Drop Down 274">
              <controlPr defaultSize="0" autoLine="0" autoPict="0">
                <anchor moveWithCells="1">
                  <from>
                    <xdr:col>15</xdr:col>
                    <xdr:colOff>0</xdr:colOff>
                    <xdr:row>18</xdr:row>
                    <xdr:rowOff>238125</xdr:rowOff>
                  </from>
                  <to>
                    <xdr:col>15</xdr:col>
                    <xdr:colOff>733425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1" name="Spinner 275">
              <controlPr defaultSize="0" autoPict="0">
                <anchor moveWithCells="1" sizeWithCells="1">
                  <from>
                    <xdr:col>14</xdr:col>
                    <xdr:colOff>323850</xdr:colOff>
                    <xdr:row>19</xdr:row>
                    <xdr:rowOff>9525</xdr:rowOff>
                  </from>
                  <to>
                    <xdr:col>14</xdr:col>
                    <xdr:colOff>466725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2" name="Spinner 277">
              <controlPr defaultSize="0" autoPict="0">
                <anchor moveWithCells="1" sizeWithCells="1">
                  <from>
                    <xdr:col>8</xdr:col>
                    <xdr:colOff>495300</xdr:colOff>
                    <xdr:row>20</xdr:row>
                    <xdr:rowOff>9525</xdr:rowOff>
                  </from>
                  <to>
                    <xdr:col>8</xdr:col>
                    <xdr:colOff>628650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3" name="Spinner 279">
              <controlPr defaultSize="0" autoPict="0">
                <anchor moveWithCells="1" sizeWithCells="1">
                  <from>
                    <xdr:col>10</xdr:col>
                    <xdr:colOff>0</xdr:colOff>
                    <xdr:row>20</xdr:row>
                    <xdr:rowOff>9525</xdr:rowOff>
                  </from>
                  <to>
                    <xdr:col>10</xdr:col>
                    <xdr:colOff>133350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4" name="Drop Down 281">
              <controlPr defaultSize="0" autoLine="0" autoPict="0">
                <anchor moveWithCells="1">
                  <from>
                    <xdr:col>15</xdr:col>
                    <xdr:colOff>0</xdr:colOff>
                    <xdr:row>19</xdr:row>
                    <xdr:rowOff>238125</xdr:rowOff>
                  </from>
                  <to>
                    <xdr:col>15</xdr:col>
                    <xdr:colOff>733425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5" name="Spinner 282">
              <controlPr defaultSize="0" autoPict="0">
                <anchor moveWithCells="1" sizeWithCells="1">
                  <from>
                    <xdr:col>14</xdr:col>
                    <xdr:colOff>323850</xdr:colOff>
                    <xdr:row>20</xdr:row>
                    <xdr:rowOff>9525</xdr:rowOff>
                  </from>
                  <to>
                    <xdr:col>14</xdr:col>
                    <xdr:colOff>466725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6" name="Spinner 284">
              <controlPr defaultSize="0" autoPict="0">
                <anchor moveWithCells="1" sizeWithCells="1">
                  <from>
                    <xdr:col>8</xdr:col>
                    <xdr:colOff>495300</xdr:colOff>
                    <xdr:row>21</xdr:row>
                    <xdr:rowOff>9525</xdr:rowOff>
                  </from>
                  <to>
                    <xdr:col>8</xdr:col>
                    <xdr:colOff>628650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7" name="Spinner 286">
              <controlPr defaultSize="0" autoPict="0">
                <anchor moveWithCells="1" sizeWithCells="1">
                  <from>
                    <xdr:col>10</xdr:col>
                    <xdr:colOff>0</xdr:colOff>
                    <xdr:row>21</xdr:row>
                    <xdr:rowOff>9525</xdr:rowOff>
                  </from>
                  <to>
                    <xdr:col>10</xdr:col>
                    <xdr:colOff>133350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8" name="Drop Down 288">
              <controlPr defaultSize="0" autoLine="0" autoPict="0">
                <anchor moveWithCells="1">
                  <from>
                    <xdr:col>15</xdr:col>
                    <xdr:colOff>0</xdr:colOff>
                    <xdr:row>20</xdr:row>
                    <xdr:rowOff>238125</xdr:rowOff>
                  </from>
                  <to>
                    <xdr:col>15</xdr:col>
                    <xdr:colOff>733425</xdr:colOff>
                    <xdr:row>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9" name="Spinner 289">
              <controlPr defaultSize="0" autoPict="0">
                <anchor moveWithCells="1" sizeWithCells="1">
                  <from>
                    <xdr:col>14</xdr:col>
                    <xdr:colOff>323850</xdr:colOff>
                    <xdr:row>21</xdr:row>
                    <xdr:rowOff>9525</xdr:rowOff>
                  </from>
                  <to>
                    <xdr:col>14</xdr:col>
                    <xdr:colOff>466725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60" name="Spinner 291">
              <controlPr defaultSize="0" autoPict="0">
                <anchor moveWithCells="1" sizeWithCells="1">
                  <from>
                    <xdr:col>8</xdr:col>
                    <xdr:colOff>495300</xdr:colOff>
                    <xdr:row>22</xdr:row>
                    <xdr:rowOff>9525</xdr:rowOff>
                  </from>
                  <to>
                    <xdr:col>8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1" name="Spinner 293">
              <controlPr defaultSize="0" autoPict="0">
                <anchor moveWithCells="1" sizeWithCells="1">
                  <from>
                    <xdr:col>10</xdr:col>
                    <xdr:colOff>0</xdr:colOff>
                    <xdr:row>22</xdr:row>
                    <xdr:rowOff>9525</xdr:rowOff>
                  </from>
                  <to>
                    <xdr:col>10</xdr:col>
                    <xdr:colOff>133350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2" name="Drop Down 295">
              <controlPr defaultSize="0" autoLine="0" autoPict="0">
                <anchor moveWithCells="1">
                  <from>
                    <xdr:col>15</xdr:col>
                    <xdr:colOff>0</xdr:colOff>
                    <xdr:row>21</xdr:row>
                    <xdr:rowOff>238125</xdr:rowOff>
                  </from>
                  <to>
                    <xdr:col>15</xdr:col>
                    <xdr:colOff>733425</xdr:colOff>
                    <xdr:row>22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3" name="Spinner 296">
              <controlPr defaultSize="0" autoPict="0">
                <anchor moveWithCells="1" sizeWithCells="1">
                  <from>
                    <xdr:col>14</xdr:col>
                    <xdr:colOff>323850</xdr:colOff>
                    <xdr:row>22</xdr:row>
                    <xdr:rowOff>9525</xdr:rowOff>
                  </from>
                  <to>
                    <xdr:col>14</xdr:col>
                    <xdr:colOff>466725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4" name="Spinner 298">
              <controlPr defaultSize="0" autoPict="0">
                <anchor moveWithCells="1" sizeWithCells="1">
                  <from>
                    <xdr:col>8</xdr:col>
                    <xdr:colOff>495300</xdr:colOff>
                    <xdr:row>23</xdr:row>
                    <xdr:rowOff>9525</xdr:rowOff>
                  </from>
                  <to>
                    <xdr:col>8</xdr:col>
                    <xdr:colOff>628650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5" name="Spinner 300">
              <controlPr defaultSize="0" autoPict="0">
                <anchor moveWithCells="1" sizeWithCells="1">
                  <from>
                    <xdr:col>10</xdr:col>
                    <xdr:colOff>0</xdr:colOff>
                    <xdr:row>23</xdr:row>
                    <xdr:rowOff>9525</xdr:rowOff>
                  </from>
                  <to>
                    <xdr:col>10</xdr:col>
                    <xdr:colOff>133350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6" name="Drop Down 302">
              <controlPr defaultSize="0" autoLine="0" autoPict="0">
                <anchor moveWithCells="1">
                  <from>
                    <xdr:col>15</xdr:col>
                    <xdr:colOff>0</xdr:colOff>
                    <xdr:row>22</xdr:row>
                    <xdr:rowOff>238125</xdr:rowOff>
                  </from>
                  <to>
                    <xdr:col>15</xdr:col>
                    <xdr:colOff>733425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7" name="Spinner 303">
              <controlPr defaultSize="0" autoPict="0">
                <anchor moveWithCells="1" sizeWithCells="1">
                  <from>
                    <xdr:col>14</xdr:col>
                    <xdr:colOff>323850</xdr:colOff>
                    <xdr:row>23</xdr:row>
                    <xdr:rowOff>9525</xdr:rowOff>
                  </from>
                  <to>
                    <xdr:col>14</xdr:col>
                    <xdr:colOff>466725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8" name="Spinner 305">
              <controlPr defaultSize="0" autoPict="0">
                <anchor moveWithCells="1" sizeWithCells="1">
                  <from>
                    <xdr:col>8</xdr:col>
                    <xdr:colOff>495300</xdr:colOff>
                    <xdr:row>24</xdr:row>
                    <xdr:rowOff>9525</xdr:rowOff>
                  </from>
                  <to>
                    <xdr:col>8</xdr:col>
                    <xdr:colOff>628650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9" name="Spinner 307">
              <controlPr defaultSize="0" autoPict="0">
                <anchor moveWithCells="1" sizeWithCells="1">
                  <from>
                    <xdr:col>10</xdr:col>
                    <xdr:colOff>0</xdr:colOff>
                    <xdr:row>24</xdr:row>
                    <xdr:rowOff>9525</xdr:rowOff>
                  </from>
                  <to>
                    <xdr:col>10</xdr:col>
                    <xdr:colOff>133350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70" name="Drop Down 309">
              <controlPr defaultSize="0" autoLine="0" autoPict="0">
                <anchor moveWithCells="1">
                  <from>
                    <xdr:col>15</xdr:col>
                    <xdr:colOff>0</xdr:colOff>
                    <xdr:row>23</xdr:row>
                    <xdr:rowOff>238125</xdr:rowOff>
                  </from>
                  <to>
                    <xdr:col>15</xdr:col>
                    <xdr:colOff>733425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1" name="Spinner 310">
              <controlPr defaultSize="0" autoPict="0">
                <anchor moveWithCells="1" sizeWithCells="1">
                  <from>
                    <xdr:col>14</xdr:col>
                    <xdr:colOff>323850</xdr:colOff>
                    <xdr:row>24</xdr:row>
                    <xdr:rowOff>9525</xdr:rowOff>
                  </from>
                  <to>
                    <xdr:col>14</xdr:col>
                    <xdr:colOff>466725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2" name="Spinner 312">
              <controlPr defaultSize="0" autoPict="0">
                <anchor moveWithCells="1" sizeWithCells="1">
                  <from>
                    <xdr:col>8</xdr:col>
                    <xdr:colOff>495300</xdr:colOff>
                    <xdr:row>25</xdr:row>
                    <xdr:rowOff>9525</xdr:rowOff>
                  </from>
                  <to>
                    <xdr:col>8</xdr:col>
                    <xdr:colOff>628650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3" name="Spinner 314">
              <controlPr defaultSize="0" autoPict="0">
                <anchor moveWithCells="1" sizeWithCells="1">
                  <from>
                    <xdr:col>10</xdr:col>
                    <xdr:colOff>0</xdr:colOff>
                    <xdr:row>25</xdr:row>
                    <xdr:rowOff>9525</xdr:rowOff>
                  </from>
                  <to>
                    <xdr:col>10</xdr:col>
                    <xdr:colOff>133350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4" name="Drop Down 316">
              <controlPr defaultSize="0" autoLine="0" autoPict="0">
                <anchor moveWithCells="1">
                  <from>
                    <xdr:col>15</xdr:col>
                    <xdr:colOff>0</xdr:colOff>
                    <xdr:row>24</xdr:row>
                    <xdr:rowOff>238125</xdr:rowOff>
                  </from>
                  <to>
                    <xdr:col>15</xdr:col>
                    <xdr:colOff>733425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5" name="Spinner 317">
              <controlPr defaultSize="0" autoPict="0">
                <anchor moveWithCells="1" sizeWithCells="1">
                  <from>
                    <xdr:col>14</xdr:col>
                    <xdr:colOff>323850</xdr:colOff>
                    <xdr:row>25</xdr:row>
                    <xdr:rowOff>9525</xdr:rowOff>
                  </from>
                  <to>
                    <xdr:col>14</xdr:col>
                    <xdr:colOff>466725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6" name="Spinner 319">
              <controlPr defaultSize="0" autoPict="0">
                <anchor moveWithCells="1" sizeWithCells="1">
                  <from>
                    <xdr:col>8</xdr:col>
                    <xdr:colOff>495300</xdr:colOff>
                    <xdr:row>26</xdr:row>
                    <xdr:rowOff>9525</xdr:rowOff>
                  </from>
                  <to>
                    <xdr:col>8</xdr:col>
                    <xdr:colOff>628650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7" name="Spinner 321">
              <controlPr defaultSize="0" autoPict="0">
                <anchor moveWithCells="1" sizeWithCells="1">
                  <from>
                    <xdr:col>10</xdr:col>
                    <xdr:colOff>0</xdr:colOff>
                    <xdr:row>26</xdr:row>
                    <xdr:rowOff>9525</xdr:rowOff>
                  </from>
                  <to>
                    <xdr:col>10</xdr:col>
                    <xdr:colOff>133350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8" name="Drop Down 323">
              <controlPr defaultSize="0" autoLine="0" autoPict="0">
                <anchor moveWithCells="1">
                  <from>
                    <xdr:col>15</xdr:col>
                    <xdr:colOff>0</xdr:colOff>
                    <xdr:row>25</xdr:row>
                    <xdr:rowOff>228600</xdr:rowOff>
                  </from>
                  <to>
                    <xdr:col>15</xdr:col>
                    <xdr:colOff>733425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9" name="Spinner 324">
              <controlPr defaultSize="0" autoPict="0">
                <anchor moveWithCells="1" sizeWithCells="1">
                  <from>
                    <xdr:col>14</xdr:col>
                    <xdr:colOff>323850</xdr:colOff>
                    <xdr:row>26</xdr:row>
                    <xdr:rowOff>9525</xdr:rowOff>
                  </from>
                  <to>
                    <xdr:col>14</xdr:col>
                    <xdr:colOff>466725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80" name="Spinner 326">
              <controlPr defaultSize="0" autoPict="0">
                <anchor moveWithCells="1" sizeWithCells="1">
                  <from>
                    <xdr:col>8</xdr:col>
                    <xdr:colOff>495300</xdr:colOff>
                    <xdr:row>27</xdr:row>
                    <xdr:rowOff>9525</xdr:rowOff>
                  </from>
                  <to>
                    <xdr:col>8</xdr:col>
                    <xdr:colOff>628650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1" name="Spinner 328">
              <controlPr defaultSize="0" autoPict="0">
                <anchor moveWithCells="1" sizeWithCells="1">
                  <from>
                    <xdr:col>10</xdr:col>
                    <xdr:colOff>0</xdr:colOff>
                    <xdr:row>27</xdr:row>
                    <xdr:rowOff>9525</xdr:rowOff>
                  </from>
                  <to>
                    <xdr:col>10</xdr:col>
                    <xdr:colOff>133350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2" name="Drop Down 330">
              <controlPr defaultSize="0" autoLine="0" autoPict="0">
                <anchor moveWithCells="1">
                  <from>
                    <xdr:col>15</xdr:col>
                    <xdr:colOff>0</xdr:colOff>
                    <xdr:row>26</xdr:row>
                    <xdr:rowOff>228600</xdr:rowOff>
                  </from>
                  <to>
                    <xdr:col>15</xdr:col>
                    <xdr:colOff>733425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3" name="Spinner 331">
              <controlPr defaultSize="0" autoPict="0">
                <anchor moveWithCells="1" sizeWithCells="1">
                  <from>
                    <xdr:col>14</xdr:col>
                    <xdr:colOff>323850</xdr:colOff>
                    <xdr:row>27</xdr:row>
                    <xdr:rowOff>9525</xdr:rowOff>
                  </from>
                  <to>
                    <xdr:col>14</xdr:col>
                    <xdr:colOff>466725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4" name="Spinner 364">
              <controlPr defaultSize="0" autoPict="0">
                <anchor moveWithCells="1" sizeWithCells="1">
                  <from>
                    <xdr:col>8</xdr:col>
                    <xdr:colOff>495300</xdr:colOff>
                    <xdr:row>9</xdr:row>
                    <xdr:rowOff>9525</xdr:rowOff>
                  </from>
                  <to>
                    <xdr:col>8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5" name="Spinner 365">
              <controlPr defaultSize="0" autoPict="0">
                <anchor moveWithCells="1" sizeWithCells="1">
                  <from>
                    <xdr:col>17</xdr:col>
                    <xdr:colOff>504825</xdr:colOff>
                    <xdr:row>8</xdr:row>
                    <xdr:rowOff>9525</xdr:rowOff>
                  </from>
                  <to>
                    <xdr:col>18</xdr:col>
                    <xdr:colOff>28575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6" name="Spinner 374">
              <controlPr defaultSize="0" autoPict="0">
                <anchor moveWithCells="1" sizeWithCells="1">
                  <from>
                    <xdr:col>17</xdr:col>
                    <xdr:colOff>504825</xdr:colOff>
                    <xdr:row>9</xdr:row>
                    <xdr:rowOff>9525</xdr:rowOff>
                  </from>
                  <to>
                    <xdr:col>18</xdr:col>
                    <xdr:colOff>28575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7" name="Spinner 375">
              <controlPr defaultSize="0" autoPict="0">
                <anchor moveWithCells="1" sizeWithCells="1">
                  <from>
                    <xdr:col>17</xdr:col>
                    <xdr:colOff>504825</xdr:colOff>
                    <xdr:row>10</xdr:row>
                    <xdr:rowOff>9525</xdr:rowOff>
                  </from>
                  <to>
                    <xdr:col>18</xdr:col>
                    <xdr:colOff>28575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8" name="Spinner 376">
              <controlPr defaultSize="0" autoPict="0">
                <anchor moveWithCells="1" sizeWithCells="1">
                  <from>
                    <xdr:col>17</xdr:col>
                    <xdr:colOff>504825</xdr:colOff>
                    <xdr:row>11</xdr:row>
                    <xdr:rowOff>9525</xdr:rowOff>
                  </from>
                  <to>
                    <xdr:col>18</xdr:col>
                    <xdr:colOff>28575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9" name="Spinner 377">
              <controlPr defaultSize="0" autoPict="0">
                <anchor moveWithCells="1" sizeWithCells="1">
                  <from>
                    <xdr:col>17</xdr:col>
                    <xdr:colOff>504825</xdr:colOff>
                    <xdr:row>12</xdr:row>
                    <xdr:rowOff>9525</xdr:rowOff>
                  </from>
                  <to>
                    <xdr:col>18</xdr:col>
                    <xdr:colOff>28575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90" name="Spinner 378">
              <controlPr defaultSize="0" autoPict="0">
                <anchor moveWithCells="1" sizeWithCells="1">
                  <from>
                    <xdr:col>17</xdr:col>
                    <xdr:colOff>504825</xdr:colOff>
                    <xdr:row>13</xdr:row>
                    <xdr:rowOff>9525</xdr:rowOff>
                  </from>
                  <to>
                    <xdr:col>18</xdr:col>
                    <xdr:colOff>28575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1" name="Spinner 379">
              <controlPr defaultSize="0" autoPict="0">
                <anchor moveWithCells="1" sizeWithCells="1">
                  <from>
                    <xdr:col>17</xdr:col>
                    <xdr:colOff>504825</xdr:colOff>
                    <xdr:row>14</xdr:row>
                    <xdr:rowOff>9525</xdr:rowOff>
                  </from>
                  <to>
                    <xdr:col>18</xdr:col>
                    <xdr:colOff>28575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2" name="Spinner 380">
              <controlPr defaultSize="0" autoPict="0">
                <anchor moveWithCells="1" sizeWithCells="1">
                  <from>
                    <xdr:col>17</xdr:col>
                    <xdr:colOff>504825</xdr:colOff>
                    <xdr:row>15</xdr:row>
                    <xdr:rowOff>9525</xdr:rowOff>
                  </from>
                  <to>
                    <xdr:col>18</xdr:col>
                    <xdr:colOff>28575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3" name="Spinner 381">
              <controlPr defaultSize="0" autoPict="0">
                <anchor moveWithCells="1" sizeWithCells="1">
                  <from>
                    <xdr:col>17</xdr:col>
                    <xdr:colOff>504825</xdr:colOff>
                    <xdr:row>16</xdr:row>
                    <xdr:rowOff>9525</xdr:rowOff>
                  </from>
                  <to>
                    <xdr:col>18</xdr:col>
                    <xdr:colOff>28575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4" name="Spinner 382">
              <controlPr defaultSize="0" autoPict="0">
                <anchor moveWithCells="1" sizeWithCells="1">
                  <from>
                    <xdr:col>17</xdr:col>
                    <xdr:colOff>504825</xdr:colOff>
                    <xdr:row>17</xdr:row>
                    <xdr:rowOff>9525</xdr:rowOff>
                  </from>
                  <to>
                    <xdr:col>18</xdr:col>
                    <xdr:colOff>28575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5" name="Spinner 383">
              <controlPr defaultSize="0" autoPict="0">
                <anchor moveWithCells="1" sizeWithCells="1">
                  <from>
                    <xdr:col>17</xdr:col>
                    <xdr:colOff>504825</xdr:colOff>
                    <xdr:row>18</xdr:row>
                    <xdr:rowOff>9525</xdr:rowOff>
                  </from>
                  <to>
                    <xdr:col>18</xdr:col>
                    <xdr:colOff>28575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6" name="Spinner 384">
              <controlPr defaultSize="0" autoPict="0">
                <anchor moveWithCells="1" sizeWithCells="1">
                  <from>
                    <xdr:col>17</xdr:col>
                    <xdr:colOff>504825</xdr:colOff>
                    <xdr:row>19</xdr:row>
                    <xdr:rowOff>9525</xdr:rowOff>
                  </from>
                  <to>
                    <xdr:col>18</xdr:col>
                    <xdr:colOff>28575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7" name="Spinner 385">
              <controlPr defaultSize="0" autoPict="0">
                <anchor moveWithCells="1" sizeWithCells="1">
                  <from>
                    <xdr:col>17</xdr:col>
                    <xdr:colOff>504825</xdr:colOff>
                    <xdr:row>20</xdr:row>
                    <xdr:rowOff>9525</xdr:rowOff>
                  </from>
                  <to>
                    <xdr:col>18</xdr:col>
                    <xdr:colOff>28575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8" name="Spinner 386">
              <controlPr defaultSize="0" autoPict="0">
                <anchor moveWithCells="1" sizeWithCells="1">
                  <from>
                    <xdr:col>17</xdr:col>
                    <xdr:colOff>504825</xdr:colOff>
                    <xdr:row>21</xdr:row>
                    <xdr:rowOff>9525</xdr:rowOff>
                  </from>
                  <to>
                    <xdr:col>18</xdr:col>
                    <xdr:colOff>28575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9" name="Spinner 387">
              <controlPr defaultSize="0" autoPict="0">
                <anchor moveWithCells="1" sizeWithCells="1">
                  <from>
                    <xdr:col>17</xdr:col>
                    <xdr:colOff>504825</xdr:colOff>
                    <xdr:row>22</xdr:row>
                    <xdr:rowOff>9525</xdr:rowOff>
                  </from>
                  <to>
                    <xdr:col>18</xdr:col>
                    <xdr:colOff>28575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00" name="Spinner 388">
              <controlPr defaultSize="0" autoPict="0">
                <anchor moveWithCells="1" sizeWithCells="1">
                  <from>
                    <xdr:col>17</xdr:col>
                    <xdr:colOff>504825</xdr:colOff>
                    <xdr:row>23</xdr:row>
                    <xdr:rowOff>9525</xdr:rowOff>
                  </from>
                  <to>
                    <xdr:col>18</xdr:col>
                    <xdr:colOff>28575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1" name="Spinner 389">
              <controlPr defaultSize="0" autoPict="0">
                <anchor moveWithCells="1" sizeWithCells="1">
                  <from>
                    <xdr:col>17</xdr:col>
                    <xdr:colOff>504825</xdr:colOff>
                    <xdr:row>24</xdr:row>
                    <xdr:rowOff>9525</xdr:rowOff>
                  </from>
                  <to>
                    <xdr:col>18</xdr:col>
                    <xdr:colOff>28575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2" name="Spinner 390">
              <controlPr defaultSize="0" autoPict="0">
                <anchor moveWithCells="1" sizeWithCells="1">
                  <from>
                    <xdr:col>17</xdr:col>
                    <xdr:colOff>504825</xdr:colOff>
                    <xdr:row>25</xdr:row>
                    <xdr:rowOff>9525</xdr:rowOff>
                  </from>
                  <to>
                    <xdr:col>18</xdr:col>
                    <xdr:colOff>28575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3" name="Spinner 391">
              <controlPr defaultSize="0" autoPict="0">
                <anchor moveWithCells="1" sizeWithCells="1">
                  <from>
                    <xdr:col>17</xdr:col>
                    <xdr:colOff>504825</xdr:colOff>
                    <xdr:row>26</xdr:row>
                    <xdr:rowOff>9525</xdr:rowOff>
                  </from>
                  <to>
                    <xdr:col>18</xdr:col>
                    <xdr:colOff>28575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4" name="Spinner 392">
              <controlPr defaultSize="0" autoPict="0">
                <anchor moveWithCells="1" sizeWithCells="1">
                  <from>
                    <xdr:col>17</xdr:col>
                    <xdr:colOff>504825</xdr:colOff>
                    <xdr:row>27</xdr:row>
                    <xdr:rowOff>9525</xdr:rowOff>
                  </from>
                  <to>
                    <xdr:col>18</xdr:col>
                    <xdr:colOff>28575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5" name="Drop Down 431">
              <controlPr defaultSize="0" autoLine="0" autoPict="0">
                <anchor moveWithCells="1">
                  <from>
                    <xdr:col>15</xdr:col>
                    <xdr:colOff>0</xdr:colOff>
                    <xdr:row>9</xdr:row>
                    <xdr:rowOff>247650</xdr:rowOff>
                  </from>
                  <to>
                    <xdr:col>15</xdr:col>
                    <xdr:colOff>733425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106" name="Drop Down 45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2" r:id="rId107" name="Drop Down 460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7" r:id="rId108" name="Drop Down 46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2" r:id="rId109" name="Drop Down 470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7" r:id="rId110" name="Drop Down 47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2" r:id="rId111" name="Drop Down 480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7" r:id="rId112" name="Drop Down 48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2" r:id="rId113" name="Drop Down 490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7" r:id="rId114" name="Drop Down 49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2" r:id="rId115" name="Drop Down 500">
              <controlPr defaultSize="0" autoLine="0" autoPict="0">
                <anchor moveWithCells="1">
                  <from>
                    <xdr:col>15</xdr:col>
                    <xdr:colOff>0</xdr:colOff>
                    <xdr:row>27</xdr:row>
                    <xdr:rowOff>228600</xdr:rowOff>
                  </from>
                  <to>
                    <xdr:col>15</xdr:col>
                    <xdr:colOff>733425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5" r:id="rId116" name="Spinner 503">
              <controlPr defaultSize="0" autoPict="0">
                <anchor moveWithCells="1" sizeWithCells="1">
                  <from>
                    <xdr:col>8</xdr:col>
                    <xdr:colOff>495300</xdr:colOff>
                    <xdr:row>28</xdr:row>
                    <xdr:rowOff>9525</xdr:rowOff>
                  </from>
                  <to>
                    <xdr:col>8</xdr:col>
                    <xdr:colOff>628650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6" r:id="rId117" name="Spinner 504">
              <controlPr defaultSize="0" autoPict="0">
                <anchor moveWithCells="1" sizeWithCells="1">
                  <from>
                    <xdr:col>10</xdr:col>
                    <xdr:colOff>0</xdr:colOff>
                    <xdr:row>28</xdr:row>
                    <xdr:rowOff>9525</xdr:rowOff>
                  </from>
                  <to>
                    <xdr:col>10</xdr:col>
                    <xdr:colOff>133350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8" r:id="rId118" name="Spinner 506">
              <controlPr defaultSize="0" autoPict="0">
                <anchor moveWithCells="1" sizeWithCells="1">
                  <from>
                    <xdr:col>14</xdr:col>
                    <xdr:colOff>323850</xdr:colOff>
                    <xdr:row>28</xdr:row>
                    <xdr:rowOff>9525</xdr:rowOff>
                  </from>
                  <to>
                    <xdr:col>14</xdr:col>
                    <xdr:colOff>466725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9" r:id="rId119" name="Spinner 507">
              <controlPr defaultSize="0" autoPict="0">
                <anchor moveWithCells="1" sizeWithCells="1">
                  <from>
                    <xdr:col>17</xdr:col>
                    <xdr:colOff>504825</xdr:colOff>
                    <xdr:row>28</xdr:row>
                    <xdr:rowOff>9525</xdr:rowOff>
                  </from>
                  <to>
                    <xdr:col>18</xdr:col>
                    <xdr:colOff>28575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0" r:id="rId120" name="Drop Down 508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1" r:id="rId121" name="Drop Down 509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2" r:id="rId122" name="Drop Down 510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3" r:id="rId123" name="Drop Down 511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" r:id="rId124" name="Drop Down 512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5" r:id="rId125" name="Drop Down 513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6" r:id="rId126" name="Drop Down 514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7" r:id="rId127" name="Drop Down 515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8" r:id="rId128" name="Drop Down 516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9" r:id="rId129" name="Drop Down 517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228600</xdr:rowOff>
                  </from>
                  <to>
                    <xdr:col>15</xdr:col>
                    <xdr:colOff>733425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0" r:id="rId130" name="Spinner 518">
              <controlPr defaultSize="0" autoPict="0">
                <anchor moveWithCells="1" sizeWithCells="1">
                  <from>
                    <xdr:col>8</xdr:col>
                    <xdr:colOff>495300</xdr:colOff>
                    <xdr:row>29</xdr:row>
                    <xdr:rowOff>9525</xdr:rowOff>
                  </from>
                  <to>
                    <xdr:col>8</xdr:col>
                    <xdr:colOff>628650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1" r:id="rId131" name="Spinner 519">
              <controlPr defaultSize="0" autoPict="0">
                <anchor moveWithCells="1" sizeWithCells="1">
                  <from>
                    <xdr:col>10</xdr:col>
                    <xdr:colOff>0</xdr:colOff>
                    <xdr:row>29</xdr:row>
                    <xdr:rowOff>9525</xdr:rowOff>
                  </from>
                  <to>
                    <xdr:col>10</xdr:col>
                    <xdr:colOff>133350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3" r:id="rId132" name="Spinner 521">
              <controlPr defaultSize="0" autoPict="0">
                <anchor moveWithCells="1" sizeWithCells="1">
                  <from>
                    <xdr:col>14</xdr:col>
                    <xdr:colOff>323850</xdr:colOff>
                    <xdr:row>29</xdr:row>
                    <xdr:rowOff>9525</xdr:rowOff>
                  </from>
                  <to>
                    <xdr:col>14</xdr:col>
                    <xdr:colOff>466725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4" r:id="rId133" name="Spinner 522">
              <controlPr defaultSize="0" autoPict="0">
                <anchor moveWithCells="1" sizeWithCells="1">
                  <from>
                    <xdr:col>17</xdr:col>
                    <xdr:colOff>504825</xdr:colOff>
                    <xdr:row>29</xdr:row>
                    <xdr:rowOff>9525</xdr:rowOff>
                  </from>
                  <to>
                    <xdr:col>18</xdr:col>
                    <xdr:colOff>28575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5" r:id="rId134" name="Drop Down 523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6" r:id="rId135" name="Drop Down 524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7" r:id="rId136" name="Drop Down 525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8" r:id="rId137" name="Drop Down 526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9" r:id="rId138" name="Drop Down 527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0" r:id="rId139" name="Drop Down 528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1" r:id="rId140" name="Drop Down 529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2" r:id="rId141" name="Drop Down 530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3" r:id="rId142" name="Drop Down 531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" r:id="rId143" name="Drop Down 532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228600</xdr:rowOff>
                  </from>
                  <to>
                    <xdr:col>15</xdr:col>
                    <xdr:colOff>733425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5" r:id="rId144" name="Spinner 533">
              <controlPr defaultSize="0" autoPict="0">
                <anchor moveWithCells="1" sizeWithCells="1">
                  <from>
                    <xdr:col>8</xdr:col>
                    <xdr:colOff>495300</xdr:colOff>
                    <xdr:row>30</xdr:row>
                    <xdr:rowOff>9525</xdr:rowOff>
                  </from>
                  <to>
                    <xdr:col>8</xdr:col>
                    <xdr:colOff>628650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6" r:id="rId145" name="Spinner 534">
              <controlPr defaultSize="0" autoPict="0">
                <anchor moveWithCells="1" sizeWithCells="1">
                  <from>
                    <xdr:col>10</xdr:col>
                    <xdr:colOff>0</xdr:colOff>
                    <xdr:row>30</xdr:row>
                    <xdr:rowOff>9525</xdr:rowOff>
                  </from>
                  <to>
                    <xdr:col>10</xdr:col>
                    <xdr:colOff>133350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7" r:id="rId146" name="Spinner 535">
              <controlPr defaultSize="0" autoPict="0">
                <anchor moveWithCells="1" sizeWithCells="1">
                  <from>
                    <xdr:col>14</xdr:col>
                    <xdr:colOff>323850</xdr:colOff>
                    <xdr:row>30</xdr:row>
                    <xdr:rowOff>9525</xdr:rowOff>
                  </from>
                  <to>
                    <xdr:col>14</xdr:col>
                    <xdr:colOff>466725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8" r:id="rId147" name="Spinner 536">
              <controlPr defaultSize="0" autoPict="0">
                <anchor moveWithCells="1" sizeWithCells="1">
                  <from>
                    <xdr:col>17</xdr:col>
                    <xdr:colOff>504825</xdr:colOff>
                    <xdr:row>30</xdr:row>
                    <xdr:rowOff>9525</xdr:rowOff>
                  </from>
                  <to>
                    <xdr:col>18</xdr:col>
                    <xdr:colOff>28575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9" r:id="rId148" name="Drop Down 537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0" r:id="rId149" name="Drop Down 538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1" r:id="rId150" name="Drop Down 539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2" r:id="rId151" name="Drop Down 540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3" r:id="rId152" name="Drop Down 541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4" r:id="rId153" name="Drop Down 542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5" r:id="rId154" name="Drop Down 543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6" r:id="rId155" name="Drop Down 544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7" r:id="rId156" name="Drop Down 545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8" r:id="rId157" name="Drop Down 546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228600</xdr:rowOff>
                  </from>
                  <to>
                    <xdr:col>15</xdr:col>
                    <xdr:colOff>733425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9" r:id="rId158" name="Spinner 547">
              <controlPr defaultSize="0" autoPict="0">
                <anchor moveWithCells="1" sizeWithCells="1">
                  <from>
                    <xdr:col>8</xdr:col>
                    <xdr:colOff>495300</xdr:colOff>
                    <xdr:row>31</xdr:row>
                    <xdr:rowOff>9525</xdr:rowOff>
                  </from>
                  <to>
                    <xdr:col>8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0" r:id="rId159" name="Spinner 548">
              <controlPr defaultSize="0" autoPict="0">
                <anchor moveWithCells="1" sizeWithCells="1">
                  <from>
                    <xdr:col>10</xdr:col>
                    <xdr:colOff>0</xdr:colOff>
                    <xdr:row>31</xdr:row>
                    <xdr:rowOff>9525</xdr:rowOff>
                  </from>
                  <to>
                    <xdr:col>10</xdr:col>
                    <xdr:colOff>133350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1" r:id="rId160" name="Spinner 549">
              <controlPr defaultSize="0" autoPict="0">
                <anchor moveWithCells="1" sizeWithCells="1">
                  <from>
                    <xdr:col>14</xdr:col>
                    <xdr:colOff>323850</xdr:colOff>
                    <xdr:row>31</xdr:row>
                    <xdr:rowOff>9525</xdr:rowOff>
                  </from>
                  <to>
                    <xdr:col>14</xdr:col>
                    <xdr:colOff>466725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2" r:id="rId161" name="Spinner 550">
              <controlPr defaultSize="0" autoPict="0">
                <anchor moveWithCells="1" sizeWithCells="1">
                  <from>
                    <xdr:col>17</xdr:col>
                    <xdr:colOff>504825</xdr:colOff>
                    <xdr:row>31</xdr:row>
                    <xdr:rowOff>9525</xdr:rowOff>
                  </from>
                  <to>
                    <xdr:col>18</xdr:col>
                    <xdr:colOff>28575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3" r:id="rId162" name="Drop Down 551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4" r:id="rId163" name="Drop Down 552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5" r:id="rId164" name="Drop Down 553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6" r:id="rId165" name="Drop Down 554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7" r:id="rId166" name="Drop Down 555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8" r:id="rId167" name="Drop Down 556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9" r:id="rId168" name="Drop Down 557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0" r:id="rId169" name="Drop Down 558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1" r:id="rId170" name="Drop Down 559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2" r:id="rId171" name="Drop Down 560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228600</xdr:rowOff>
                  </from>
                  <to>
                    <xdr:col>15</xdr:col>
                    <xdr:colOff>733425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3" r:id="rId172" name="Spinner 561">
              <controlPr defaultSize="0" autoPict="0">
                <anchor moveWithCells="1" sizeWithCells="1">
                  <from>
                    <xdr:col>8</xdr:col>
                    <xdr:colOff>495300</xdr:colOff>
                    <xdr:row>32</xdr:row>
                    <xdr:rowOff>9525</xdr:rowOff>
                  </from>
                  <to>
                    <xdr:col>8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4" r:id="rId173" name="Spinner 562">
              <controlPr defaultSize="0" autoPict="0">
                <anchor moveWithCells="1" sizeWithCells="1">
                  <from>
                    <xdr:col>10</xdr:col>
                    <xdr:colOff>0</xdr:colOff>
                    <xdr:row>32</xdr:row>
                    <xdr:rowOff>9525</xdr:rowOff>
                  </from>
                  <to>
                    <xdr:col>10</xdr:col>
                    <xdr:colOff>133350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5" r:id="rId174" name="Spinner 563">
              <controlPr defaultSize="0" autoPict="0">
                <anchor moveWithCells="1" sizeWithCells="1">
                  <from>
                    <xdr:col>14</xdr:col>
                    <xdr:colOff>323850</xdr:colOff>
                    <xdr:row>32</xdr:row>
                    <xdr:rowOff>9525</xdr:rowOff>
                  </from>
                  <to>
                    <xdr:col>14</xdr:col>
                    <xdr:colOff>466725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6" r:id="rId175" name="Spinner 564">
              <controlPr defaultSize="0" autoPict="0">
                <anchor moveWithCells="1" sizeWithCells="1">
                  <from>
                    <xdr:col>17</xdr:col>
                    <xdr:colOff>504825</xdr:colOff>
                    <xdr:row>32</xdr:row>
                    <xdr:rowOff>9525</xdr:rowOff>
                  </from>
                  <to>
                    <xdr:col>18</xdr:col>
                    <xdr:colOff>28575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7" r:id="rId176" name="Drop Down 565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8" r:id="rId177" name="Drop Down 566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9" r:id="rId178" name="Drop Down 567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0" r:id="rId179" name="Drop Down 568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1" r:id="rId180" name="Drop Down 569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2" r:id="rId181" name="Drop Down 570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3" r:id="rId182" name="Drop Down 571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4" r:id="rId183" name="Drop Down 572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5" r:id="rId184" name="Drop Down 573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6" r:id="rId185" name="Drop Down 574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228600</xdr:rowOff>
                  </from>
                  <to>
                    <xdr:col>15</xdr:col>
                    <xdr:colOff>733425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7" r:id="rId186" name="Spinner 575">
              <controlPr defaultSize="0" autoPict="0">
                <anchor moveWithCells="1" sizeWithCells="1">
                  <from>
                    <xdr:col>8</xdr:col>
                    <xdr:colOff>495300</xdr:colOff>
                    <xdr:row>33</xdr:row>
                    <xdr:rowOff>9525</xdr:rowOff>
                  </from>
                  <to>
                    <xdr:col>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8" r:id="rId187" name="Spinner 576">
              <controlPr defaultSize="0" autoPict="0">
                <anchor moveWithCells="1" sizeWithCells="1">
                  <from>
                    <xdr:col>10</xdr:col>
                    <xdr:colOff>0</xdr:colOff>
                    <xdr:row>33</xdr:row>
                    <xdr:rowOff>9525</xdr:rowOff>
                  </from>
                  <to>
                    <xdr:col>10</xdr:col>
                    <xdr:colOff>133350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9" r:id="rId188" name="Spinner 577">
              <controlPr defaultSize="0" autoPict="0">
                <anchor moveWithCells="1" sizeWithCells="1">
                  <from>
                    <xdr:col>14</xdr:col>
                    <xdr:colOff>323850</xdr:colOff>
                    <xdr:row>33</xdr:row>
                    <xdr:rowOff>9525</xdr:rowOff>
                  </from>
                  <to>
                    <xdr:col>14</xdr:col>
                    <xdr:colOff>466725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0" r:id="rId189" name="Spinner 578">
              <controlPr defaultSize="0" autoPict="0">
                <anchor moveWithCells="1" sizeWithCells="1">
                  <from>
                    <xdr:col>17</xdr:col>
                    <xdr:colOff>504825</xdr:colOff>
                    <xdr:row>33</xdr:row>
                    <xdr:rowOff>9525</xdr:rowOff>
                  </from>
                  <to>
                    <xdr:col>18</xdr:col>
                    <xdr:colOff>28575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1" r:id="rId190" name="Drop Down 579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2" r:id="rId191" name="Drop Down 580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3" r:id="rId192" name="Drop Down 581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4" r:id="rId193" name="Drop Down 582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5" r:id="rId194" name="Drop Down 583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" r:id="rId195" name="Drop Down 584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7" r:id="rId196" name="Drop Down 585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8" r:id="rId197" name="Drop Down 586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9" r:id="rId198" name="Drop Down 587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0" r:id="rId199" name="Drop Down 588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228600</xdr:rowOff>
                  </from>
                  <to>
                    <xdr:col>15</xdr:col>
                    <xdr:colOff>733425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1" r:id="rId200" name="Spinner 589">
              <controlPr defaultSize="0" autoPict="0">
                <anchor moveWithCells="1" sizeWithCells="1">
                  <from>
                    <xdr:col>8</xdr:col>
                    <xdr:colOff>495300</xdr:colOff>
                    <xdr:row>34</xdr:row>
                    <xdr:rowOff>19050</xdr:rowOff>
                  </from>
                  <to>
                    <xdr:col>8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2" r:id="rId201" name="Spinner 590">
              <controlPr defaultSize="0" autoPict="0">
                <anchor moveWithCells="1" sizeWithCells="1">
                  <from>
                    <xdr:col>10</xdr:col>
                    <xdr:colOff>0</xdr:colOff>
                    <xdr:row>34</xdr:row>
                    <xdr:rowOff>19050</xdr:rowOff>
                  </from>
                  <to>
                    <xdr:col>10</xdr:col>
                    <xdr:colOff>133350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3" r:id="rId202" name="Spinner 591">
              <controlPr defaultSize="0" autoPict="0">
                <anchor moveWithCells="1" sizeWithCells="1">
                  <from>
                    <xdr:col>14</xdr:col>
                    <xdr:colOff>323850</xdr:colOff>
                    <xdr:row>34</xdr:row>
                    <xdr:rowOff>19050</xdr:rowOff>
                  </from>
                  <to>
                    <xdr:col>14</xdr:col>
                    <xdr:colOff>466725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4" r:id="rId203" name="Spinner 592">
              <controlPr defaultSize="0" autoPict="0">
                <anchor moveWithCells="1" sizeWithCells="1">
                  <from>
                    <xdr:col>17</xdr:col>
                    <xdr:colOff>504825</xdr:colOff>
                    <xdr:row>34</xdr:row>
                    <xdr:rowOff>19050</xdr:rowOff>
                  </from>
                  <to>
                    <xdr:col>18</xdr:col>
                    <xdr:colOff>28575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5" r:id="rId204" name="Drop Down 593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6" r:id="rId205" name="Drop Down 594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7" r:id="rId206" name="Drop Down 595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8" r:id="rId207" name="Drop Down 596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9" r:id="rId208" name="Drop Down 597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0" r:id="rId209" name="Drop Down 598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1" r:id="rId210" name="Drop Down 599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2" r:id="rId211" name="Drop Down 600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3" r:id="rId212" name="Drop Down 601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4" r:id="rId213" name="Drop Down 602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228600</xdr:rowOff>
                  </from>
                  <to>
                    <xdr:col>15</xdr:col>
                    <xdr:colOff>733425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5" r:id="rId214" name="Spinner 603">
              <controlPr defaultSize="0" autoPict="0">
                <anchor moveWithCells="1" sizeWithCells="1">
                  <from>
                    <xdr:col>8</xdr:col>
                    <xdr:colOff>495300</xdr:colOff>
                    <xdr:row>35</xdr:row>
                    <xdr:rowOff>19050</xdr:rowOff>
                  </from>
                  <to>
                    <xdr:col>8</xdr:col>
                    <xdr:colOff>628650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6" r:id="rId215" name="Spinner 604">
              <controlPr defaultSize="0" autoPict="0">
                <anchor moveWithCells="1" sizeWithCells="1">
                  <from>
                    <xdr:col>10</xdr:col>
                    <xdr:colOff>0</xdr:colOff>
                    <xdr:row>35</xdr:row>
                    <xdr:rowOff>19050</xdr:rowOff>
                  </from>
                  <to>
                    <xdr:col>10</xdr:col>
                    <xdr:colOff>133350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7" r:id="rId216" name="Spinner 605">
              <controlPr defaultSize="0" autoPict="0">
                <anchor moveWithCells="1" sizeWithCells="1">
                  <from>
                    <xdr:col>14</xdr:col>
                    <xdr:colOff>323850</xdr:colOff>
                    <xdr:row>35</xdr:row>
                    <xdr:rowOff>19050</xdr:rowOff>
                  </from>
                  <to>
                    <xdr:col>14</xdr:col>
                    <xdr:colOff>466725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8" r:id="rId217" name="Spinner 606">
              <controlPr defaultSize="0" autoPict="0">
                <anchor moveWithCells="1" sizeWithCells="1">
                  <from>
                    <xdr:col>17</xdr:col>
                    <xdr:colOff>504825</xdr:colOff>
                    <xdr:row>35</xdr:row>
                    <xdr:rowOff>19050</xdr:rowOff>
                  </from>
                  <to>
                    <xdr:col>18</xdr:col>
                    <xdr:colOff>28575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9" r:id="rId218" name="Drop Down 607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0" r:id="rId219" name="Drop Down 608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1" r:id="rId220" name="Drop Down 609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2" r:id="rId221" name="Drop Down 610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3" r:id="rId222" name="Drop Down 611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4" r:id="rId223" name="Drop Down 612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5" r:id="rId224" name="Drop Down 613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" r:id="rId225" name="Drop Down 614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7" r:id="rId226" name="Drop Down 615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8" r:id="rId227" name="Drop Down 616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228600</xdr:rowOff>
                  </from>
                  <to>
                    <xdr:col>15</xdr:col>
                    <xdr:colOff>733425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9" r:id="rId228" name="Spinner 617">
              <controlPr defaultSize="0" autoPict="0">
                <anchor moveWithCells="1" sizeWithCells="1">
                  <from>
                    <xdr:col>8</xdr:col>
                    <xdr:colOff>495300</xdr:colOff>
                    <xdr:row>36</xdr:row>
                    <xdr:rowOff>19050</xdr:rowOff>
                  </from>
                  <to>
                    <xdr:col>8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0" r:id="rId229" name="Spinner 618">
              <controlPr defaultSize="0" autoPict="0">
                <anchor moveWithCells="1" sizeWithCells="1">
                  <from>
                    <xdr:col>10</xdr:col>
                    <xdr:colOff>0</xdr:colOff>
                    <xdr:row>36</xdr:row>
                    <xdr:rowOff>19050</xdr:rowOff>
                  </from>
                  <to>
                    <xdr:col>10</xdr:col>
                    <xdr:colOff>133350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1" r:id="rId230" name="Spinner 619">
              <controlPr defaultSize="0" autoPict="0">
                <anchor moveWithCells="1" sizeWithCells="1">
                  <from>
                    <xdr:col>14</xdr:col>
                    <xdr:colOff>323850</xdr:colOff>
                    <xdr:row>36</xdr:row>
                    <xdr:rowOff>19050</xdr:rowOff>
                  </from>
                  <to>
                    <xdr:col>14</xdr:col>
                    <xdr:colOff>466725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2" r:id="rId231" name="Spinner 620">
              <controlPr defaultSize="0" autoPict="0">
                <anchor moveWithCells="1" sizeWithCells="1">
                  <from>
                    <xdr:col>17</xdr:col>
                    <xdr:colOff>504825</xdr:colOff>
                    <xdr:row>36</xdr:row>
                    <xdr:rowOff>19050</xdr:rowOff>
                  </from>
                  <to>
                    <xdr:col>18</xdr:col>
                    <xdr:colOff>28575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" r:id="rId232" name="Drop Down 621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" r:id="rId233" name="Drop Down 622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" r:id="rId234" name="Drop Down 623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6" r:id="rId235" name="Drop Down 624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7" r:id="rId236" name="Drop Down 625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8" r:id="rId237" name="Drop Down 626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9" r:id="rId238" name="Drop Down 627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0" r:id="rId239" name="Drop Down 628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1" r:id="rId240" name="Drop Down 629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2" r:id="rId241" name="Drop Down 630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228600</xdr:rowOff>
                  </from>
                  <to>
                    <xdr:col>15</xdr:col>
                    <xdr:colOff>733425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3" r:id="rId242" name="Spinner 631">
              <controlPr defaultSize="0" autoPict="0">
                <anchor moveWithCells="1" sizeWithCells="1">
                  <from>
                    <xdr:col>8</xdr:col>
                    <xdr:colOff>495300</xdr:colOff>
                    <xdr:row>37</xdr:row>
                    <xdr:rowOff>19050</xdr:rowOff>
                  </from>
                  <to>
                    <xdr:col>8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" r:id="rId243" name="Spinner 632">
              <controlPr defaultSize="0" autoPict="0">
                <anchor moveWithCells="1" sizeWithCells="1">
                  <from>
                    <xdr:col>10</xdr:col>
                    <xdr:colOff>0</xdr:colOff>
                    <xdr:row>37</xdr:row>
                    <xdr:rowOff>19050</xdr:rowOff>
                  </from>
                  <to>
                    <xdr:col>10</xdr:col>
                    <xdr:colOff>133350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5" r:id="rId244" name="Spinner 633">
              <controlPr defaultSize="0" autoPict="0">
                <anchor moveWithCells="1" sizeWithCells="1">
                  <from>
                    <xdr:col>14</xdr:col>
                    <xdr:colOff>323850</xdr:colOff>
                    <xdr:row>37</xdr:row>
                    <xdr:rowOff>19050</xdr:rowOff>
                  </from>
                  <to>
                    <xdr:col>14</xdr:col>
                    <xdr:colOff>466725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6" r:id="rId245" name="Spinner 634">
              <controlPr defaultSize="0" autoPict="0">
                <anchor moveWithCells="1" sizeWithCells="1">
                  <from>
                    <xdr:col>17</xdr:col>
                    <xdr:colOff>504825</xdr:colOff>
                    <xdr:row>37</xdr:row>
                    <xdr:rowOff>19050</xdr:rowOff>
                  </from>
                  <to>
                    <xdr:col>18</xdr:col>
                    <xdr:colOff>28575</xdr:colOff>
                    <xdr:row>37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MedDisc">
    <tabColor rgb="FF92D050"/>
  </sheetPr>
  <dimension ref="A1:AP41"/>
  <sheetViews>
    <sheetView zoomScaleNormal="100" workbookViewId="0">
      <pane xSplit="1" ySplit="1" topLeftCell="Y2" activePane="bottomRight" state="frozen"/>
      <selection pane="topRight" activeCell="B1" sqref="B1"/>
      <selection pane="bottomLeft" activeCell="A2" sqref="A2"/>
      <selection pane="bottomRight" activeCell="Y2" sqref="Y2"/>
    </sheetView>
  </sheetViews>
  <sheetFormatPr defaultRowHeight="12.75" x14ac:dyDescent="0.2"/>
  <cols>
    <col min="2" max="2" width="10.28515625" customWidth="1"/>
    <col min="3" max="3" width="24.140625" customWidth="1"/>
    <col min="4" max="4" width="11.42578125" customWidth="1"/>
    <col min="5" max="5" width="10.42578125" customWidth="1"/>
    <col min="10" max="10" width="9.42578125" bestFit="1" customWidth="1"/>
    <col min="21" max="21" width="24.140625" customWidth="1"/>
    <col min="23" max="23" width="9.7109375" bestFit="1" customWidth="1"/>
    <col min="24" max="24" width="9.28515625" bestFit="1" customWidth="1"/>
    <col min="25" max="25" width="17.140625" customWidth="1"/>
    <col min="26" max="26" width="9.5703125" customWidth="1"/>
    <col min="28" max="28" width="35.140625" customWidth="1"/>
    <col min="29" max="29" width="84.5703125" customWidth="1"/>
    <col min="32" max="32" width="9" style="315"/>
    <col min="33" max="33" width="10.28515625" style="315" customWidth="1"/>
    <col min="37" max="37" width="29.140625" customWidth="1"/>
    <col min="39" max="39" width="15.42578125" customWidth="1"/>
    <col min="40" max="40" width="15.28515625" customWidth="1"/>
  </cols>
  <sheetData>
    <row r="1" spans="1:42" x14ac:dyDescent="0.2">
      <c r="A1" s="356"/>
      <c r="B1" s="316" t="s">
        <v>1128</v>
      </c>
      <c r="C1" s="316" t="s">
        <v>4637</v>
      </c>
      <c r="D1" s="135" t="s">
        <v>463</v>
      </c>
      <c r="E1" t="s">
        <v>160</v>
      </c>
      <c r="F1" t="s">
        <v>161</v>
      </c>
      <c r="G1" t="s">
        <v>144</v>
      </c>
      <c r="H1" t="s">
        <v>332</v>
      </c>
      <c r="I1" t="s">
        <v>375</v>
      </c>
      <c r="J1" t="s">
        <v>210</v>
      </c>
      <c r="K1" t="s">
        <v>145</v>
      </c>
      <c r="L1" t="s">
        <v>146</v>
      </c>
      <c r="M1" t="s">
        <v>97</v>
      </c>
      <c r="N1" t="s">
        <v>368</v>
      </c>
      <c r="O1" t="s">
        <v>369</v>
      </c>
      <c r="P1" t="s">
        <v>370</v>
      </c>
      <c r="Q1" t="s">
        <v>376</v>
      </c>
      <c r="R1" t="s">
        <v>229</v>
      </c>
      <c r="S1" t="s">
        <v>372</v>
      </c>
      <c r="T1" t="s">
        <v>373</v>
      </c>
      <c r="U1" s="316" t="s">
        <v>1127</v>
      </c>
      <c r="V1" t="s">
        <v>357</v>
      </c>
      <c r="W1" t="s">
        <v>447</v>
      </c>
      <c r="X1" t="s">
        <v>332</v>
      </c>
      <c r="Y1" t="s">
        <v>448</v>
      </c>
      <c r="Z1" t="s">
        <v>153</v>
      </c>
      <c r="AA1" t="s">
        <v>376</v>
      </c>
      <c r="AB1" t="s">
        <v>449</v>
      </c>
      <c r="AC1" t="s">
        <v>430</v>
      </c>
      <c r="AE1" s="316" t="s">
        <v>274</v>
      </c>
      <c r="AF1" s="316" t="s">
        <v>4465</v>
      </c>
      <c r="AG1" s="316" t="s">
        <v>4466</v>
      </c>
      <c r="AH1" s="316" t="s">
        <v>1129</v>
      </c>
      <c r="AI1" s="316" t="s">
        <v>206</v>
      </c>
      <c r="AJ1" s="316" t="s">
        <v>1130</v>
      </c>
      <c r="AK1" s="316" t="s">
        <v>1131</v>
      </c>
      <c r="AL1" s="316" t="s">
        <v>4459</v>
      </c>
      <c r="AM1" s="316" t="s">
        <v>4467</v>
      </c>
      <c r="AN1" s="316" t="s">
        <v>153</v>
      </c>
      <c r="AO1" s="316" t="s">
        <v>4470</v>
      </c>
      <c r="AP1" s="316" t="s">
        <v>4668</v>
      </c>
    </row>
    <row r="2" spans="1:42" x14ac:dyDescent="0.2">
      <c r="A2">
        <v>1</v>
      </c>
      <c r="E2" s="15">
        <v>0</v>
      </c>
      <c r="G2">
        <v>0</v>
      </c>
      <c r="H2">
        <f t="shared" ref="H2:H21" si="0">E2*G2</f>
        <v>0</v>
      </c>
      <c r="I2">
        <v>1</v>
      </c>
      <c r="J2" s="315">
        <f t="shared" ref="J2:J31" si="1">IF(AND(I2&gt;2,I2&lt;15),INDEX(tblMedDiscTijdenIndex,I2,1),)</f>
        <v>0</v>
      </c>
      <c r="K2">
        <f t="shared" ref="K2:K21" si="2">J2*H2</f>
        <v>0</v>
      </c>
      <c r="M2">
        <f t="shared" ref="M2:M31" si="3">IF(_Pat_Gewicht&gt;0,IF(ROUND(10*K2/_Pat_Gewicht,1) = 0,ROUND(10*K2/_Pat_Gewicht,2),ROUND(10*K2/_Pat_Gewicht,1) ),0)</f>
        <v>0</v>
      </c>
      <c r="N2">
        <v>0</v>
      </c>
      <c r="O2">
        <v>1</v>
      </c>
      <c r="P2">
        <f>IF(O2&gt;1,N2*J2,0)</f>
        <v>0</v>
      </c>
      <c r="Q2">
        <v>0</v>
      </c>
      <c r="R2">
        <f t="shared" ref="R2:R21" si="4">IF(O2=2,P2*0.155,0)</f>
        <v>0</v>
      </c>
      <c r="S2">
        <f t="shared" ref="S2:S21" si="5">IF(O2=3,P2*0.05,0)</f>
        <v>0</v>
      </c>
      <c r="T2">
        <f t="shared" ref="T2:T21" si="6">IF(O2=4,P2*0.1,0)</f>
        <v>0</v>
      </c>
      <c r="V2" t="str">
        <f>IF(U2=0,"",IF(U2=-1,C2,D2))</f>
        <v/>
      </c>
      <c r="W2" t="str">
        <f t="shared" ref="W2:W21" si="7">IF(IF(U2=0,"",INDEX(tblMedDiscTijden,I2,2))=0,"",IF(U2=0,"",INDEX(tblMedDiscTijden,I2,2)))</f>
        <v/>
      </c>
      <c r="X2" t="str">
        <f t="shared" ref="X2:X31" si="8">IF(U2=0,"",H2&amp;" "&amp;F2&amp;" ("&amp;ROUND(K2*10/_Pat_Gewicht,AD2)&amp;" "&amp;F2&amp;"/kg/dag)")</f>
        <v/>
      </c>
      <c r="Y2" t="str">
        <f>IF(U2=0,"",TRIM(L2))</f>
        <v/>
      </c>
      <c r="Z2" t="str">
        <f>IF(P2=0,"","opl: "&amp;N2&amp;" mL "&amp;INDEX(tblMedDiscOplVl,O2,1)&amp;" "&amp;IF(Q2=0,"","("&amp;ROUND(GlobBerMedDisc!H2/GlobBerMedDisc!N2,2)&amp;" "&amp;GlobBerMedDisc!F2&amp;"/ml)"))</f>
        <v/>
      </c>
      <c r="AA2" t="str">
        <f>IF(OR(Q2=0,Z2=""),"","in "&amp;Q2&amp;" min")</f>
        <v/>
      </c>
      <c r="AC2" t="str">
        <f>IF(OR(V2="",V2=0),"",TRIM(V2)&amp;"||"&amp;TRIM(W2)&amp;"||"&amp;TRIM(X2)&amp;"||"&amp;TRIM(Y2)&amp;"||"&amp;TRIM(Z2)&amp;"||"&amp;TRIM(AA2)&amp;"||"&amp;TRIM(AB2)&amp;"||"&amp;TRIM(U2)&amp;"||"&amp;TRIM(B2)&amp;"||"&amp;TRIM(AF2)&amp;"||"&amp;TRIM(AG2)&amp;"||"&amp;TRIM(AH2)&amp;"||"&amp;TRIM(AI2)&amp;"||"&amp;TRIM(AJ2)&amp;"||"&amp;TRIM(AK2))</f>
        <v/>
      </c>
      <c r="AD2">
        <f>IF(AE2&gt;=10,0,IF(AE2&gt;=1,1,IF(AE2&gt;=0,2,IF(AE2&gt;=0.1,3,IF(AE2&gt;=0.01,4,5)))))</f>
        <v>2</v>
      </c>
      <c r="AE2">
        <f t="shared" ref="AE2:AE31" si="9">IF(_Pat_Gewicht&gt;0,K2*10/_Pat_Gewicht,0)</f>
        <v>0</v>
      </c>
      <c r="AF2" s="315" t="b">
        <v>0</v>
      </c>
      <c r="AI2">
        <v>0</v>
      </c>
      <c r="AL2" t="str">
        <f>IF(OR(U2=0,U2=""),"","verw")</f>
        <v/>
      </c>
      <c r="AM2" t="str">
        <f>IF(C2&gt;1,M2&amp;" "&amp;F2&amp;"/kg/dag","")</f>
        <v/>
      </c>
      <c r="AN2" t="str">
        <f>IF(AND(C2&gt;1,O2&gt;1,N2&gt;0),ROUND(H2/N2,2)&amp;" "&amp;F2&amp;"/ml","")</f>
        <v/>
      </c>
      <c r="AO2" t="str">
        <f>IF(AF2,"PRN","")</f>
        <v/>
      </c>
      <c r="AP2" t="str">
        <f>TRIM(D2&amp;" "&amp;C2&amp;" "&amp;IF(AI2&gt;0,AI2&amp;" "&amp;AJ2,""))</f>
        <v/>
      </c>
    </row>
    <row r="3" spans="1:42" x14ac:dyDescent="0.2">
      <c r="A3">
        <v>2</v>
      </c>
      <c r="E3" s="15">
        <v>0</v>
      </c>
      <c r="G3">
        <v>0</v>
      </c>
      <c r="H3">
        <f t="shared" si="0"/>
        <v>0</v>
      </c>
      <c r="I3">
        <v>1</v>
      </c>
      <c r="J3" s="315">
        <f t="shared" si="1"/>
        <v>0</v>
      </c>
      <c r="K3">
        <f t="shared" si="2"/>
        <v>0</v>
      </c>
      <c r="M3" s="315">
        <f t="shared" si="3"/>
        <v>0</v>
      </c>
      <c r="N3">
        <v>0</v>
      </c>
      <c r="O3">
        <v>1</v>
      </c>
      <c r="P3">
        <f t="shared" ref="P3:P21" si="10">IF(O3&gt;1,N3*J3,0)</f>
        <v>0</v>
      </c>
      <c r="Q3">
        <v>0</v>
      </c>
      <c r="R3">
        <f t="shared" si="4"/>
        <v>0</v>
      </c>
      <c r="S3">
        <f t="shared" si="5"/>
        <v>0</v>
      </c>
      <c r="T3">
        <f t="shared" si="6"/>
        <v>0</v>
      </c>
      <c r="V3" t="str">
        <f t="shared" ref="V3:V21" si="11">IF(U3=0,"",IF(U3=-1,C3,D3))</f>
        <v/>
      </c>
      <c r="W3" s="315" t="str">
        <f t="shared" si="7"/>
        <v/>
      </c>
      <c r="X3" t="str">
        <f t="shared" si="8"/>
        <v/>
      </c>
      <c r="Y3" t="str">
        <f t="shared" ref="Y3:Y21" si="12">IF(U3=0,"",TRIM(L3))</f>
        <v/>
      </c>
      <c r="Z3" s="315" t="str">
        <f>IF(P3=0,"","opl: "&amp;N3&amp;" mL "&amp;INDEX(tblMedDiscOplVl,O3,1)&amp;" "&amp;IF(Q3=0,"","("&amp;ROUND(GlobBerMedDisc!H3/GlobBerMedDisc!N3,2)&amp;" "&amp;GlobBerMedDisc!F3&amp;"/ml)"))</f>
        <v/>
      </c>
      <c r="AA3" t="str">
        <f t="shared" ref="AA3:AA21" si="13">IF(OR(Q3=0,Z3=""),"","in "&amp;Q3&amp;" min")</f>
        <v/>
      </c>
      <c r="AC3" s="315" t="str">
        <f t="shared" ref="AC3:AC31" si="14">IF(OR(V3="",V3=0),"",TRIM(V3)&amp;"||"&amp;TRIM(W3)&amp;"||"&amp;TRIM(X3)&amp;"||"&amp;TRIM(Y3)&amp;"||"&amp;TRIM(Z3)&amp;"||"&amp;TRIM(AA3)&amp;"||"&amp;TRIM(AB3)&amp;"||"&amp;TRIM(U3)&amp;"||"&amp;TRIM(B3)&amp;"||"&amp;TRIM(AF3)&amp;"||"&amp;TRIM(AG3)&amp;"||"&amp;TRIM(AH3)&amp;"||"&amp;TRIM(AI3)&amp;"||"&amp;TRIM(AJ3)&amp;"||"&amp;TRIM(AK3))</f>
        <v/>
      </c>
      <c r="AD3">
        <f t="shared" ref="AD3:AD21" si="15">IF(AE3&gt;=10,0,IF(AE3&gt;=1,1,IF(AE3&gt;=0,2,IF(AE3&gt;=0.1,3,IF(AE3&gt;=0.01,4,5)))))</f>
        <v>2</v>
      </c>
      <c r="AE3" s="315">
        <f t="shared" si="9"/>
        <v>0</v>
      </c>
      <c r="AF3" s="315" t="b">
        <v>0</v>
      </c>
      <c r="AI3">
        <v>0</v>
      </c>
      <c r="AL3" s="315" t="str">
        <f t="shared" ref="AL3:AL31" si="16">IF(OR(U3=0,U3=""),"","verw")</f>
        <v/>
      </c>
      <c r="AM3" s="315" t="str">
        <f t="shared" ref="AM3:AM31" si="17">IF(C3&gt;1,M3&amp;" "&amp;F3&amp;"/kg/dag","")</f>
        <v/>
      </c>
      <c r="AN3" s="315" t="str">
        <f t="shared" ref="AN3:AN31" si="18">IF(AND(C3&gt;1,O3&gt;1,N3&gt;0),ROUND(H3/N3,2)&amp;" "&amp;F3&amp;"/ml","")</f>
        <v/>
      </c>
      <c r="AO3" s="315" t="str">
        <f t="shared" ref="AO3:AO31" si="19">IF(AF3,"PRN","")</f>
        <v/>
      </c>
      <c r="AP3" s="315" t="str">
        <f t="shared" ref="AP3:AP31" si="20">TRIM(D3&amp;" "&amp;C3&amp;" "&amp;IF(AI3&gt;0,AI3&amp;" "&amp;AJ3,""))</f>
        <v/>
      </c>
    </row>
    <row r="4" spans="1:42" x14ac:dyDescent="0.2">
      <c r="A4">
        <v>3</v>
      </c>
      <c r="E4" s="15">
        <v>0</v>
      </c>
      <c r="G4">
        <v>0</v>
      </c>
      <c r="H4">
        <f t="shared" si="0"/>
        <v>0</v>
      </c>
      <c r="I4">
        <v>1</v>
      </c>
      <c r="J4" s="315">
        <f t="shared" si="1"/>
        <v>0</v>
      </c>
      <c r="K4">
        <f t="shared" si="2"/>
        <v>0</v>
      </c>
      <c r="M4" s="315">
        <f t="shared" si="3"/>
        <v>0</v>
      </c>
      <c r="N4">
        <v>0</v>
      </c>
      <c r="O4">
        <v>1</v>
      </c>
      <c r="P4">
        <f t="shared" si="10"/>
        <v>0</v>
      </c>
      <c r="Q4">
        <v>0</v>
      </c>
      <c r="R4">
        <f t="shared" si="4"/>
        <v>0</v>
      </c>
      <c r="S4">
        <f t="shared" si="5"/>
        <v>0</v>
      </c>
      <c r="T4">
        <f t="shared" si="6"/>
        <v>0</v>
      </c>
      <c r="V4" t="str">
        <f t="shared" si="11"/>
        <v/>
      </c>
      <c r="W4" s="315" t="str">
        <f t="shared" si="7"/>
        <v/>
      </c>
      <c r="X4" t="str">
        <f t="shared" si="8"/>
        <v/>
      </c>
      <c r="Y4" t="str">
        <f t="shared" si="12"/>
        <v/>
      </c>
      <c r="Z4" s="315" t="str">
        <f>IF(P4=0,"","opl: "&amp;N4&amp;" mL "&amp;INDEX(tblMedDiscOplVl,O4,1)&amp;" "&amp;IF(Q4=0,"","("&amp;ROUND(GlobBerMedDisc!H4/GlobBerMedDisc!N4,2)&amp;" "&amp;GlobBerMedDisc!F4&amp;"/ml)"))</f>
        <v/>
      </c>
      <c r="AA4" t="str">
        <f t="shared" si="13"/>
        <v/>
      </c>
      <c r="AC4" s="315" t="str">
        <f t="shared" si="14"/>
        <v/>
      </c>
      <c r="AD4">
        <f t="shared" si="15"/>
        <v>2</v>
      </c>
      <c r="AE4" s="315">
        <f t="shared" si="9"/>
        <v>0</v>
      </c>
      <c r="AF4" s="315" t="b">
        <v>0</v>
      </c>
      <c r="AI4">
        <v>0</v>
      </c>
      <c r="AL4" s="315" t="str">
        <f t="shared" si="16"/>
        <v/>
      </c>
      <c r="AM4" s="315" t="str">
        <f t="shared" si="17"/>
        <v/>
      </c>
      <c r="AN4" s="315" t="str">
        <f t="shared" si="18"/>
        <v/>
      </c>
      <c r="AO4" s="315" t="str">
        <f t="shared" si="19"/>
        <v/>
      </c>
      <c r="AP4" s="315" t="str">
        <f t="shared" si="20"/>
        <v/>
      </c>
    </row>
    <row r="5" spans="1:42" x14ac:dyDescent="0.2">
      <c r="A5">
        <v>4</v>
      </c>
      <c r="E5" s="15">
        <v>0</v>
      </c>
      <c r="G5">
        <v>0</v>
      </c>
      <c r="H5">
        <f t="shared" si="0"/>
        <v>0</v>
      </c>
      <c r="I5">
        <v>1</v>
      </c>
      <c r="J5" s="315">
        <f t="shared" si="1"/>
        <v>0</v>
      </c>
      <c r="K5">
        <f t="shared" si="2"/>
        <v>0</v>
      </c>
      <c r="M5" s="315">
        <f t="shared" si="3"/>
        <v>0</v>
      </c>
      <c r="N5">
        <v>0</v>
      </c>
      <c r="O5">
        <v>1</v>
      </c>
      <c r="P5">
        <f t="shared" si="10"/>
        <v>0</v>
      </c>
      <c r="Q5">
        <v>0</v>
      </c>
      <c r="R5">
        <f t="shared" si="4"/>
        <v>0</v>
      </c>
      <c r="S5">
        <f t="shared" si="5"/>
        <v>0</v>
      </c>
      <c r="T5">
        <f t="shared" si="6"/>
        <v>0</v>
      </c>
      <c r="V5" t="str">
        <f t="shared" si="11"/>
        <v/>
      </c>
      <c r="W5" s="315" t="str">
        <f t="shared" si="7"/>
        <v/>
      </c>
      <c r="X5" t="str">
        <f t="shared" si="8"/>
        <v/>
      </c>
      <c r="Y5" t="str">
        <f t="shared" si="12"/>
        <v/>
      </c>
      <c r="Z5" s="315" t="str">
        <f>IF(P5=0,"","opl: "&amp;N5&amp;" mL "&amp;INDEX(tblMedDiscOplVl,O5,1)&amp;" "&amp;IF(Q5=0,"","("&amp;ROUND(GlobBerMedDisc!H5/GlobBerMedDisc!N5,2)&amp;" "&amp;GlobBerMedDisc!F5&amp;"/ml)"))</f>
        <v/>
      </c>
      <c r="AA5" t="str">
        <f t="shared" si="13"/>
        <v/>
      </c>
      <c r="AC5" s="315" t="str">
        <f t="shared" si="14"/>
        <v/>
      </c>
      <c r="AD5">
        <f t="shared" si="15"/>
        <v>2</v>
      </c>
      <c r="AE5" s="315">
        <f t="shared" si="9"/>
        <v>0</v>
      </c>
      <c r="AF5" s="315" t="b">
        <v>0</v>
      </c>
      <c r="AI5">
        <v>0</v>
      </c>
      <c r="AL5" s="315" t="str">
        <f t="shared" si="16"/>
        <v/>
      </c>
      <c r="AM5" s="315" t="str">
        <f t="shared" si="17"/>
        <v/>
      </c>
      <c r="AN5" s="315" t="str">
        <f t="shared" si="18"/>
        <v/>
      </c>
      <c r="AO5" s="315" t="str">
        <f t="shared" si="19"/>
        <v/>
      </c>
      <c r="AP5" s="315" t="str">
        <f t="shared" si="20"/>
        <v/>
      </c>
    </row>
    <row r="6" spans="1:42" x14ac:dyDescent="0.2">
      <c r="A6" s="356">
        <v>5</v>
      </c>
      <c r="E6" s="15">
        <v>0</v>
      </c>
      <c r="G6">
        <v>0</v>
      </c>
      <c r="H6">
        <f t="shared" si="0"/>
        <v>0</v>
      </c>
      <c r="I6">
        <v>1</v>
      </c>
      <c r="J6" s="315">
        <f t="shared" si="1"/>
        <v>0</v>
      </c>
      <c r="K6">
        <f t="shared" si="2"/>
        <v>0</v>
      </c>
      <c r="M6" s="315">
        <f t="shared" si="3"/>
        <v>0</v>
      </c>
      <c r="N6">
        <v>0</v>
      </c>
      <c r="O6">
        <v>1</v>
      </c>
      <c r="P6">
        <f t="shared" si="10"/>
        <v>0</v>
      </c>
      <c r="Q6">
        <v>0</v>
      </c>
      <c r="R6">
        <f t="shared" si="4"/>
        <v>0</v>
      </c>
      <c r="S6">
        <f t="shared" si="5"/>
        <v>0</v>
      </c>
      <c r="T6">
        <f t="shared" si="6"/>
        <v>0</v>
      </c>
      <c r="V6" t="str">
        <f t="shared" si="11"/>
        <v/>
      </c>
      <c r="W6" s="315" t="str">
        <f t="shared" si="7"/>
        <v/>
      </c>
      <c r="X6" t="str">
        <f t="shared" si="8"/>
        <v/>
      </c>
      <c r="Y6" t="str">
        <f t="shared" si="12"/>
        <v/>
      </c>
      <c r="Z6" s="315" t="str">
        <f>IF(P6=0,"","opl: "&amp;N6&amp;" mL "&amp;INDEX(tblMedDiscOplVl,O6,1)&amp;" "&amp;IF(Q6=0,"","("&amp;ROUND(GlobBerMedDisc!H6/GlobBerMedDisc!N6,2)&amp;" "&amp;GlobBerMedDisc!F6&amp;"/ml)"))</f>
        <v/>
      </c>
      <c r="AA6" t="str">
        <f t="shared" si="13"/>
        <v/>
      </c>
      <c r="AC6" s="315" t="str">
        <f t="shared" si="14"/>
        <v/>
      </c>
      <c r="AD6">
        <f t="shared" si="15"/>
        <v>2</v>
      </c>
      <c r="AE6" s="315">
        <f t="shared" si="9"/>
        <v>0</v>
      </c>
      <c r="AF6" s="315" t="b">
        <v>0</v>
      </c>
      <c r="AI6">
        <v>0</v>
      </c>
      <c r="AL6" s="315" t="str">
        <f t="shared" si="16"/>
        <v/>
      </c>
      <c r="AM6" s="315" t="str">
        <f t="shared" si="17"/>
        <v/>
      </c>
      <c r="AN6" s="315" t="str">
        <f t="shared" si="18"/>
        <v/>
      </c>
      <c r="AO6" s="315" t="str">
        <f t="shared" si="19"/>
        <v/>
      </c>
      <c r="AP6" s="315" t="str">
        <f t="shared" si="20"/>
        <v/>
      </c>
    </row>
    <row r="7" spans="1:42" x14ac:dyDescent="0.2">
      <c r="A7">
        <v>6</v>
      </c>
      <c r="E7" s="15">
        <v>0</v>
      </c>
      <c r="G7">
        <v>0</v>
      </c>
      <c r="H7">
        <f t="shared" si="0"/>
        <v>0</v>
      </c>
      <c r="I7">
        <v>1</v>
      </c>
      <c r="J7" s="315">
        <f t="shared" si="1"/>
        <v>0</v>
      </c>
      <c r="K7">
        <f t="shared" si="2"/>
        <v>0</v>
      </c>
      <c r="M7" s="315">
        <f t="shared" si="3"/>
        <v>0</v>
      </c>
      <c r="N7">
        <v>0</v>
      </c>
      <c r="O7">
        <v>1</v>
      </c>
      <c r="P7">
        <f t="shared" si="10"/>
        <v>0</v>
      </c>
      <c r="Q7">
        <v>0</v>
      </c>
      <c r="R7">
        <f t="shared" si="4"/>
        <v>0</v>
      </c>
      <c r="S7">
        <f t="shared" si="5"/>
        <v>0</v>
      </c>
      <c r="T7">
        <f t="shared" si="6"/>
        <v>0</v>
      </c>
      <c r="V7" t="str">
        <f t="shared" si="11"/>
        <v/>
      </c>
      <c r="W7" s="315" t="str">
        <f t="shared" si="7"/>
        <v/>
      </c>
      <c r="X7" t="str">
        <f t="shared" si="8"/>
        <v/>
      </c>
      <c r="Y7" t="str">
        <f t="shared" si="12"/>
        <v/>
      </c>
      <c r="Z7" s="315" t="str">
        <f>IF(P7=0,"","opl: "&amp;N7&amp;" mL "&amp;INDEX(tblMedDiscOplVl,O7,1)&amp;" "&amp;IF(Q7=0,"","("&amp;ROUND(GlobBerMedDisc!H7/GlobBerMedDisc!N7,2)&amp;" "&amp;GlobBerMedDisc!F7&amp;"/ml)"))</f>
        <v/>
      </c>
      <c r="AA7" t="str">
        <f t="shared" si="13"/>
        <v/>
      </c>
      <c r="AC7" s="315" t="str">
        <f t="shared" si="14"/>
        <v/>
      </c>
      <c r="AD7">
        <f t="shared" si="15"/>
        <v>2</v>
      </c>
      <c r="AE7" s="315">
        <f t="shared" si="9"/>
        <v>0</v>
      </c>
      <c r="AF7" s="315" t="b">
        <v>0</v>
      </c>
      <c r="AI7">
        <v>0</v>
      </c>
      <c r="AL7" s="315" t="str">
        <f t="shared" si="16"/>
        <v/>
      </c>
      <c r="AM7" s="315" t="str">
        <f t="shared" si="17"/>
        <v/>
      </c>
      <c r="AN7" s="315" t="str">
        <f t="shared" si="18"/>
        <v/>
      </c>
      <c r="AO7" s="315" t="str">
        <f t="shared" si="19"/>
        <v/>
      </c>
      <c r="AP7" s="315" t="str">
        <f t="shared" si="20"/>
        <v/>
      </c>
    </row>
    <row r="8" spans="1:42" x14ac:dyDescent="0.2">
      <c r="A8">
        <v>7</v>
      </c>
      <c r="E8" s="15">
        <v>0</v>
      </c>
      <c r="G8">
        <v>0</v>
      </c>
      <c r="H8">
        <f t="shared" si="0"/>
        <v>0</v>
      </c>
      <c r="I8">
        <v>1</v>
      </c>
      <c r="J8" s="315">
        <f t="shared" si="1"/>
        <v>0</v>
      </c>
      <c r="K8">
        <f t="shared" si="2"/>
        <v>0</v>
      </c>
      <c r="M8" s="315">
        <f t="shared" si="3"/>
        <v>0</v>
      </c>
      <c r="N8">
        <v>0</v>
      </c>
      <c r="O8">
        <v>1</v>
      </c>
      <c r="P8">
        <f t="shared" si="10"/>
        <v>0</v>
      </c>
      <c r="Q8">
        <v>0</v>
      </c>
      <c r="R8">
        <f t="shared" si="4"/>
        <v>0</v>
      </c>
      <c r="S8">
        <f t="shared" si="5"/>
        <v>0</v>
      </c>
      <c r="T8">
        <f t="shared" si="6"/>
        <v>0</v>
      </c>
      <c r="V8" t="str">
        <f t="shared" si="11"/>
        <v/>
      </c>
      <c r="W8" s="315" t="str">
        <f t="shared" si="7"/>
        <v/>
      </c>
      <c r="X8" t="str">
        <f t="shared" si="8"/>
        <v/>
      </c>
      <c r="Y8" t="str">
        <f t="shared" si="12"/>
        <v/>
      </c>
      <c r="Z8" s="315" t="str">
        <f>IF(P8=0,"","opl: "&amp;N8&amp;" mL "&amp;INDEX(tblMedDiscOplVl,O8,1)&amp;" "&amp;IF(Q8=0,"","("&amp;ROUND(GlobBerMedDisc!H8/GlobBerMedDisc!N8,2)&amp;" "&amp;GlobBerMedDisc!F8&amp;"/ml)"))</f>
        <v/>
      </c>
      <c r="AA8" t="str">
        <f t="shared" si="13"/>
        <v/>
      </c>
      <c r="AC8" s="315" t="str">
        <f t="shared" si="14"/>
        <v/>
      </c>
      <c r="AD8">
        <f t="shared" si="15"/>
        <v>2</v>
      </c>
      <c r="AE8" s="315">
        <f t="shared" si="9"/>
        <v>0</v>
      </c>
      <c r="AF8" s="315" t="b">
        <v>0</v>
      </c>
      <c r="AI8">
        <v>0</v>
      </c>
      <c r="AL8" s="315" t="str">
        <f t="shared" si="16"/>
        <v/>
      </c>
      <c r="AM8" s="315" t="str">
        <f t="shared" si="17"/>
        <v/>
      </c>
      <c r="AN8" s="315" t="str">
        <f t="shared" si="18"/>
        <v/>
      </c>
      <c r="AO8" s="315" t="str">
        <f t="shared" si="19"/>
        <v/>
      </c>
      <c r="AP8" s="315" t="str">
        <f t="shared" si="20"/>
        <v/>
      </c>
    </row>
    <row r="9" spans="1:42" x14ac:dyDescent="0.2">
      <c r="A9">
        <v>8</v>
      </c>
      <c r="E9" s="15">
        <v>0</v>
      </c>
      <c r="G9">
        <v>0</v>
      </c>
      <c r="H9">
        <f t="shared" si="0"/>
        <v>0</v>
      </c>
      <c r="I9">
        <v>1</v>
      </c>
      <c r="J9" s="315">
        <f t="shared" si="1"/>
        <v>0</v>
      </c>
      <c r="K9">
        <f t="shared" si="2"/>
        <v>0</v>
      </c>
      <c r="M9" s="315">
        <f t="shared" si="3"/>
        <v>0</v>
      </c>
      <c r="N9">
        <v>0</v>
      </c>
      <c r="O9">
        <v>1</v>
      </c>
      <c r="P9">
        <f t="shared" si="10"/>
        <v>0</v>
      </c>
      <c r="Q9">
        <v>0</v>
      </c>
      <c r="R9">
        <f t="shared" si="4"/>
        <v>0</v>
      </c>
      <c r="S9">
        <f t="shared" si="5"/>
        <v>0</v>
      </c>
      <c r="T9">
        <f t="shared" si="6"/>
        <v>0</v>
      </c>
      <c r="V9" t="str">
        <f t="shared" si="11"/>
        <v/>
      </c>
      <c r="W9" s="315" t="str">
        <f t="shared" si="7"/>
        <v/>
      </c>
      <c r="X9" t="str">
        <f t="shared" si="8"/>
        <v/>
      </c>
      <c r="Y9" t="str">
        <f t="shared" si="12"/>
        <v/>
      </c>
      <c r="Z9" s="315" t="str">
        <f>IF(P9=0,"","opl: "&amp;N9&amp;" mL "&amp;INDEX(tblMedDiscOplVl,O9,1)&amp;" "&amp;IF(Q9=0,"","("&amp;ROUND(GlobBerMedDisc!H9/GlobBerMedDisc!N9,2)&amp;" "&amp;GlobBerMedDisc!F9&amp;"/ml)"))</f>
        <v/>
      </c>
      <c r="AA9" t="str">
        <f t="shared" si="13"/>
        <v/>
      </c>
      <c r="AC9" s="315" t="str">
        <f t="shared" si="14"/>
        <v/>
      </c>
      <c r="AD9">
        <f t="shared" si="15"/>
        <v>2</v>
      </c>
      <c r="AE9" s="315">
        <f t="shared" si="9"/>
        <v>0</v>
      </c>
      <c r="AF9" s="315" t="b">
        <v>0</v>
      </c>
      <c r="AI9">
        <v>0</v>
      </c>
      <c r="AL9" s="315" t="str">
        <f t="shared" si="16"/>
        <v/>
      </c>
      <c r="AM9" s="315" t="str">
        <f t="shared" si="17"/>
        <v/>
      </c>
      <c r="AN9" s="315" t="str">
        <f t="shared" si="18"/>
        <v/>
      </c>
      <c r="AO9" s="315" t="str">
        <f t="shared" si="19"/>
        <v/>
      </c>
      <c r="AP9" s="315" t="str">
        <f t="shared" si="20"/>
        <v/>
      </c>
    </row>
    <row r="10" spans="1:42" x14ac:dyDescent="0.2">
      <c r="A10">
        <v>9</v>
      </c>
      <c r="E10" s="15">
        <v>0</v>
      </c>
      <c r="G10">
        <v>0</v>
      </c>
      <c r="H10">
        <f t="shared" si="0"/>
        <v>0</v>
      </c>
      <c r="I10">
        <v>1</v>
      </c>
      <c r="J10" s="315">
        <f t="shared" si="1"/>
        <v>0</v>
      </c>
      <c r="K10">
        <f t="shared" si="2"/>
        <v>0</v>
      </c>
      <c r="M10" s="315">
        <f t="shared" si="3"/>
        <v>0</v>
      </c>
      <c r="N10">
        <v>0</v>
      </c>
      <c r="O10">
        <v>1</v>
      </c>
      <c r="P10">
        <f t="shared" si="10"/>
        <v>0</v>
      </c>
      <c r="Q10">
        <v>0</v>
      </c>
      <c r="R10">
        <f t="shared" si="4"/>
        <v>0</v>
      </c>
      <c r="S10">
        <f t="shared" si="5"/>
        <v>0</v>
      </c>
      <c r="T10">
        <f t="shared" si="6"/>
        <v>0</v>
      </c>
      <c r="V10" t="str">
        <f t="shared" si="11"/>
        <v/>
      </c>
      <c r="W10" s="315" t="str">
        <f t="shared" si="7"/>
        <v/>
      </c>
      <c r="X10" t="str">
        <f t="shared" si="8"/>
        <v/>
      </c>
      <c r="Y10" t="str">
        <f t="shared" si="12"/>
        <v/>
      </c>
      <c r="Z10" s="315" t="str">
        <f>IF(P10=0,"","opl: "&amp;N10&amp;" mL "&amp;INDEX(tblMedDiscOplVl,O10,1)&amp;" "&amp;IF(Q10=0,"","("&amp;ROUND(GlobBerMedDisc!H10/GlobBerMedDisc!N10,2)&amp;" "&amp;GlobBerMedDisc!F10&amp;"/ml)"))</f>
        <v/>
      </c>
      <c r="AA10" t="str">
        <f t="shared" si="13"/>
        <v/>
      </c>
      <c r="AC10" s="315" t="str">
        <f t="shared" si="14"/>
        <v/>
      </c>
      <c r="AD10">
        <f t="shared" si="15"/>
        <v>2</v>
      </c>
      <c r="AE10" s="315">
        <f t="shared" si="9"/>
        <v>0</v>
      </c>
      <c r="AF10" s="315" t="b">
        <v>0</v>
      </c>
      <c r="AI10">
        <v>0</v>
      </c>
      <c r="AL10" s="315" t="str">
        <f t="shared" si="16"/>
        <v/>
      </c>
      <c r="AM10" s="315" t="str">
        <f t="shared" si="17"/>
        <v/>
      </c>
      <c r="AN10" s="315" t="str">
        <f t="shared" si="18"/>
        <v/>
      </c>
      <c r="AO10" s="315" t="str">
        <f t="shared" si="19"/>
        <v/>
      </c>
      <c r="AP10" s="315" t="str">
        <f t="shared" si="20"/>
        <v/>
      </c>
    </row>
    <row r="11" spans="1:42" x14ac:dyDescent="0.2">
      <c r="A11">
        <v>10</v>
      </c>
      <c r="E11" s="15">
        <v>0</v>
      </c>
      <c r="G11">
        <v>0</v>
      </c>
      <c r="H11">
        <f t="shared" si="0"/>
        <v>0</v>
      </c>
      <c r="I11">
        <v>1</v>
      </c>
      <c r="J11" s="315">
        <f t="shared" si="1"/>
        <v>0</v>
      </c>
      <c r="K11">
        <f t="shared" si="2"/>
        <v>0</v>
      </c>
      <c r="M11" s="315">
        <f t="shared" si="3"/>
        <v>0</v>
      </c>
      <c r="N11">
        <v>0</v>
      </c>
      <c r="O11">
        <v>1</v>
      </c>
      <c r="P11">
        <f t="shared" si="10"/>
        <v>0</v>
      </c>
      <c r="Q11">
        <v>0</v>
      </c>
      <c r="R11">
        <f t="shared" si="4"/>
        <v>0</v>
      </c>
      <c r="S11">
        <f t="shared" si="5"/>
        <v>0</v>
      </c>
      <c r="T11">
        <f t="shared" si="6"/>
        <v>0</v>
      </c>
      <c r="V11" t="str">
        <f t="shared" si="11"/>
        <v/>
      </c>
      <c r="W11" s="315" t="str">
        <f t="shared" si="7"/>
        <v/>
      </c>
      <c r="X11" t="str">
        <f t="shared" si="8"/>
        <v/>
      </c>
      <c r="Y11" t="str">
        <f t="shared" si="12"/>
        <v/>
      </c>
      <c r="Z11" s="315" t="str">
        <f>IF(P11=0,"","opl: "&amp;N11&amp;" mL "&amp;INDEX(tblMedDiscOplVl,O11,1)&amp;" "&amp;IF(Q11=0,"","("&amp;ROUND(GlobBerMedDisc!H11/GlobBerMedDisc!N11,2)&amp;" "&amp;GlobBerMedDisc!F11&amp;"/ml)"))</f>
        <v/>
      </c>
      <c r="AA11" t="str">
        <f t="shared" si="13"/>
        <v/>
      </c>
      <c r="AC11" s="315" t="str">
        <f t="shared" si="14"/>
        <v/>
      </c>
      <c r="AD11">
        <f t="shared" si="15"/>
        <v>2</v>
      </c>
      <c r="AE11" s="315">
        <f t="shared" si="9"/>
        <v>0</v>
      </c>
      <c r="AF11" s="315" t="b">
        <v>0</v>
      </c>
      <c r="AI11">
        <v>0</v>
      </c>
      <c r="AL11" s="315" t="str">
        <f t="shared" si="16"/>
        <v/>
      </c>
      <c r="AM11" s="315" t="str">
        <f t="shared" si="17"/>
        <v/>
      </c>
      <c r="AN11" s="315" t="str">
        <f t="shared" si="18"/>
        <v/>
      </c>
      <c r="AO11" s="315" t="str">
        <f t="shared" si="19"/>
        <v/>
      </c>
      <c r="AP11" s="315" t="str">
        <f t="shared" si="20"/>
        <v/>
      </c>
    </row>
    <row r="12" spans="1:42" x14ac:dyDescent="0.2">
      <c r="A12">
        <v>11</v>
      </c>
      <c r="E12" s="15">
        <v>0</v>
      </c>
      <c r="G12">
        <v>0</v>
      </c>
      <c r="H12">
        <f t="shared" si="0"/>
        <v>0</v>
      </c>
      <c r="I12">
        <v>1</v>
      </c>
      <c r="J12" s="315">
        <f t="shared" si="1"/>
        <v>0</v>
      </c>
      <c r="K12">
        <f t="shared" si="2"/>
        <v>0</v>
      </c>
      <c r="M12" s="315">
        <f t="shared" si="3"/>
        <v>0</v>
      </c>
      <c r="N12">
        <v>0</v>
      </c>
      <c r="O12">
        <v>1</v>
      </c>
      <c r="P12">
        <f t="shared" si="10"/>
        <v>0</v>
      </c>
      <c r="Q12">
        <v>0</v>
      </c>
      <c r="R12">
        <f t="shared" si="4"/>
        <v>0</v>
      </c>
      <c r="S12">
        <f t="shared" si="5"/>
        <v>0</v>
      </c>
      <c r="T12">
        <f t="shared" si="6"/>
        <v>0</v>
      </c>
      <c r="V12" t="str">
        <f t="shared" si="11"/>
        <v/>
      </c>
      <c r="W12" s="315" t="str">
        <f t="shared" si="7"/>
        <v/>
      </c>
      <c r="X12" t="str">
        <f t="shared" si="8"/>
        <v/>
      </c>
      <c r="Y12" t="str">
        <f t="shared" si="12"/>
        <v/>
      </c>
      <c r="Z12" s="315" t="str">
        <f>IF(P12=0,"","opl: "&amp;N12&amp;" mL "&amp;INDEX(tblMedDiscOplVl,O12,1)&amp;" "&amp;IF(Q12=0,"","("&amp;ROUND(GlobBerMedDisc!H12/GlobBerMedDisc!N12,2)&amp;" "&amp;GlobBerMedDisc!F12&amp;"/ml)"))</f>
        <v/>
      </c>
      <c r="AA12" t="str">
        <f t="shared" si="13"/>
        <v/>
      </c>
      <c r="AC12" s="315" t="str">
        <f t="shared" si="14"/>
        <v/>
      </c>
      <c r="AD12">
        <f t="shared" si="15"/>
        <v>2</v>
      </c>
      <c r="AE12" s="315">
        <f t="shared" si="9"/>
        <v>0</v>
      </c>
      <c r="AF12" s="315" t="b">
        <v>0</v>
      </c>
      <c r="AI12">
        <v>0</v>
      </c>
      <c r="AL12" s="315" t="str">
        <f t="shared" si="16"/>
        <v/>
      </c>
      <c r="AM12" s="315" t="str">
        <f t="shared" si="17"/>
        <v/>
      </c>
      <c r="AN12" s="315" t="str">
        <f t="shared" si="18"/>
        <v/>
      </c>
      <c r="AO12" s="315" t="str">
        <f t="shared" si="19"/>
        <v/>
      </c>
      <c r="AP12" s="315" t="str">
        <f t="shared" si="20"/>
        <v/>
      </c>
    </row>
    <row r="13" spans="1:42" x14ac:dyDescent="0.2">
      <c r="A13">
        <v>12</v>
      </c>
      <c r="E13" s="15">
        <v>0</v>
      </c>
      <c r="G13">
        <v>0</v>
      </c>
      <c r="H13">
        <f t="shared" si="0"/>
        <v>0</v>
      </c>
      <c r="I13">
        <v>1</v>
      </c>
      <c r="J13" s="315">
        <f t="shared" si="1"/>
        <v>0</v>
      </c>
      <c r="K13">
        <f t="shared" si="2"/>
        <v>0</v>
      </c>
      <c r="M13" s="315">
        <f t="shared" si="3"/>
        <v>0</v>
      </c>
      <c r="N13">
        <v>0</v>
      </c>
      <c r="O13">
        <v>1</v>
      </c>
      <c r="P13">
        <f t="shared" si="10"/>
        <v>0</v>
      </c>
      <c r="Q13">
        <v>0</v>
      </c>
      <c r="R13">
        <f t="shared" si="4"/>
        <v>0</v>
      </c>
      <c r="S13">
        <f t="shared" si="5"/>
        <v>0</v>
      </c>
      <c r="T13">
        <f t="shared" si="6"/>
        <v>0</v>
      </c>
      <c r="V13" t="str">
        <f t="shared" si="11"/>
        <v/>
      </c>
      <c r="W13" s="315" t="str">
        <f t="shared" si="7"/>
        <v/>
      </c>
      <c r="X13" t="str">
        <f t="shared" si="8"/>
        <v/>
      </c>
      <c r="Y13" t="str">
        <f t="shared" si="12"/>
        <v/>
      </c>
      <c r="Z13" s="315" t="str">
        <f>IF(P13=0,"","opl: "&amp;N13&amp;" mL "&amp;INDEX(tblMedDiscOplVl,O13,1)&amp;" "&amp;IF(Q13=0,"","("&amp;ROUND(GlobBerMedDisc!H13/GlobBerMedDisc!N13,2)&amp;" "&amp;GlobBerMedDisc!F13&amp;"/ml)"))</f>
        <v/>
      </c>
      <c r="AA13" t="str">
        <f t="shared" si="13"/>
        <v/>
      </c>
      <c r="AC13" s="315" t="str">
        <f t="shared" si="14"/>
        <v/>
      </c>
      <c r="AD13">
        <f t="shared" si="15"/>
        <v>2</v>
      </c>
      <c r="AE13" s="315">
        <f t="shared" si="9"/>
        <v>0</v>
      </c>
      <c r="AF13" s="315" t="b">
        <v>0</v>
      </c>
      <c r="AI13">
        <v>0</v>
      </c>
      <c r="AL13" s="315" t="str">
        <f t="shared" si="16"/>
        <v/>
      </c>
      <c r="AM13" s="315" t="str">
        <f t="shared" si="17"/>
        <v/>
      </c>
      <c r="AN13" s="315" t="str">
        <f t="shared" si="18"/>
        <v/>
      </c>
      <c r="AO13" s="315" t="str">
        <f t="shared" si="19"/>
        <v/>
      </c>
      <c r="AP13" s="315" t="str">
        <f t="shared" si="20"/>
        <v/>
      </c>
    </row>
    <row r="14" spans="1:42" x14ac:dyDescent="0.2">
      <c r="A14">
        <v>13</v>
      </c>
      <c r="E14" s="15">
        <v>0</v>
      </c>
      <c r="G14">
        <v>0</v>
      </c>
      <c r="H14">
        <f t="shared" si="0"/>
        <v>0</v>
      </c>
      <c r="I14">
        <v>1</v>
      </c>
      <c r="J14" s="315">
        <f t="shared" si="1"/>
        <v>0</v>
      </c>
      <c r="K14">
        <f t="shared" si="2"/>
        <v>0</v>
      </c>
      <c r="M14" s="315">
        <f t="shared" si="3"/>
        <v>0</v>
      </c>
      <c r="N14">
        <v>0</v>
      </c>
      <c r="O14">
        <v>1</v>
      </c>
      <c r="P14">
        <f t="shared" si="10"/>
        <v>0</v>
      </c>
      <c r="Q14">
        <v>0</v>
      </c>
      <c r="R14">
        <f t="shared" si="4"/>
        <v>0</v>
      </c>
      <c r="S14">
        <f t="shared" si="5"/>
        <v>0</v>
      </c>
      <c r="T14">
        <f t="shared" si="6"/>
        <v>0</v>
      </c>
      <c r="V14" t="str">
        <f t="shared" si="11"/>
        <v/>
      </c>
      <c r="W14" s="315" t="str">
        <f t="shared" si="7"/>
        <v/>
      </c>
      <c r="X14" t="str">
        <f t="shared" si="8"/>
        <v/>
      </c>
      <c r="Y14" t="str">
        <f t="shared" si="12"/>
        <v/>
      </c>
      <c r="Z14" s="315" t="str">
        <f>IF(P14=0,"","opl: "&amp;N14&amp;" mL "&amp;INDEX(tblMedDiscOplVl,O14,1)&amp;" "&amp;IF(Q14=0,"","("&amp;ROUND(GlobBerMedDisc!H14/GlobBerMedDisc!N14,2)&amp;" "&amp;GlobBerMedDisc!F14&amp;"/ml)"))</f>
        <v/>
      </c>
      <c r="AA14" t="str">
        <f t="shared" si="13"/>
        <v/>
      </c>
      <c r="AC14" s="315" t="str">
        <f t="shared" si="14"/>
        <v/>
      </c>
      <c r="AD14">
        <f t="shared" si="15"/>
        <v>2</v>
      </c>
      <c r="AE14" s="315">
        <f t="shared" si="9"/>
        <v>0</v>
      </c>
      <c r="AF14" s="315" t="b">
        <v>0</v>
      </c>
      <c r="AI14">
        <v>0</v>
      </c>
      <c r="AL14" s="315" t="str">
        <f t="shared" si="16"/>
        <v/>
      </c>
      <c r="AM14" s="315" t="str">
        <f t="shared" si="17"/>
        <v/>
      </c>
      <c r="AN14" s="315" t="str">
        <f t="shared" si="18"/>
        <v/>
      </c>
      <c r="AO14" s="315" t="str">
        <f t="shared" si="19"/>
        <v/>
      </c>
      <c r="AP14" s="315" t="str">
        <f t="shared" si="20"/>
        <v/>
      </c>
    </row>
    <row r="15" spans="1:42" x14ac:dyDescent="0.2">
      <c r="A15">
        <v>14</v>
      </c>
      <c r="E15" s="15">
        <v>0</v>
      </c>
      <c r="G15">
        <v>0</v>
      </c>
      <c r="H15">
        <f t="shared" si="0"/>
        <v>0</v>
      </c>
      <c r="I15">
        <v>1</v>
      </c>
      <c r="J15" s="315">
        <f t="shared" si="1"/>
        <v>0</v>
      </c>
      <c r="K15">
        <f t="shared" si="2"/>
        <v>0</v>
      </c>
      <c r="M15" s="315">
        <f t="shared" si="3"/>
        <v>0</v>
      </c>
      <c r="N15">
        <v>0</v>
      </c>
      <c r="O15">
        <v>1</v>
      </c>
      <c r="P15">
        <f t="shared" si="10"/>
        <v>0</v>
      </c>
      <c r="Q15">
        <v>0</v>
      </c>
      <c r="R15">
        <f t="shared" si="4"/>
        <v>0</v>
      </c>
      <c r="S15">
        <f t="shared" si="5"/>
        <v>0</v>
      </c>
      <c r="T15">
        <f t="shared" si="6"/>
        <v>0</v>
      </c>
      <c r="V15" t="str">
        <f t="shared" si="11"/>
        <v/>
      </c>
      <c r="W15" s="315" t="str">
        <f t="shared" si="7"/>
        <v/>
      </c>
      <c r="X15" t="str">
        <f t="shared" si="8"/>
        <v/>
      </c>
      <c r="Y15" t="str">
        <f t="shared" si="12"/>
        <v/>
      </c>
      <c r="Z15" s="315" t="str">
        <f>IF(P15=0,"","opl: "&amp;N15&amp;" mL "&amp;INDEX(tblMedDiscOplVl,O15,1)&amp;" "&amp;IF(Q15=0,"","("&amp;ROUND(GlobBerMedDisc!H15/GlobBerMedDisc!N15,2)&amp;" "&amp;GlobBerMedDisc!F15&amp;"/ml)"))</f>
        <v/>
      </c>
      <c r="AA15" t="str">
        <f t="shared" si="13"/>
        <v/>
      </c>
      <c r="AC15" s="315" t="str">
        <f t="shared" si="14"/>
        <v/>
      </c>
      <c r="AD15">
        <f t="shared" si="15"/>
        <v>2</v>
      </c>
      <c r="AE15" s="315">
        <f t="shared" si="9"/>
        <v>0</v>
      </c>
      <c r="AF15" s="315" t="b">
        <v>0</v>
      </c>
      <c r="AI15">
        <v>0</v>
      </c>
      <c r="AL15" s="315" t="str">
        <f t="shared" si="16"/>
        <v/>
      </c>
      <c r="AM15" s="315" t="str">
        <f t="shared" si="17"/>
        <v/>
      </c>
      <c r="AN15" s="315" t="str">
        <f t="shared" si="18"/>
        <v/>
      </c>
      <c r="AO15" s="315" t="str">
        <f t="shared" si="19"/>
        <v/>
      </c>
      <c r="AP15" s="315" t="str">
        <f t="shared" si="20"/>
        <v/>
      </c>
    </row>
    <row r="16" spans="1:42" x14ac:dyDescent="0.2">
      <c r="A16">
        <v>15</v>
      </c>
      <c r="E16" s="15">
        <v>0</v>
      </c>
      <c r="G16">
        <v>0</v>
      </c>
      <c r="H16">
        <f t="shared" si="0"/>
        <v>0</v>
      </c>
      <c r="I16">
        <v>1</v>
      </c>
      <c r="J16" s="315">
        <f t="shared" si="1"/>
        <v>0</v>
      </c>
      <c r="K16">
        <f t="shared" si="2"/>
        <v>0</v>
      </c>
      <c r="M16" s="315">
        <f t="shared" si="3"/>
        <v>0</v>
      </c>
      <c r="N16">
        <v>0</v>
      </c>
      <c r="O16">
        <v>1</v>
      </c>
      <c r="P16">
        <f t="shared" si="10"/>
        <v>0</v>
      </c>
      <c r="Q16">
        <v>0</v>
      </c>
      <c r="R16">
        <f t="shared" si="4"/>
        <v>0</v>
      </c>
      <c r="S16">
        <f t="shared" si="5"/>
        <v>0</v>
      </c>
      <c r="T16">
        <f t="shared" si="6"/>
        <v>0</v>
      </c>
      <c r="V16" t="str">
        <f t="shared" si="11"/>
        <v/>
      </c>
      <c r="W16" s="315" t="str">
        <f t="shared" si="7"/>
        <v/>
      </c>
      <c r="X16" t="str">
        <f t="shared" si="8"/>
        <v/>
      </c>
      <c r="Y16" t="str">
        <f t="shared" si="12"/>
        <v/>
      </c>
      <c r="Z16" s="315" t="str">
        <f>IF(P16=0,"","opl: "&amp;N16&amp;" mL "&amp;INDEX(tblMedDiscOplVl,O16,1)&amp;" "&amp;IF(Q16=0,"","("&amp;ROUND(GlobBerMedDisc!H16/GlobBerMedDisc!N16,2)&amp;" "&amp;GlobBerMedDisc!F16&amp;"/ml)"))</f>
        <v/>
      </c>
      <c r="AA16" t="str">
        <f t="shared" si="13"/>
        <v/>
      </c>
      <c r="AC16" s="315" t="str">
        <f t="shared" si="14"/>
        <v/>
      </c>
      <c r="AD16">
        <f t="shared" si="15"/>
        <v>2</v>
      </c>
      <c r="AE16" s="315">
        <f t="shared" si="9"/>
        <v>0</v>
      </c>
      <c r="AF16" s="315" t="b">
        <v>0</v>
      </c>
      <c r="AI16">
        <v>0</v>
      </c>
      <c r="AL16" s="315" t="str">
        <f t="shared" si="16"/>
        <v/>
      </c>
      <c r="AM16" s="315" t="str">
        <f t="shared" si="17"/>
        <v/>
      </c>
      <c r="AN16" s="315" t="str">
        <f t="shared" si="18"/>
        <v/>
      </c>
      <c r="AO16" s="315" t="str">
        <f t="shared" si="19"/>
        <v/>
      </c>
      <c r="AP16" s="315" t="str">
        <f t="shared" si="20"/>
        <v/>
      </c>
    </row>
    <row r="17" spans="1:42" x14ac:dyDescent="0.2">
      <c r="A17">
        <v>16</v>
      </c>
      <c r="E17" s="15">
        <v>0</v>
      </c>
      <c r="G17">
        <v>0</v>
      </c>
      <c r="H17">
        <f t="shared" si="0"/>
        <v>0</v>
      </c>
      <c r="I17">
        <v>1</v>
      </c>
      <c r="J17" s="315">
        <f t="shared" si="1"/>
        <v>0</v>
      </c>
      <c r="K17">
        <f t="shared" si="2"/>
        <v>0</v>
      </c>
      <c r="M17" s="315">
        <f t="shared" si="3"/>
        <v>0</v>
      </c>
      <c r="N17">
        <v>0</v>
      </c>
      <c r="O17">
        <v>1</v>
      </c>
      <c r="P17">
        <f t="shared" si="10"/>
        <v>0</v>
      </c>
      <c r="Q17">
        <v>0</v>
      </c>
      <c r="R17">
        <f t="shared" si="4"/>
        <v>0</v>
      </c>
      <c r="S17">
        <f t="shared" si="5"/>
        <v>0</v>
      </c>
      <c r="T17">
        <f t="shared" si="6"/>
        <v>0</v>
      </c>
      <c r="V17" t="str">
        <f t="shared" si="11"/>
        <v/>
      </c>
      <c r="W17" s="315" t="str">
        <f t="shared" si="7"/>
        <v/>
      </c>
      <c r="X17" t="str">
        <f t="shared" si="8"/>
        <v/>
      </c>
      <c r="Y17" t="str">
        <f t="shared" si="12"/>
        <v/>
      </c>
      <c r="Z17" s="315" t="str">
        <f>IF(P17=0,"","opl: "&amp;N17&amp;" mL "&amp;INDEX(tblMedDiscOplVl,O17,1)&amp;" "&amp;IF(Q17=0,"","("&amp;ROUND(GlobBerMedDisc!H17/GlobBerMedDisc!N17,2)&amp;" "&amp;GlobBerMedDisc!F17&amp;"/ml)"))</f>
        <v/>
      </c>
      <c r="AA17" t="str">
        <f t="shared" si="13"/>
        <v/>
      </c>
      <c r="AC17" s="315" t="str">
        <f t="shared" si="14"/>
        <v/>
      </c>
      <c r="AD17">
        <f t="shared" si="15"/>
        <v>2</v>
      </c>
      <c r="AE17" s="315">
        <f t="shared" si="9"/>
        <v>0</v>
      </c>
      <c r="AF17" s="315" t="b">
        <v>0</v>
      </c>
      <c r="AI17">
        <v>0</v>
      </c>
      <c r="AL17" s="315" t="str">
        <f t="shared" si="16"/>
        <v/>
      </c>
      <c r="AM17" s="315" t="str">
        <f t="shared" si="17"/>
        <v/>
      </c>
      <c r="AN17" s="315" t="str">
        <f t="shared" si="18"/>
        <v/>
      </c>
      <c r="AO17" s="315" t="str">
        <f t="shared" si="19"/>
        <v/>
      </c>
      <c r="AP17" s="315" t="str">
        <f t="shared" si="20"/>
        <v/>
      </c>
    </row>
    <row r="18" spans="1:42" x14ac:dyDescent="0.2">
      <c r="A18">
        <v>17</v>
      </c>
      <c r="E18" s="15">
        <v>0</v>
      </c>
      <c r="G18">
        <v>0</v>
      </c>
      <c r="H18">
        <f t="shared" si="0"/>
        <v>0</v>
      </c>
      <c r="I18">
        <v>1</v>
      </c>
      <c r="J18" s="315">
        <f t="shared" si="1"/>
        <v>0</v>
      </c>
      <c r="K18">
        <f t="shared" si="2"/>
        <v>0</v>
      </c>
      <c r="M18" s="315">
        <f t="shared" si="3"/>
        <v>0</v>
      </c>
      <c r="N18">
        <v>0</v>
      </c>
      <c r="O18">
        <v>1</v>
      </c>
      <c r="P18">
        <f t="shared" si="10"/>
        <v>0</v>
      </c>
      <c r="Q18">
        <v>0</v>
      </c>
      <c r="R18">
        <f t="shared" si="4"/>
        <v>0</v>
      </c>
      <c r="S18">
        <f t="shared" si="5"/>
        <v>0</v>
      </c>
      <c r="T18">
        <f t="shared" si="6"/>
        <v>0</v>
      </c>
      <c r="V18" t="str">
        <f t="shared" si="11"/>
        <v/>
      </c>
      <c r="W18" s="315" t="str">
        <f t="shared" si="7"/>
        <v/>
      </c>
      <c r="X18" t="str">
        <f t="shared" si="8"/>
        <v/>
      </c>
      <c r="Y18" t="str">
        <f t="shared" si="12"/>
        <v/>
      </c>
      <c r="Z18" s="315" t="str">
        <f>IF(P18=0,"","opl: "&amp;N18&amp;" mL "&amp;INDEX(tblMedDiscOplVl,O18,1)&amp;" "&amp;IF(Q18=0,"","("&amp;ROUND(GlobBerMedDisc!H18/GlobBerMedDisc!N18,2)&amp;" "&amp;GlobBerMedDisc!F18&amp;"/ml)"))</f>
        <v/>
      </c>
      <c r="AA18" t="str">
        <f t="shared" si="13"/>
        <v/>
      </c>
      <c r="AC18" s="315" t="str">
        <f t="shared" si="14"/>
        <v/>
      </c>
      <c r="AD18">
        <f t="shared" si="15"/>
        <v>2</v>
      </c>
      <c r="AE18" s="315">
        <f t="shared" si="9"/>
        <v>0</v>
      </c>
      <c r="AF18" s="315" t="b">
        <v>0</v>
      </c>
      <c r="AI18">
        <v>0</v>
      </c>
      <c r="AL18" s="315" t="str">
        <f t="shared" si="16"/>
        <v/>
      </c>
      <c r="AM18" s="315" t="str">
        <f t="shared" si="17"/>
        <v/>
      </c>
      <c r="AN18" s="315" t="str">
        <f t="shared" si="18"/>
        <v/>
      </c>
      <c r="AO18" s="315" t="str">
        <f t="shared" si="19"/>
        <v/>
      </c>
      <c r="AP18" s="315" t="str">
        <f t="shared" si="20"/>
        <v/>
      </c>
    </row>
    <row r="19" spans="1:42" x14ac:dyDescent="0.2">
      <c r="A19">
        <v>18</v>
      </c>
      <c r="E19" s="15">
        <v>0</v>
      </c>
      <c r="G19">
        <v>0</v>
      </c>
      <c r="H19">
        <f t="shared" si="0"/>
        <v>0</v>
      </c>
      <c r="I19">
        <v>1</v>
      </c>
      <c r="J19" s="315">
        <f t="shared" si="1"/>
        <v>0</v>
      </c>
      <c r="K19">
        <f t="shared" si="2"/>
        <v>0</v>
      </c>
      <c r="M19" s="315">
        <f t="shared" si="3"/>
        <v>0</v>
      </c>
      <c r="N19">
        <v>0</v>
      </c>
      <c r="O19">
        <v>1</v>
      </c>
      <c r="P19">
        <f t="shared" si="10"/>
        <v>0</v>
      </c>
      <c r="Q19">
        <v>0</v>
      </c>
      <c r="R19">
        <f t="shared" si="4"/>
        <v>0</v>
      </c>
      <c r="S19">
        <f t="shared" si="5"/>
        <v>0</v>
      </c>
      <c r="T19">
        <f t="shared" si="6"/>
        <v>0</v>
      </c>
      <c r="V19" t="str">
        <f t="shared" si="11"/>
        <v/>
      </c>
      <c r="W19" s="315" t="str">
        <f t="shared" si="7"/>
        <v/>
      </c>
      <c r="X19" t="str">
        <f t="shared" si="8"/>
        <v/>
      </c>
      <c r="Y19" t="str">
        <f t="shared" si="12"/>
        <v/>
      </c>
      <c r="Z19" s="315" t="str">
        <f>IF(P19=0,"","opl: "&amp;N19&amp;" mL "&amp;INDEX(tblMedDiscOplVl,O19,1)&amp;" "&amp;IF(Q19=0,"","("&amp;ROUND(GlobBerMedDisc!H19/GlobBerMedDisc!N19,2)&amp;" "&amp;GlobBerMedDisc!F19&amp;"/ml)"))</f>
        <v/>
      </c>
      <c r="AA19" t="str">
        <f t="shared" si="13"/>
        <v/>
      </c>
      <c r="AC19" s="315" t="str">
        <f t="shared" si="14"/>
        <v/>
      </c>
      <c r="AD19">
        <f t="shared" si="15"/>
        <v>2</v>
      </c>
      <c r="AE19" s="315">
        <f t="shared" si="9"/>
        <v>0</v>
      </c>
      <c r="AF19" s="315" t="b">
        <v>0</v>
      </c>
      <c r="AI19">
        <v>0</v>
      </c>
      <c r="AL19" s="315" t="str">
        <f t="shared" si="16"/>
        <v/>
      </c>
      <c r="AM19" s="315" t="str">
        <f t="shared" si="17"/>
        <v/>
      </c>
      <c r="AN19" s="315" t="str">
        <f t="shared" si="18"/>
        <v/>
      </c>
      <c r="AO19" s="315" t="str">
        <f t="shared" si="19"/>
        <v/>
      </c>
      <c r="AP19" s="315" t="str">
        <f t="shared" si="20"/>
        <v/>
      </c>
    </row>
    <row r="20" spans="1:42" x14ac:dyDescent="0.2">
      <c r="A20">
        <v>19</v>
      </c>
      <c r="E20" s="15">
        <v>0</v>
      </c>
      <c r="G20">
        <v>0</v>
      </c>
      <c r="H20">
        <f t="shared" si="0"/>
        <v>0</v>
      </c>
      <c r="I20">
        <v>1</v>
      </c>
      <c r="J20" s="315">
        <f t="shared" si="1"/>
        <v>0</v>
      </c>
      <c r="K20">
        <f t="shared" si="2"/>
        <v>0</v>
      </c>
      <c r="M20" s="315">
        <f t="shared" si="3"/>
        <v>0</v>
      </c>
      <c r="N20">
        <v>0</v>
      </c>
      <c r="O20">
        <v>1</v>
      </c>
      <c r="P20">
        <f t="shared" si="10"/>
        <v>0</v>
      </c>
      <c r="Q20">
        <v>0</v>
      </c>
      <c r="R20">
        <f t="shared" si="4"/>
        <v>0</v>
      </c>
      <c r="S20">
        <f t="shared" si="5"/>
        <v>0</v>
      </c>
      <c r="T20">
        <f t="shared" si="6"/>
        <v>0</v>
      </c>
      <c r="V20" t="str">
        <f t="shared" si="11"/>
        <v/>
      </c>
      <c r="W20" s="315" t="str">
        <f t="shared" si="7"/>
        <v/>
      </c>
      <c r="X20" t="str">
        <f t="shared" si="8"/>
        <v/>
      </c>
      <c r="Y20" t="str">
        <f t="shared" si="12"/>
        <v/>
      </c>
      <c r="Z20" s="315" t="str">
        <f>IF(P20=0,"","opl: "&amp;N20&amp;" mL "&amp;INDEX(tblMedDiscOplVl,O20,1)&amp;" "&amp;IF(Q20=0,"","("&amp;ROUND(GlobBerMedDisc!H20/GlobBerMedDisc!N20,2)&amp;" "&amp;GlobBerMedDisc!F20&amp;"/ml)"))</f>
        <v/>
      </c>
      <c r="AA20" t="str">
        <f t="shared" si="13"/>
        <v/>
      </c>
      <c r="AC20" s="315" t="str">
        <f t="shared" si="14"/>
        <v/>
      </c>
      <c r="AD20">
        <f t="shared" si="15"/>
        <v>2</v>
      </c>
      <c r="AE20" s="315">
        <f t="shared" si="9"/>
        <v>0</v>
      </c>
      <c r="AF20" s="315" t="b">
        <v>0</v>
      </c>
      <c r="AI20">
        <v>0</v>
      </c>
      <c r="AL20" s="315" t="str">
        <f t="shared" si="16"/>
        <v/>
      </c>
      <c r="AM20" s="315" t="str">
        <f t="shared" si="17"/>
        <v/>
      </c>
      <c r="AN20" s="315" t="str">
        <f t="shared" si="18"/>
        <v/>
      </c>
      <c r="AO20" s="315" t="str">
        <f t="shared" si="19"/>
        <v/>
      </c>
      <c r="AP20" s="315" t="str">
        <f t="shared" si="20"/>
        <v/>
      </c>
    </row>
    <row r="21" spans="1:42" x14ac:dyDescent="0.2">
      <c r="A21">
        <v>20</v>
      </c>
      <c r="E21" s="15">
        <v>0</v>
      </c>
      <c r="G21">
        <v>0</v>
      </c>
      <c r="H21">
        <f t="shared" si="0"/>
        <v>0</v>
      </c>
      <c r="I21">
        <v>1</v>
      </c>
      <c r="J21" s="315">
        <f t="shared" si="1"/>
        <v>0</v>
      </c>
      <c r="K21">
        <f t="shared" si="2"/>
        <v>0</v>
      </c>
      <c r="M21" s="315">
        <f t="shared" si="3"/>
        <v>0</v>
      </c>
      <c r="N21">
        <v>0</v>
      </c>
      <c r="O21">
        <v>1</v>
      </c>
      <c r="P21">
        <f t="shared" si="10"/>
        <v>0</v>
      </c>
      <c r="Q21">
        <v>0</v>
      </c>
      <c r="R21">
        <f t="shared" si="4"/>
        <v>0</v>
      </c>
      <c r="S21">
        <f t="shared" si="5"/>
        <v>0</v>
      </c>
      <c r="T21">
        <f t="shared" si="6"/>
        <v>0</v>
      </c>
      <c r="V21" t="str">
        <f t="shared" si="11"/>
        <v/>
      </c>
      <c r="W21" s="315" t="str">
        <f t="shared" si="7"/>
        <v/>
      </c>
      <c r="X21" t="str">
        <f t="shared" si="8"/>
        <v/>
      </c>
      <c r="Y21" t="str">
        <f t="shared" si="12"/>
        <v/>
      </c>
      <c r="Z21" s="315" t="str">
        <f>IF(P21=0,"","opl: "&amp;N21&amp;" mL "&amp;INDEX(tblMedDiscOplVl,O21,1)&amp;" "&amp;IF(Q21=0,"","("&amp;ROUND(GlobBerMedDisc!H21/GlobBerMedDisc!N21,2)&amp;" "&amp;GlobBerMedDisc!F21&amp;"/ml)"))</f>
        <v/>
      </c>
      <c r="AA21" t="str">
        <f t="shared" si="13"/>
        <v/>
      </c>
      <c r="AC21" s="315" t="str">
        <f t="shared" si="14"/>
        <v/>
      </c>
      <c r="AD21">
        <f t="shared" si="15"/>
        <v>2</v>
      </c>
      <c r="AE21" s="315">
        <f t="shared" si="9"/>
        <v>0</v>
      </c>
      <c r="AF21" s="315" t="b">
        <v>0</v>
      </c>
      <c r="AI21">
        <v>0</v>
      </c>
      <c r="AL21" s="315" t="str">
        <f t="shared" si="16"/>
        <v/>
      </c>
      <c r="AM21" s="315" t="str">
        <f t="shared" si="17"/>
        <v/>
      </c>
      <c r="AN21" s="315" t="str">
        <f t="shared" si="18"/>
        <v/>
      </c>
      <c r="AO21" s="315" t="str">
        <f t="shared" si="19"/>
        <v/>
      </c>
      <c r="AP21" s="315" t="str">
        <f t="shared" si="20"/>
        <v/>
      </c>
    </row>
    <row r="22" spans="1:42" x14ac:dyDescent="0.2">
      <c r="A22" s="315">
        <v>21</v>
      </c>
      <c r="B22" s="315"/>
      <c r="C22" s="315"/>
      <c r="D22" s="315"/>
      <c r="E22" s="317">
        <v>0</v>
      </c>
      <c r="F22" s="315"/>
      <c r="G22" s="315">
        <v>0</v>
      </c>
      <c r="H22" s="315">
        <f t="shared" ref="H22:H31" si="21">E22*G22</f>
        <v>0</v>
      </c>
      <c r="I22" s="315">
        <v>1</v>
      </c>
      <c r="J22" s="315">
        <f t="shared" si="1"/>
        <v>0</v>
      </c>
      <c r="K22" s="315">
        <f t="shared" ref="K22:K31" si="22">J22*H22</f>
        <v>0</v>
      </c>
      <c r="L22" s="315"/>
      <c r="M22" s="315">
        <f t="shared" si="3"/>
        <v>0</v>
      </c>
      <c r="N22" s="315">
        <v>0</v>
      </c>
      <c r="O22" s="315">
        <v>1</v>
      </c>
      <c r="P22" s="315">
        <f t="shared" ref="P22:P31" si="23">IF(O22&gt;1,N22*J22,0)</f>
        <v>0</v>
      </c>
      <c r="Q22" s="315">
        <v>0</v>
      </c>
      <c r="R22" s="315">
        <f t="shared" ref="R22:R31" si="24">IF(O22=2,P22*0.155,0)</f>
        <v>0</v>
      </c>
      <c r="S22" s="315">
        <f t="shared" ref="S22:S31" si="25">IF(O22=3,P22*0.05,0)</f>
        <v>0</v>
      </c>
      <c r="T22" s="315">
        <f t="shared" ref="T22:T31" si="26">IF(O22=4,P22*0.1,0)</f>
        <v>0</v>
      </c>
      <c r="U22" s="315"/>
      <c r="V22" s="315" t="str">
        <f t="shared" ref="V22:V31" si="27">IF(U22=0,"",IF(U22=-1,C22,D22))</f>
        <v/>
      </c>
      <c r="W22" s="315" t="str">
        <f t="shared" ref="W22:W31" si="28">IF(IF(U22=0,"",INDEX(tblMedDiscTijden,I22,2))=0,"",IF(U22=0,"",INDEX(tblMedDiscTijden,I22,2)))</f>
        <v/>
      </c>
      <c r="X22" s="315" t="str">
        <f t="shared" si="8"/>
        <v/>
      </c>
      <c r="Y22" s="315" t="str">
        <f t="shared" ref="Y22:Y31" si="29">IF(U22=0,"",TRIM(L22))</f>
        <v/>
      </c>
      <c r="Z22" s="315" t="str">
        <f>IF(P22=0,"","opl: "&amp;N22&amp;" mL "&amp;INDEX(tblMedDiscOplVl,O22,1)&amp;" "&amp;IF(Q22=0,"","("&amp;ROUND(GlobBerMedDisc!H22/GlobBerMedDisc!N22,2)&amp;" "&amp;GlobBerMedDisc!F22&amp;"/ml)"))</f>
        <v/>
      </c>
      <c r="AA22" s="315" t="str">
        <f t="shared" ref="AA22:AA31" si="30">IF(OR(Q22=0,Z22=""),"","in "&amp;Q22&amp;" min")</f>
        <v/>
      </c>
      <c r="AB22" s="315"/>
      <c r="AC22" s="315" t="str">
        <f t="shared" si="14"/>
        <v/>
      </c>
      <c r="AD22" s="315">
        <f t="shared" ref="AD22:AD31" si="31">IF(AE22&gt;=10,0,IF(AE22&gt;=1,1,IF(AE22&gt;=0,2,IF(AE22&gt;=0.1,3,IF(AE22&gt;=0.01,4,5)))))</f>
        <v>2</v>
      </c>
      <c r="AE22" s="315">
        <f t="shared" si="9"/>
        <v>0</v>
      </c>
      <c r="AF22" s="315" t="b">
        <v>0</v>
      </c>
      <c r="AI22">
        <v>0</v>
      </c>
      <c r="AL22" s="315" t="str">
        <f t="shared" si="16"/>
        <v/>
      </c>
      <c r="AM22" s="315" t="str">
        <f t="shared" si="17"/>
        <v/>
      </c>
      <c r="AN22" s="315" t="str">
        <f t="shared" si="18"/>
        <v/>
      </c>
      <c r="AO22" s="315" t="str">
        <f t="shared" si="19"/>
        <v/>
      </c>
      <c r="AP22" s="315" t="str">
        <f t="shared" si="20"/>
        <v/>
      </c>
    </row>
    <row r="23" spans="1:42" x14ac:dyDescent="0.2">
      <c r="A23" s="315">
        <v>22</v>
      </c>
      <c r="B23" s="315"/>
      <c r="C23" s="315"/>
      <c r="D23" s="315"/>
      <c r="E23" s="317">
        <v>0</v>
      </c>
      <c r="F23" s="315"/>
      <c r="G23" s="315">
        <v>0</v>
      </c>
      <c r="H23" s="315">
        <f t="shared" si="21"/>
        <v>0</v>
      </c>
      <c r="I23" s="315">
        <v>1</v>
      </c>
      <c r="J23" s="315">
        <f t="shared" si="1"/>
        <v>0</v>
      </c>
      <c r="K23" s="315">
        <f t="shared" si="22"/>
        <v>0</v>
      </c>
      <c r="L23" s="315"/>
      <c r="M23" s="315">
        <f t="shared" si="3"/>
        <v>0</v>
      </c>
      <c r="N23" s="315">
        <v>0</v>
      </c>
      <c r="O23" s="315">
        <v>1</v>
      </c>
      <c r="P23" s="315">
        <f t="shared" si="23"/>
        <v>0</v>
      </c>
      <c r="Q23" s="315">
        <v>0</v>
      </c>
      <c r="R23" s="315">
        <f t="shared" si="24"/>
        <v>0</v>
      </c>
      <c r="S23" s="315">
        <f t="shared" si="25"/>
        <v>0</v>
      </c>
      <c r="T23" s="315">
        <f t="shared" si="26"/>
        <v>0</v>
      </c>
      <c r="U23" s="315"/>
      <c r="V23" s="315" t="str">
        <f t="shared" si="27"/>
        <v/>
      </c>
      <c r="W23" s="315" t="str">
        <f t="shared" si="28"/>
        <v/>
      </c>
      <c r="X23" s="315" t="str">
        <f t="shared" si="8"/>
        <v/>
      </c>
      <c r="Y23" s="315" t="str">
        <f t="shared" si="29"/>
        <v/>
      </c>
      <c r="Z23" s="315" t="str">
        <f>IF(P23=0,"","opl: "&amp;N23&amp;" mL "&amp;INDEX(tblMedDiscOplVl,O23,1)&amp;" "&amp;IF(Q23=0,"","("&amp;ROUND(GlobBerMedDisc!H23/GlobBerMedDisc!N23,2)&amp;" "&amp;GlobBerMedDisc!F23&amp;"/ml)"))</f>
        <v/>
      </c>
      <c r="AA23" s="315" t="str">
        <f t="shared" si="30"/>
        <v/>
      </c>
      <c r="AB23" s="315"/>
      <c r="AC23" s="315" t="str">
        <f t="shared" si="14"/>
        <v/>
      </c>
      <c r="AD23" s="315">
        <f t="shared" si="31"/>
        <v>2</v>
      </c>
      <c r="AE23" s="315">
        <f t="shared" si="9"/>
        <v>0</v>
      </c>
      <c r="AF23" s="315" t="b">
        <v>0</v>
      </c>
      <c r="AI23">
        <v>0</v>
      </c>
      <c r="AL23" s="315" t="str">
        <f t="shared" si="16"/>
        <v/>
      </c>
      <c r="AM23" s="315" t="str">
        <f t="shared" si="17"/>
        <v/>
      </c>
      <c r="AN23" s="315" t="str">
        <f t="shared" si="18"/>
        <v/>
      </c>
      <c r="AO23" s="315" t="str">
        <f t="shared" si="19"/>
        <v/>
      </c>
      <c r="AP23" s="315" t="str">
        <f t="shared" si="20"/>
        <v/>
      </c>
    </row>
    <row r="24" spans="1:42" x14ac:dyDescent="0.2">
      <c r="A24" s="315">
        <v>23</v>
      </c>
      <c r="B24" s="315"/>
      <c r="C24" s="315"/>
      <c r="D24" s="315"/>
      <c r="E24" s="317">
        <v>0</v>
      </c>
      <c r="F24" s="315"/>
      <c r="G24" s="315">
        <v>0</v>
      </c>
      <c r="H24" s="315">
        <f t="shared" si="21"/>
        <v>0</v>
      </c>
      <c r="I24" s="315">
        <v>1</v>
      </c>
      <c r="J24" s="315">
        <f t="shared" si="1"/>
        <v>0</v>
      </c>
      <c r="K24" s="315">
        <f t="shared" si="22"/>
        <v>0</v>
      </c>
      <c r="L24" s="315"/>
      <c r="M24" s="315">
        <f t="shared" si="3"/>
        <v>0</v>
      </c>
      <c r="N24" s="315">
        <v>0</v>
      </c>
      <c r="O24" s="315">
        <v>1</v>
      </c>
      <c r="P24" s="315">
        <f t="shared" si="23"/>
        <v>0</v>
      </c>
      <c r="Q24" s="315">
        <v>0</v>
      </c>
      <c r="R24" s="315">
        <f t="shared" si="24"/>
        <v>0</v>
      </c>
      <c r="S24" s="315">
        <f t="shared" si="25"/>
        <v>0</v>
      </c>
      <c r="T24" s="315">
        <f t="shared" si="26"/>
        <v>0</v>
      </c>
      <c r="U24" s="315"/>
      <c r="V24" s="315" t="str">
        <f t="shared" si="27"/>
        <v/>
      </c>
      <c r="W24" s="315" t="str">
        <f t="shared" si="28"/>
        <v/>
      </c>
      <c r="X24" s="315" t="str">
        <f t="shared" si="8"/>
        <v/>
      </c>
      <c r="Y24" s="315" t="str">
        <f t="shared" si="29"/>
        <v/>
      </c>
      <c r="Z24" s="315" t="str">
        <f>IF(P24=0,"","opl: "&amp;N24&amp;" mL "&amp;INDEX(tblMedDiscOplVl,O24,1)&amp;" "&amp;IF(Q24=0,"","("&amp;ROUND(GlobBerMedDisc!H24/GlobBerMedDisc!N24,2)&amp;" "&amp;GlobBerMedDisc!F24&amp;"/ml)"))</f>
        <v/>
      </c>
      <c r="AA24" s="315" t="str">
        <f t="shared" si="30"/>
        <v/>
      </c>
      <c r="AB24" s="315"/>
      <c r="AC24" s="315" t="str">
        <f t="shared" si="14"/>
        <v/>
      </c>
      <c r="AD24" s="315">
        <f t="shared" si="31"/>
        <v>2</v>
      </c>
      <c r="AE24" s="315">
        <f t="shared" si="9"/>
        <v>0</v>
      </c>
      <c r="AF24" s="315" t="b">
        <v>0</v>
      </c>
      <c r="AI24">
        <v>0</v>
      </c>
      <c r="AL24" s="315" t="str">
        <f t="shared" si="16"/>
        <v/>
      </c>
      <c r="AM24" s="315" t="str">
        <f t="shared" si="17"/>
        <v/>
      </c>
      <c r="AN24" s="315" t="str">
        <f t="shared" si="18"/>
        <v/>
      </c>
      <c r="AO24" s="315" t="str">
        <f t="shared" si="19"/>
        <v/>
      </c>
      <c r="AP24" s="315" t="str">
        <f t="shared" si="20"/>
        <v/>
      </c>
    </row>
    <row r="25" spans="1:42" x14ac:dyDescent="0.2">
      <c r="A25" s="315">
        <v>24</v>
      </c>
      <c r="B25" s="315"/>
      <c r="C25" s="315"/>
      <c r="D25" s="315"/>
      <c r="E25" s="317">
        <v>0</v>
      </c>
      <c r="F25" s="315"/>
      <c r="G25" s="315">
        <v>0</v>
      </c>
      <c r="H25" s="315">
        <f t="shared" si="21"/>
        <v>0</v>
      </c>
      <c r="I25" s="315">
        <v>1</v>
      </c>
      <c r="J25" s="315">
        <f t="shared" si="1"/>
        <v>0</v>
      </c>
      <c r="K25" s="315">
        <f t="shared" si="22"/>
        <v>0</v>
      </c>
      <c r="L25" s="315"/>
      <c r="M25" s="315">
        <f t="shared" si="3"/>
        <v>0</v>
      </c>
      <c r="N25" s="315">
        <v>0</v>
      </c>
      <c r="O25" s="315">
        <v>1</v>
      </c>
      <c r="P25" s="315">
        <f t="shared" si="23"/>
        <v>0</v>
      </c>
      <c r="Q25" s="315">
        <v>0</v>
      </c>
      <c r="R25" s="315">
        <f t="shared" si="24"/>
        <v>0</v>
      </c>
      <c r="S25" s="315">
        <f t="shared" si="25"/>
        <v>0</v>
      </c>
      <c r="T25" s="315">
        <f t="shared" si="26"/>
        <v>0</v>
      </c>
      <c r="U25" s="315"/>
      <c r="V25" s="315" t="str">
        <f t="shared" si="27"/>
        <v/>
      </c>
      <c r="W25" s="315" t="str">
        <f t="shared" si="28"/>
        <v/>
      </c>
      <c r="X25" s="315" t="str">
        <f t="shared" si="8"/>
        <v/>
      </c>
      <c r="Y25" s="315" t="str">
        <f t="shared" si="29"/>
        <v/>
      </c>
      <c r="Z25" s="315" t="str">
        <f>IF(P25=0,"","opl: "&amp;N25&amp;" mL "&amp;INDEX(tblMedDiscOplVl,O25,1)&amp;" "&amp;IF(Q25=0,"","("&amp;ROUND(GlobBerMedDisc!H25/GlobBerMedDisc!N25,2)&amp;" "&amp;GlobBerMedDisc!F25&amp;"/ml)"))</f>
        <v/>
      </c>
      <c r="AA25" s="315" t="str">
        <f t="shared" si="30"/>
        <v/>
      </c>
      <c r="AB25" s="315"/>
      <c r="AC25" s="315" t="str">
        <f t="shared" si="14"/>
        <v/>
      </c>
      <c r="AD25" s="315">
        <f t="shared" si="31"/>
        <v>2</v>
      </c>
      <c r="AE25" s="315">
        <f t="shared" si="9"/>
        <v>0</v>
      </c>
      <c r="AF25" s="315" t="b">
        <v>0</v>
      </c>
      <c r="AI25">
        <v>0</v>
      </c>
      <c r="AL25" s="315" t="str">
        <f t="shared" si="16"/>
        <v/>
      </c>
      <c r="AM25" s="315" t="str">
        <f t="shared" si="17"/>
        <v/>
      </c>
      <c r="AN25" s="315" t="str">
        <f t="shared" si="18"/>
        <v/>
      </c>
      <c r="AO25" s="315" t="str">
        <f t="shared" si="19"/>
        <v/>
      </c>
      <c r="AP25" s="315" t="str">
        <f t="shared" si="20"/>
        <v/>
      </c>
    </row>
    <row r="26" spans="1:42" x14ac:dyDescent="0.2">
      <c r="A26" s="315">
        <v>25</v>
      </c>
      <c r="B26" s="315"/>
      <c r="C26" s="315"/>
      <c r="D26" s="315"/>
      <c r="E26" s="317">
        <v>0</v>
      </c>
      <c r="F26" s="315"/>
      <c r="G26" s="315">
        <v>0</v>
      </c>
      <c r="H26" s="315">
        <f t="shared" si="21"/>
        <v>0</v>
      </c>
      <c r="I26" s="315">
        <v>1</v>
      </c>
      <c r="J26" s="315">
        <f t="shared" si="1"/>
        <v>0</v>
      </c>
      <c r="K26" s="315">
        <f t="shared" si="22"/>
        <v>0</v>
      </c>
      <c r="L26" s="315"/>
      <c r="M26" s="315">
        <f t="shared" si="3"/>
        <v>0</v>
      </c>
      <c r="N26" s="315">
        <v>0</v>
      </c>
      <c r="O26" s="315">
        <v>1</v>
      </c>
      <c r="P26" s="315">
        <f t="shared" si="23"/>
        <v>0</v>
      </c>
      <c r="Q26" s="315">
        <v>0</v>
      </c>
      <c r="R26" s="315">
        <f t="shared" si="24"/>
        <v>0</v>
      </c>
      <c r="S26" s="315">
        <f t="shared" si="25"/>
        <v>0</v>
      </c>
      <c r="T26" s="315">
        <f t="shared" si="26"/>
        <v>0</v>
      </c>
      <c r="U26" s="315"/>
      <c r="V26" s="315" t="str">
        <f t="shared" si="27"/>
        <v/>
      </c>
      <c r="W26" s="315" t="str">
        <f t="shared" si="28"/>
        <v/>
      </c>
      <c r="X26" s="315" t="str">
        <f t="shared" si="8"/>
        <v/>
      </c>
      <c r="Y26" s="315" t="str">
        <f t="shared" si="29"/>
        <v/>
      </c>
      <c r="Z26" s="315" t="str">
        <f>IF(P26=0,"","opl: "&amp;N26&amp;" mL "&amp;INDEX(tblMedDiscOplVl,O26,1)&amp;" "&amp;IF(Q26=0,"","("&amp;ROUND(GlobBerMedDisc!H26/GlobBerMedDisc!N26,2)&amp;" "&amp;GlobBerMedDisc!F26&amp;"/ml)"))</f>
        <v/>
      </c>
      <c r="AA26" s="315" t="str">
        <f t="shared" si="30"/>
        <v/>
      </c>
      <c r="AB26" s="315"/>
      <c r="AC26" s="315" t="str">
        <f t="shared" si="14"/>
        <v/>
      </c>
      <c r="AD26" s="315">
        <f t="shared" si="31"/>
        <v>2</v>
      </c>
      <c r="AE26" s="315">
        <f t="shared" si="9"/>
        <v>0</v>
      </c>
      <c r="AF26" s="315" t="b">
        <v>0</v>
      </c>
      <c r="AI26">
        <v>0</v>
      </c>
      <c r="AL26" s="315" t="str">
        <f t="shared" si="16"/>
        <v/>
      </c>
      <c r="AM26" s="315" t="str">
        <f t="shared" si="17"/>
        <v/>
      </c>
      <c r="AN26" s="315" t="str">
        <f t="shared" si="18"/>
        <v/>
      </c>
      <c r="AO26" s="315" t="str">
        <f t="shared" si="19"/>
        <v/>
      </c>
      <c r="AP26" s="315" t="str">
        <f t="shared" si="20"/>
        <v/>
      </c>
    </row>
    <row r="27" spans="1:42" x14ac:dyDescent="0.2">
      <c r="A27" s="315">
        <v>26</v>
      </c>
      <c r="B27" s="315"/>
      <c r="C27" s="315"/>
      <c r="D27" s="315"/>
      <c r="E27" s="317">
        <v>0</v>
      </c>
      <c r="F27" s="315"/>
      <c r="G27" s="315">
        <v>0</v>
      </c>
      <c r="H27" s="315">
        <f t="shared" si="21"/>
        <v>0</v>
      </c>
      <c r="I27" s="315">
        <v>1</v>
      </c>
      <c r="J27" s="315">
        <f t="shared" si="1"/>
        <v>0</v>
      </c>
      <c r="K27" s="315">
        <f t="shared" si="22"/>
        <v>0</v>
      </c>
      <c r="L27" s="315"/>
      <c r="M27" s="315">
        <f t="shared" si="3"/>
        <v>0</v>
      </c>
      <c r="N27" s="315">
        <v>0</v>
      </c>
      <c r="O27" s="315">
        <v>1</v>
      </c>
      <c r="P27" s="315">
        <f t="shared" si="23"/>
        <v>0</v>
      </c>
      <c r="Q27" s="315">
        <v>0</v>
      </c>
      <c r="R27" s="315">
        <f t="shared" si="24"/>
        <v>0</v>
      </c>
      <c r="S27" s="315">
        <f t="shared" si="25"/>
        <v>0</v>
      </c>
      <c r="T27" s="315">
        <f t="shared" si="26"/>
        <v>0</v>
      </c>
      <c r="U27" s="315"/>
      <c r="V27" s="315" t="str">
        <f t="shared" si="27"/>
        <v/>
      </c>
      <c r="W27" s="315" t="str">
        <f t="shared" si="28"/>
        <v/>
      </c>
      <c r="X27" s="315" t="str">
        <f t="shared" si="8"/>
        <v/>
      </c>
      <c r="Y27" s="315" t="str">
        <f t="shared" si="29"/>
        <v/>
      </c>
      <c r="Z27" s="315" t="str">
        <f>IF(P27=0,"","opl: "&amp;N27&amp;" mL "&amp;INDEX(tblMedDiscOplVl,O27,1)&amp;" "&amp;IF(Q27=0,"","("&amp;ROUND(GlobBerMedDisc!H27/GlobBerMedDisc!N27,2)&amp;" "&amp;GlobBerMedDisc!F27&amp;"/ml)"))</f>
        <v/>
      </c>
      <c r="AA27" s="315" t="str">
        <f t="shared" si="30"/>
        <v/>
      </c>
      <c r="AB27" s="315"/>
      <c r="AC27" s="315" t="str">
        <f t="shared" si="14"/>
        <v/>
      </c>
      <c r="AD27" s="315">
        <f t="shared" si="31"/>
        <v>2</v>
      </c>
      <c r="AE27" s="315">
        <f t="shared" si="9"/>
        <v>0</v>
      </c>
      <c r="AF27" s="315" t="b">
        <v>0</v>
      </c>
      <c r="AI27">
        <v>0</v>
      </c>
      <c r="AL27" s="315" t="str">
        <f t="shared" si="16"/>
        <v/>
      </c>
      <c r="AM27" s="315" t="str">
        <f t="shared" si="17"/>
        <v/>
      </c>
      <c r="AN27" s="315" t="str">
        <f t="shared" si="18"/>
        <v/>
      </c>
      <c r="AO27" s="315" t="str">
        <f t="shared" si="19"/>
        <v/>
      </c>
      <c r="AP27" s="315" t="str">
        <f t="shared" si="20"/>
        <v/>
      </c>
    </row>
    <row r="28" spans="1:42" x14ac:dyDescent="0.2">
      <c r="A28" s="315">
        <v>27</v>
      </c>
      <c r="B28" s="315"/>
      <c r="C28" s="315"/>
      <c r="D28" s="315"/>
      <c r="E28" s="317">
        <v>0</v>
      </c>
      <c r="F28" s="315"/>
      <c r="G28" s="315">
        <v>0</v>
      </c>
      <c r="H28" s="315">
        <f t="shared" si="21"/>
        <v>0</v>
      </c>
      <c r="I28" s="315">
        <v>1</v>
      </c>
      <c r="J28" s="315">
        <f t="shared" si="1"/>
        <v>0</v>
      </c>
      <c r="K28" s="315">
        <f t="shared" si="22"/>
        <v>0</v>
      </c>
      <c r="L28" s="315"/>
      <c r="M28" s="315">
        <f t="shared" si="3"/>
        <v>0</v>
      </c>
      <c r="N28" s="315">
        <v>0</v>
      </c>
      <c r="O28" s="315">
        <v>1</v>
      </c>
      <c r="P28" s="315">
        <f t="shared" si="23"/>
        <v>0</v>
      </c>
      <c r="Q28" s="315">
        <v>0</v>
      </c>
      <c r="R28" s="315">
        <f t="shared" si="24"/>
        <v>0</v>
      </c>
      <c r="S28" s="315">
        <f t="shared" si="25"/>
        <v>0</v>
      </c>
      <c r="T28" s="315">
        <f t="shared" si="26"/>
        <v>0</v>
      </c>
      <c r="U28" s="315"/>
      <c r="V28" s="315" t="str">
        <f t="shared" si="27"/>
        <v/>
      </c>
      <c r="W28" s="315" t="str">
        <f t="shared" si="28"/>
        <v/>
      </c>
      <c r="X28" s="315" t="str">
        <f t="shared" si="8"/>
        <v/>
      </c>
      <c r="Y28" s="315" t="str">
        <f t="shared" si="29"/>
        <v/>
      </c>
      <c r="Z28" s="315" t="str">
        <f>IF(P28=0,"","opl: "&amp;N28&amp;" mL "&amp;INDEX(tblMedDiscOplVl,O28,1)&amp;" "&amp;IF(Q28=0,"","("&amp;ROUND(GlobBerMedDisc!H28/GlobBerMedDisc!N28,2)&amp;" "&amp;GlobBerMedDisc!F28&amp;"/ml)"))</f>
        <v/>
      </c>
      <c r="AA28" s="315" t="str">
        <f t="shared" si="30"/>
        <v/>
      </c>
      <c r="AB28" s="315"/>
      <c r="AC28" s="315" t="str">
        <f t="shared" si="14"/>
        <v/>
      </c>
      <c r="AD28" s="315">
        <f t="shared" si="31"/>
        <v>2</v>
      </c>
      <c r="AE28" s="315">
        <f t="shared" si="9"/>
        <v>0</v>
      </c>
      <c r="AF28" s="315" t="b">
        <v>0</v>
      </c>
      <c r="AI28">
        <v>0</v>
      </c>
      <c r="AL28" s="315" t="str">
        <f t="shared" si="16"/>
        <v/>
      </c>
      <c r="AM28" s="315" t="str">
        <f t="shared" si="17"/>
        <v/>
      </c>
      <c r="AN28" s="315" t="str">
        <f t="shared" si="18"/>
        <v/>
      </c>
      <c r="AO28" s="315" t="str">
        <f t="shared" si="19"/>
        <v/>
      </c>
      <c r="AP28" s="315" t="str">
        <f t="shared" si="20"/>
        <v/>
      </c>
    </row>
    <row r="29" spans="1:42" x14ac:dyDescent="0.2">
      <c r="A29" s="315">
        <v>28</v>
      </c>
      <c r="B29" s="315"/>
      <c r="C29" s="315"/>
      <c r="D29" s="315"/>
      <c r="E29" s="317">
        <v>0</v>
      </c>
      <c r="F29" s="315"/>
      <c r="G29" s="315">
        <v>0</v>
      </c>
      <c r="H29" s="315">
        <f t="shared" si="21"/>
        <v>0</v>
      </c>
      <c r="I29" s="315">
        <v>1</v>
      </c>
      <c r="J29" s="315">
        <f t="shared" si="1"/>
        <v>0</v>
      </c>
      <c r="K29" s="315">
        <f t="shared" si="22"/>
        <v>0</v>
      </c>
      <c r="L29" s="315"/>
      <c r="M29" s="315">
        <f t="shared" si="3"/>
        <v>0</v>
      </c>
      <c r="N29" s="315">
        <v>0</v>
      </c>
      <c r="O29" s="315">
        <v>1</v>
      </c>
      <c r="P29" s="315">
        <f t="shared" si="23"/>
        <v>0</v>
      </c>
      <c r="Q29" s="315">
        <v>0</v>
      </c>
      <c r="R29" s="315">
        <f t="shared" si="24"/>
        <v>0</v>
      </c>
      <c r="S29" s="315">
        <f t="shared" si="25"/>
        <v>0</v>
      </c>
      <c r="T29" s="315">
        <f t="shared" si="26"/>
        <v>0</v>
      </c>
      <c r="U29" s="315"/>
      <c r="V29" s="315" t="str">
        <f t="shared" si="27"/>
        <v/>
      </c>
      <c r="W29" s="315" t="str">
        <f t="shared" si="28"/>
        <v/>
      </c>
      <c r="X29" s="315" t="str">
        <f t="shared" si="8"/>
        <v/>
      </c>
      <c r="Y29" s="315" t="str">
        <f t="shared" si="29"/>
        <v/>
      </c>
      <c r="Z29" s="315" t="str">
        <f>IF(P29=0,"","opl: "&amp;N29&amp;" mL "&amp;INDEX(tblMedDiscOplVl,O29,1)&amp;" "&amp;IF(Q29=0,"","("&amp;ROUND(GlobBerMedDisc!H29/GlobBerMedDisc!N29,2)&amp;" "&amp;GlobBerMedDisc!F29&amp;"/ml)"))</f>
        <v/>
      </c>
      <c r="AA29" s="315" t="str">
        <f t="shared" si="30"/>
        <v/>
      </c>
      <c r="AB29" s="315"/>
      <c r="AC29" s="315" t="str">
        <f t="shared" si="14"/>
        <v/>
      </c>
      <c r="AD29" s="315">
        <f t="shared" si="31"/>
        <v>2</v>
      </c>
      <c r="AE29" s="315">
        <f t="shared" si="9"/>
        <v>0</v>
      </c>
      <c r="AF29" s="315" t="b">
        <v>0</v>
      </c>
      <c r="AI29">
        <v>0</v>
      </c>
      <c r="AL29" s="315" t="str">
        <f t="shared" si="16"/>
        <v/>
      </c>
      <c r="AM29" s="315" t="str">
        <f t="shared" si="17"/>
        <v/>
      </c>
      <c r="AN29" s="315" t="str">
        <f t="shared" si="18"/>
        <v/>
      </c>
      <c r="AO29" s="315" t="str">
        <f t="shared" si="19"/>
        <v/>
      </c>
      <c r="AP29" s="315" t="str">
        <f t="shared" si="20"/>
        <v/>
      </c>
    </row>
    <row r="30" spans="1:42" x14ac:dyDescent="0.2">
      <c r="A30" s="315">
        <v>29</v>
      </c>
      <c r="B30" s="315"/>
      <c r="C30" s="315"/>
      <c r="D30" s="315"/>
      <c r="E30" s="317">
        <v>0</v>
      </c>
      <c r="F30" s="315"/>
      <c r="G30" s="315">
        <v>0</v>
      </c>
      <c r="H30" s="315">
        <f t="shared" si="21"/>
        <v>0</v>
      </c>
      <c r="I30" s="315">
        <v>1</v>
      </c>
      <c r="J30" s="315">
        <f t="shared" si="1"/>
        <v>0</v>
      </c>
      <c r="K30" s="315">
        <f t="shared" si="22"/>
        <v>0</v>
      </c>
      <c r="L30" s="315"/>
      <c r="M30" s="315">
        <f t="shared" si="3"/>
        <v>0</v>
      </c>
      <c r="N30" s="315">
        <v>0</v>
      </c>
      <c r="O30" s="315">
        <v>1</v>
      </c>
      <c r="P30" s="315">
        <f t="shared" si="23"/>
        <v>0</v>
      </c>
      <c r="Q30" s="315">
        <v>0</v>
      </c>
      <c r="R30" s="315">
        <f t="shared" si="24"/>
        <v>0</v>
      </c>
      <c r="S30" s="315">
        <f t="shared" si="25"/>
        <v>0</v>
      </c>
      <c r="T30" s="315">
        <f t="shared" si="26"/>
        <v>0</v>
      </c>
      <c r="U30" s="315"/>
      <c r="V30" s="315" t="str">
        <f t="shared" si="27"/>
        <v/>
      </c>
      <c r="W30" s="315" t="str">
        <f t="shared" si="28"/>
        <v/>
      </c>
      <c r="X30" s="315" t="str">
        <f t="shared" si="8"/>
        <v/>
      </c>
      <c r="Y30" s="315" t="str">
        <f t="shared" si="29"/>
        <v/>
      </c>
      <c r="Z30" s="315" t="str">
        <f>IF(P30=0,"","opl: "&amp;N30&amp;" mL "&amp;INDEX(tblMedDiscOplVl,O30,1)&amp;" "&amp;IF(Q30=0,"","("&amp;ROUND(GlobBerMedDisc!H30/GlobBerMedDisc!N30,2)&amp;" "&amp;GlobBerMedDisc!F30&amp;"/ml)"))</f>
        <v/>
      </c>
      <c r="AA30" s="315" t="str">
        <f t="shared" si="30"/>
        <v/>
      </c>
      <c r="AB30" s="315"/>
      <c r="AC30" s="315" t="str">
        <f t="shared" si="14"/>
        <v/>
      </c>
      <c r="AD30" s="315">
        <f t="shared" si="31"/>
        <v>2</v>
      </c>
      <c r="AE30" s="315">
        <f t="shared" si="9"/>
        <v>0</v>
      </c>
      <c r="AF30" s="315" t="b">
        <v>0</v>
      </c>
      <c r="AI30">
        <v>0</v>
      </c>
      <c r="AL30" s="315" t="str">
        <f t="shared" si="16"/>
        <v/>
      </c>
      <c r="AM30" s="315" t="str">
        <f t="shared" si="17"/>
        <v/>
      </c>
      <c r="AN30" s="315" t="str">
        <f t="shared" si="18"/>
        <v/>
      </c>
      <c r="AO30" s="315" t="str">
        <f t="shared" si="19"/>
        <v/>
      </c>
      <c r="AP30" s="315" t="str">
        <f t="shared" si="20"/>
        <v/>
      </c>
    </row>
    <row r="31" spans="1:42" x14ac:dyDescent="0.2">
      <c r="A31" s="315">
        <v>30</v>
      </c>
      <c r="B31" s="315"/>
      <c r="C31" s="315"/>
      <c r="D31" s="315"/>
      <c r="E31" s="317">
        <v>0</v>
      </c>
      <c r="F31" s="315"/>
      <c r="G31" s="315">
        <v>0</v>
      </c>
      <c r="H31" s="315">
        <f t="shared" si="21"/>
        <v>0</v>
      </c>
      <c r="I31" s="315">
        <v>1</v>
      </c>
      <c r="J31" s="315">
        <f t="shared" si="1"/>
        <v>0</v>
      </c>
      <c r="K31" s="315">
        <f t="shared" si="22"/>
        <v>0</v>
      </c>
      <c r="L31" s="315"/>
      <c r="M31" s="315">
        <f t="shared" si="3"/>
        <v>0</v>
      </c>
      <c r="N31" s="315">
        <v>0</v>
      </c>
      <c r="O31" s="315">
        <v>1</v>
      </c>
      <c r="P31" s="315">
        <f t="shared" si="23"/>
        <v>0</v>
      </c>
      <c r="Q31" s="315">
        <v>0</v>
      </c>
      <c r="R31" s="315">
        <f t="shared" si="24"/>
        <v>0</v>
      </c>
      <c r="S31" s="315">
        <f t="shared" si="25"/>
        <v>0</v>
      </c>
      <c r="T31" s="315">
        <f t="shared" si="26"/>
        <v>0</v>
      </c>
      <c r="U31" s="315"/>
      <c r="V31" s="315" t="str">
        <f t="shared" si="27"/>
        <v/>
      </c>
      <c r="W31" s="315" t="str">
        <f t="shared" si="28"/>
        <v/>
      </c>
      <c r="X31" s="315" t="str">
        <f t="shared" si="8"/>
        <v/>
      </c>
      <c r="Y31" s="315" t="str">
        <f t="shared" si="29"/>
        <v/>
      </c>
      <c r="Z31" s="315" t="str">
        <f>IF(P31=0,"","opl: "&amp;N31&amp;" mL "&amp;INDEX(tblMedDiscOplVl,O31,1)&amp;" "&amp;IF(Q31=0,"","("&amp;ROUND(GlobBerMedDisc!H31/GlobBerMedDisc!N31,2)&amp;" "&amp;GlobBerMedDisc!F31&amp;"/ml)"))</f>
        <v/>
      </c>
      <c r="AA31" s="315" t="str">
        <f t="shared" si="30"/>
        <v/>
      </c>
      <c r="AB31" s="315"/>
      <c r="AC31" s="315" t="str">
        <f t="shared" si="14"/>
        <v/>
      </c>
      <c r="AD31" s="315">
        <f t="shared" si="31"/>
        <v>2</v>
      </c>
      <c r="AE31" s="315">
        <f t="shared" si="9"/>
        <v>0</v>
      </c>
      <c r="AF31" s="315" t="b">
        <v>0</v>
      </c>
      <c r="AI31">
        <v>0</v>
      </c>
      <c r="AL31" s="315" t="str">
        <f t="shared" si="16"/>
        <v/>
      </c>
      <c r="AM31" s="315" t="str">
        <f t="shared" si="17"/>
        <v/>
      </c>
      <c r="AN31" s="315" t="str">
        <f t="shared" si="18"/>
        <v/>
      </c>
      <c r="AO31" s="315" t="str">
        <f t="shared" si="19"/>
        <v/>
      </c>
      <c r="AP31" s="315" t="str">
        <f t="shared" si="20"/>
        <v/>
      </c>
    </row>
    <row r="33" spans="2:19" x14ac:dyDescent="0.2">
      <c r="P33">
        <f>SUM(P2:P31)</f>
        <v>0</v>
      </c>
      <c r="R33">
        <f>SUM(R2:R31)</f>
        <v>0</v>
      </c>
      <c r="S33">
        <f>SUM(S2:T31)</f>
        <v>0</v>
      </c>
    </row>
    <row r="34" spans="2:19" x14ac:dyDescent="0.2">
      <c r="B34" s="316" t="s">
        <v>222</v>
      </c>
    </row>
    <row r="40" spans="2:19" x14ac:dyDescent="0.2">
      <c r="D40" s="316"/>
    </row>
    <row r="41" spans="2:19" x14ac:dyDescent="0.2">
      <c r="D41" s="316"/>
    </row>
  </sheetData>
  <customSheetViews>
    <customSheetView guid="{33CCADFA-0D48-46A6-8927-2B2144029216}" state="veryHidden">
      <selection activeCell="A2" sqref="A2"/>
      <pageMargins left="0.75" right="0.75" top="1" bottom="1" header="0.5" footer="0.5"/>
      <headerFooter alignWithMargins="0"/>
    </customSheetView>
  </customSheetViews>
  <phoneticPr fontId="28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Settings">
    <tabColor rgb="FF92D050"/>
  </sheetPr>
  <dimension ref="A1:R65"/>
  <sheetViews>
    <sheetView workbookViewId="0">
      <selection activeCell="B13" sqref="B13"/>
    </sheetView>
  </sheetViews>
  <sheetFormatPr defaultRowHeight="12.75" x14ac:dyDescent="0.2"/>
  <cols>
    <col min="1" max="1" width="11.140625" customWidth="1"/>
    <col min="2" max="2" width="16.140625" customWidth="1"/>
    <col min="4" max="4" width="10.5703125" customWidth="1"/>
    <col min="5" max="5" width="10.42578125" customWidth="1"/>
    <col min="7" max="7" width="22.42578125" customWidth="1"/>
    <col min="8" max="8" width="17.5703125" customWidth="1"/>
    <col min="9" max="9" width="15.42578125" customWidth="1"/>
    <col min="11" max="11" width="20" customWidth="1"/>
    <col min="12" max="12" width="16.7109375" customWidth="1"/>
    <col min="13" max="13" width="14.5703125" customWidth="1"/>
  </cols>
  <sheetData>
    <row r="1" spans="1:18" s="315" customFormat="1" x14ac:dyDescent="0.2">
      <c r="A1" s="316" t="s">
        <v>1145</v>
      </c>
      <c r="B1" s="316" t="s">
        <v>1146</v>
      </c>
      <c r="D1" s="316" t="s">
        <v>3542</v>
      </c>
      <c r="E1" s="316" t="s">
        <v>1136</v>
      </c>
      <c r="G1" s="320"/>
      <c r="H1" s="316" t="s">
        <v>3542</v>
      </c>
      <c r="I1" s="316" t="s">
        <v>1136</v>
      </c>
      <c r="K1" s="316" t="s">
        <v>4709</v>
      </c>
      <c r="L1" s="316" t="s">
        <v>4710</v>
      </c>
      <c r="M1" s="316" t="s">
        <v>158</v>
      </c>
      <c r="P1" s="320" t="s">
        <v>4711</v>
      </c>
    </row>
    <row r="2" spans="1:18" x14ac:dyDescent="0.2">
      <c r="A2" s="316" t="s">
        <v>1132</v>
      </c>
      <c r="B2" t="b">
        <v>1</v>
      </c>
      <c r="D2" s="315" t="s">
        <v>3543</v>
      </c>
      <c r="E2" s="316" t="s">
        <v>3561</v>
      </c>
      <c r="G2" s="316" t="s">
        <v>4706</v>
      </c>
      <c r="H2" s="592" t="s">
        <v>4699</v>
      </c>
      <c r="I2" s="592" t="s">
        <v>4699</v>
      </c>
      <c r="K2" s="316" t="s">
        <v>4712</v>
      </c>
      <c r="L2" s="316"/>
      <c r="M2" s="316"/>
      <c r="N2" s="315"/>
      <c r="O2" s="315"/>
      <c r="P2" s="148"/>
      <c r="Q2" s="148"/>
      <c r="R2" s="148"/>
    </row>
    <row r="3" spans="1:18" x14ac:dyDescent="0.2">
      <c r="A3" s="316" t="s">
        <v>1133</v>
      </c>
      <c r="B3" t="b">
        <v>1</v>
      </c>
      <c r="D3" s="315" t="s">
        <v>3544</v>
      </c>
      <c r="E3" s="316" t="s">
        <v>3562</v>
      </c>
      <c r="G3" s="316" t="s">
        <v>4703</v>
      </c>
      <c r="H3" s="670" t="s">
        <v>4703</v>
      </c>
      <c r="I3" s="599" t="s">
        <v>4703</v>
      </c>
      <c r="K3" s="316" t="s">
        <v>4712</v>
      </c>
      <c r="L3" s="316" t="s">
        <v>4703</v>
      </c>
      <c r="M3" s="315" t="e">
        <f>P3:R3</f>
        <v>#VALUE!</v>
      </c>
      <c r="N3" s="315"/>
      <c r="O3" s="315"/>
      <c r="P3" s="600" t="s">
        <v>4711</v>
      </c>
      <c r="Q3" s="601" t="s">
        <v>4703</v>
      </c>
      <c r="R3" s="602"/>
    </row>
    <row r="4" spans="1:18" x14ac:dyDescent="0.2">
      <c r="A4" s="316" t="s">
        <v>1134</v>
      </c>
      <c r="B4" s="316" t="s">
        <v>1136</v>
      </c>
      <c r="C4" s="315"/>
      <c r="D4" s="315" t="s">
        <v>3545</v>
      </c>
      <c r="E4" s="316" t="s">
        <v>3563</v>
      </c>
      <c r="G4" s="316" t="s">
        <v>4702</v>
      </c>
      <c r="H4" s="593" t="s">
        <v>4702</v>
      </c>
      <c r="I4" s="593" t="s">
        <v>4702</v>
      </c>
      <c r="K4" s="316" t="s">
        <v>4712</v>
      </c>
      <c r="L4" s="316" t="s">
        <v>4702</v>
      </c>
      <c r="M4" s="315" t="e">
        <f t="shared" ref="M4:M9" si="0">P4:R4</f>
        <v>#VALUE!</v>
      </c>
      <c r="N4" s="315"/>
      <c r="O4" s="315"/>
      <c r="P4" s="623" t="s">
        <v>4711</v>
      </c>
      <c r="Q4" s="623" t="s">
        <v>4702</v>
      </c>
      <c r="R4" s="623"/>
    </row>
    <row r="5" spans="1:18" x14ac:dyDescent="0.2">
      <c r="A5" s="316" t="s">
        <v>1135</v>
      </c>
      <c r="B5" s="316" t="s">
        <v>1137</v>
      </c>
      <c r="C5" s="315"/>
      <c r="D5" s="315" t="s">
        <v>3546</v>
      </c>
      <c r="E5" s="316" t="s">
        <v>3564</v>
      </c>
      <c r="G5" s="316" t="s">
        <v>4700</v>
      </c>
      <c r="H5" s="594" t="s">
        <v>4700</v>
      </c>
      <c r="I5" s="594" t="s">
        <v>4700</v>
      </c>
      <c r="K5" s="316" t="s">
        <v>4712</v>
      </c>
      <c r="L5" s="316" t="s">
        <v>4700</v>
      </c>
      <c r="M5" s="315" t="e">
        <f t="shared" si="0"/>
        <v>#VALUE!</v>
      </c>
      <c r="N5" s="315"/>
      <c r="O5" s="315"/>
      <c r="P5" s="661" t="s">
        <v>4711</v>
      </c>
      <c r="Q5" s="661" t="s">
        <v>4700</v>
      </c>
      <c r="R5" s="661"/>
    </row>
    <row r="6" spans="1:18" x14ac:dyDescent="0.2">
      <c r="A6" s="316" t="s">
        <v>1138</v>
      </c>
      <c r="B6" s="316" t="s">
        <v>4711</v>
      </c>
      <c r="C6" s="315"/>
      <c r="D6" s="315" t="s">
        <v>3547</v>
      </c>
      <c r="E6" s="316" t="s">
        <v>3565</v>
      </c>
      <c r="G6" s="316" t="s">
        <v>4701</v>
      </c>
      <c r="H6" s="595" t="s">
        <v>4701</v>
      </c>
      <c r="I6" s="595" t="s">
        <v>4701</v>
      </c>
      <c r="K6" s="316" t="s">
        <v>4712</v>
      </c>
      <c r="L6" s="316" t="s">
        <v>4701</v>
      </c>
      <c r="M6" s="315" t="e">
        <f t="shared" si="0"/>
        <v>#VALUE!</v>
      </c>
      <c r="N6" s="315"/>
      <c r="O6" s="315"/>
      <c r="P6" s="662" t="s">
        <v>4711</v>
      </c>
      <c r="Q6" s="662" t="s">
        <v>4701</v>
      </c>
      <c r="R6" s="662"/>
    </row>
    <row r="7" spans="1:18" x14ac:dyDescent="0.2">
      <c r="A7" s="316" t="s">
        <v>1139</v>
      </c>
      <c r="B7" t="s">
        <v>1140</v>
      </c>
      <c r="C7" s="315"/>
      <c r="D7" s="315" t="s">
        <v>3548</v>
      </c>
      <c r="E7" s="316" t="s">
        <v>3566</v>
      </c>
      <c r="G7" s="316" t="s">
        <v>4704</v>
      </c>
      <c r="H7" s="596" t="s">
        <v>4704</v>
      </c>
      <c r="I7" s="596" t="s">
        <v>4704</v>
      </c>
      <c r="K7" s="316" t="s">
        <v>4712</v>
      </c>
      <c r="L7" s="316" t="s">
        <v>4704</v>
      </c>
      <c r="M7" s="315" t="e">
        <f t="shared" si="0"/>
        <v>#VALUE!</v>
      </c>
      <c r="N7" s="315"/>
      <c r="O7" s="315"/>
      <c r="P7" s="663" t="s">
        <v>4711</v>
      </c>
      <c r="Q7" s="663" t="s">
        <v>4704</v>
      </c>
      <c r="R7" s="663"/>
    </row>
    <row r="8" spans="1:18" x14ac:dyDescent="0.2">
      <c r="A8" s="316" t="s">
        <v>1141</v>
      </c>
      <c r="B8" s="316" t="s">
        <v>1142</v>
      </c>
      <c r="C8" s="315"/>
      <c r="D8" s="315" t="s">
        <v>3549</v>
      </c>
      <c r="E8" s="316" t="s">
        <v>3567</v>
      </c>
      <c r="G8" s="316" t="s">
        <v>4707</v>
      </c>
      <c r="H8" s="597" t="s">
        <v>116</v>
      </c>
      <c r="I8" s="597" t="s">
        <v>116</v>
      </c>
      <c r="K8" s="316" t="s">
        <v>4712</v>
      </c>
      <c r="L8" s="316" t="s">
        <v>4707</v>
      </c>
      <c r="M8" s="315" t="e">
        <f t="shared" si="0"/>
        <v>#VALUE!</v>
      </c>
      <c r="N8" s="315"/>
      <c r="O8" s="315"/>
      <c r="P8" s="664" t="s">
        <v>4711</v>
      </c>
      <c r="Q8" s="664" t="s">
        <v>4707</v>
      </c>
      <c r="R8" s="664"/>
    </row>
    <row r="9" spans="1:18" x14ac:dyDescent="0.2">
      <c r="A9" s="316" t="s">
        <v>1143</v>
      </c>
      <c r="B9" t="s">
        <v>1144</v>
      </c>
      <c r="C9" s="315"/>
      <c r="D9" s="315" t="s">
        <v>3550</v>
      </c>
      <c r="E9" s="316" t="s">
        <v>3568</v>
      </c>
      <c r="G9" s="316" t="s">
        <v>4705</v>
      </c>
      <c r="H9" s="598" t="s">
        <v>4705</v>
      </c>
      <c r="I9" s="598" t="s">
        <v>4705</v>
      </c>
      <c r="K9" s="316" t="s">
        <v>4712</v>
      </c>
      <c r="L9" s="316" t="s">
        <v>4705</v>
      </c>
      <c r="M9" s="315" t="e">
        <f t="shared" si="0"/>
        <v>#VALUE!</v>
      </c>
      <c r="N9" s="315"/>
      <c r="O9" s="315"/>
      <c r="P9" s="665" t="s">
        <v>4711</v>
      </c>
      <c r="Q9" s="665" t="s">
        <v>4705</v>
      </c>
      <c r="R9" s="665"/>
    </row>
    <row r="10" spans="1:18" x14ac:dyDescent="0.2">
      <c r="A10" s="316" t="s">
        <v>1147</v>
      </c>
      <c r="B10" s="316" t="s">
        <v>1148</v>
      </c>
      <c r="C10" s="315"/>
      <c r="D10" s="315" t="s">
        <v>3551</v>
      </c>
      <c r="E10" s="316" t="s">
        <v>3569</v>
      </c>
      <c r="K10" s="316" t="s">
        <v>4708</v>
      </c>
      <c r="L10" s="316" t="s">
        <v>4706</v>
      </c>
      <c r="M10" s="315">
        <f>PedGuiMedIV!A1</f>
        <v>0</v>
      </c>
      <c r="P10" s="148"/>
      <c r="Q10" s="148"/>
      <c r="R10" s="148"/>
    </row>
    <row r="11" spans="1:18" x14ac:dyDescent="0.2">
      <c r="C11" s="315"/>
      <c r="D11" s="315" t="s">
        <v>3552</v>
      </c>
      <c r="E11" s="316" t="s">
        <v>3570</v>
      </c>
      <c r="K11" s="316" t="s">
        <v>4708</v>
      </c>
      <c r="L11" s="316" t="s">
        <v>4703</v>
      </c>
      <c r="M11" s="323" t="e">
        <f>PedGuiMedIV!E9:N23,PedGuiMedIV!E25:N29,PedGuiMedIV!F37</f>
        <v>#VALUE!</v>
      </c>
      <c r="P11" s="148"/>
      <c r="Q11" s="148"/>
      <c r="R11" s="148"/>
    </row>
    <row r="12" spans="1:18" x14ac:dyDescent="0.2">
      <c r="D12" s="315" t="s">
        <v>3553</v>
      </c>
      <c r="E12" s="316" t="s">
        <v>3571</v>
      </c>
      <c r="K12" s="316" t="s">
        <v>4708</v>
      </c>
      <c r="L12" s="316" t="s">
        <v>4702</v>
      </c>
      <c r="M12" s="323" t="e">
        <f>PedGuiMedIV!D9:D23,PedGuiMedIV!D25:D29,PedGuiMedIV!D37:E39</f>
        <v>#VALUE!</v>
      </c>
      <c r="P12" s="148"/>
      <c r="Q12" s="148"/>
      <c r="R12" s="148"/>
    </row>
    <row r="13" spans="1:18" x14ac:dyDescent="0.2">
      <c r="D13" s="315" t="s">
        <v>3554</v>
      </c>
      <c r="E13" s="316" t="s">
        <v>3572</v>
      </c>
      <c r="K13" s="316" t="s">
        <v>4708</v>
      </c>
      <c r="L13" s="316" t="s">
        <v>4700</v>
      </c>
      <c r="M13" s="323" t="e">
        <f>PedGuiMedIV!B1:N5</f>
        <v>#VALUE!</v>
      </c>
    </row>
    <row r="14" spans="1:18" x14ac:dyDescent="0.2">
      <c r="D14" s="315" t="s">
        <v>3555</v>
      </c>
      <c r="E14" s="316" t="s">
        <v>3573</v>
      </c>
      <c r="K14" s="316" t="s">
        <v>4708</v>
      </c>
      <c r="L14" s="316" t="s">
        <v>4701</v>
      </c>
      <c r="M14" t="str">
        <f>PedGuiMedIV!B7:N7</f>
        <v>Adviesdosering</v>
      </c>
    </row>
    <row r="15" spans="1:18" x14ac:dyDescent="0.2">
      <c r="D15" s="315" t="s">
        <v>3556</v>
      </c>
      <c r="E15" s="316" t="s">
        <v>3574</v>
      </c>
      <c r="K15" s="316" t="s">
        <v>4708</v>
      </c>
      <c r="L15" s="316" t="s">
        <v>4704</v>
      </c>
      <c r="M15" s="323" t="e">
        <f>PedGuiMedIV!D31:N35</f>
        <v>#VALUE!</v>
      </c>
    </row>
    <row r="16" spans="1:18" x14ac:dyDescent="0.2">
      <c r="D16" s="315" t="s">
        <v>3557</v>
      </c>
      <c r="E16" s="316" t="s">
        <v>3575</v>
      </c>
      <c r="K16" s="316" t="s">
        <v>4708</v>
      </c>
      <c r="L16" s="316" t="s">
        <v>4707</v>
      </c>
    </row>
    <row r="17" spans="4:13" x14ac:dyDescent="0.2">
      <c r="D17" s="315" t="s">
        <v>3558</v>
      </c>
      <c r="E17" s="316" t="s">
        <v>3576</v>
      </c>
      <c r="K17" s="316" t="s">
        <v>4708</v>
      </c>
      <c r="L17" s="316" t="s">
        <v>4705</v>
      </c>
    </row>
    <row r="18" spans="4:13" x14ac:dyDescent="0.2">
      <c r="D18" s="315" t="s">
        <v>3559</v>
      </c>
      <c r="E18" s="316" t="s">
        <v>3577</v>
      </c>
      <c r="K18" s="316" t="s">
        <v>4713</v>
      </c>
      <c r="L18" s="316" t="s">
        <v>4706</v>
      </c>
      <c r="M18">
        <f>GlobGuiMedDisc!A1</f>
        <v>0</v>
      </c>
    </row>
    <row r="19" spans="4:13" x14ac:dyDescent="0.2">
      <c r="D19" s="315" t="s">
        <v>3560</v>
      </c>
      <c r="E19" s="316" t="s">
        <v>3578</v>
      </c>
      <c r="K19" s="316" t="s">
        <v>4713</v>
      </c>
      <c r="L19" s="316" t="s">
        <v>4703</v>
      </c>
      <c r="M19" t="str">
        <f>GlobGuiMedDisc!E9:S38</f>
        <v/>
      </c>
    </row>
    <row r="20" spans="4:13" x14ac:dyDescent="0.2">
      <c r="E20" s="316" t="s">
        <v>3579</v>
      </c>
      <c r="K20" s="316" t="s">
        <v>4713</v>
      </c>
      <c r="L20" s="316" t="s">
        <v>4702</v>
      </c>
      <c r="M20">
        <f>GlobGuiMedDisc!D9:D38</f>
        <v>12</v>
      </c>
    </row>
    <row r="21" spans="4:13" x14ac:dyDescent="0.2">
      <c r="E21" s="316" t="s">
        <v>3580</v>
      </c>
      <c r="K21" s="316" t="s">
        <v>4713</v>
      </c>
      <c r="L21" s="316" t="s">
        <v>4700</v>
      </c>
      <c r="M21" t="e">
        <f>GlobGuiMedDisc!B1:S5</f>
        <v>#VALUE!</v>
      </c>
    </row>
    <row r="22" spans="4:13" x14ac:dyDescent="0.2">
      <c r="E22" s="316" t="s">
        <v>3581</v>
      </c>
      <c r="K22" s="316" t="s">
        <v>4713</v>
      </c>
      <c r="L22" s="316" t="s">
        <v>4701</v>
      </c>
      <c r="M22" t="str">
        <f>GlobGuiMedDisc!B7:S7</f>
        <v>Dosering</v>
      </c>
    </row>
    <row r="23" spans="4:13" x14ac:dyDescent="0.2">
      <c r="E23" s="316" t="s">
        <v>3582</v>
      </c>
      <c r="K23" s="316" t="s">
        <v>4713</v>
      </c>
      <c r="L23" s="316" t="s">
        <v>4704</v>
      </c>
    </row>
    <row r="24" spans="4:13" x14ac:dyDescent="0.2">
      <c r="E24" s="316" t="s">
        <v>3583</v>
      </c>
      <c r="K24" s="316" t="s">
        <v>4713</v>
      </c>
      <c r="L24" s="316" t="s">
        <v>4707</v>
      </c>
    </row>
    <row r="25" spans="4:13" x14ac:dyDescent="0.2">
      <c r="E25" s="316" t="s">
        <v>3584</v>
      </c>
      <c r="K25" s="316" t="s">
        <v>4713</v>
      </c>
      <c r="L25" s="316" t="s">
        <v>4705</v>
      </c>
    </row>
    <row r="26" spans="4:13" x14ac:dyDescent="0.2">
      <c r="E26" s="316" t="s">
        <v>3585</v>
      </c>
      <c r="K26" s="316" t="s">
        <v>4714</v>
      </c>
      <c r="L26" s="316" t="s">
        <v>4706</v>
      </c>
      <c r="M26">
        <f>PedGuiLijnPM!A1</f>
        <v>0</v>
      </c>
    </row>
    <row r="27" spans="4:13" x14ac:dyDescent="0.2">
      <c r="E27" s="316" t="s">
        <v>3586</v>
      </c>
      <c r="K27" s="316" t="s">
        <v>4714</v>
      </c>
      <c r="L27" s="316" t="s">
        <v>4703</v>
      </c>
      <c r="M27" t="e">
        <f>PedGuiLijnPM!E16,PedGuiLijnPM!E23,PedGuiLijnPM!E25:E26,PedGuiLijnPM!E28,PedGuiLijnPM!E30:E31</f>
        <v>#VALUE!</v>
      </c>
    </row>
    <row r="28" spans="4:13" x14ac:dyDescent="0.2">
      <c r="E28" s="316" t="s">
        <v>3587</v>
      </c>
      <c r="K28" s="316" t="s">
        <v>4714</v>
      </c>
      <c r="L28" s="316" t="s">
        <v>4702</v>
      </c>
      <c r="M28" t="e">
        <f>PedGuiLijnPM!C9:C14,PedGuiLijnPM!C16:D16,PedGuiLijnPM!D21,PedGuiLijnPM!G21,PedGuiLijnPM!D23,PedGuiLijnPM!D25:D26,PedGuiLijnPM!D28,PedGuiLijnPM!D30:D31</f>
        <v>#VALUE!</v>
      </c>
    </row>
    <row r="29" spans="4:13" x14ac:dyDescent="0.2">
      <c r="E29" s="316" t="s">
        <v>3588</v>
      </c>
      <c r="K29" s="316" t="s">
        <v>4714</v>
      </c>
      <c r="L29" s="316" t="s">
        <v>4700</v>
      </c>
      <c r="M29" t="e">
        <f>PedGuiLijnPM!B1:K5</f>
        <v>#VALUE!</v>
      </c>
    </row>
    <row r="30" spans="4:13" x14ac:dyDescent="0.2">
      <c r="E30" s="316" t="s">
        <v>3589</v>
      </c>
      <c r="K30" s="316" t="s">
        <v>4714</v>
      </c>
      <c r="L30" s="316" t="s">
        <v>4701</v>
      </c>
      <c r="M30" t="e">
        <f>PedGuiLijnPM!B7:K7,PedGuiLijnPM!B19:K19</f>
        <v>#VALUE!</v>
      </c>
    </row>
    <row r="31" spans="4:13" x14ac:dyDescent="0.2">
      <c r="E31" s="316" t="s">
        <v>3590</v>
      </c>
      <c r="K31" s="316" t="s">
        <v>4714</v>
      </c>
      <c r="L31" s="316" t="s">
        <v>4704</v>
      </c>
    </row>
    <row r="32" spans="4:13" x14ac:dyDescent="0.2">
      <c r="E32" s="316" t="s">
        <v>3591</v>
      </c>
      <c r="K32" s="316" t="s">
        <v>4714</v>
      </c>
      <c r="L32" s="316" t="s">
        <v>4707</v>
      </c>
    </row>
    <row r="33" spans="5:13" x14ac:dyDescent="0.2">
      <c r="E33" s="316" t="s">
        <v>3592</v>
      </c>
      <c r="K33" s="316" t="s">
        <v>4714</v>
      </c>
      <c r="L33" s="316" t="s">
        <v>4705</v>
      </c>
    </row>
    <row r="34" spans="5:13" x14ac:dyDescent="0.2">
      <c r="E34" s="316" t="s">
        <v>3593</v>
      </c>
      <c r="K34" s="316" t="s">
        <v>4715</v>
      </c>
      <c r="L34" s="316" t="s">
        <v>4706</v>
      </c>
      <c r="M34">
        <f>PedGuiEntTPN!A1</f>
        <v>0</v>
      </c>
    </row>
    <row r="35" spans="5:13" x14ac:dyDescent="0.2">
      <c r="E35" s="316" t="s">
        <v>3594</v>
      </c>
      <c r="K35" s="316" t="s">
        <v>4715</v>
      </c>
      <c r="L35" s="316" t="s">
        <v>4703</v>
      </c>
      <c r="M35" t="e">
        <f>PedGuiEntTPN!D12:E12,PedGuiEntTPN!D14:E16,PedGuiEntTPN!K10:K18,PedGuiEntTPN!E18,PedGuiEntTPN!E22,PedGuiEntTPN!F23:F24,PedGuiEntTPN!F26:F27,PedGuiEntTPN!F29:F30,PedGuiEntTPN!F32,PedGuiEntTPN!E34,PedGuiEntTPN!F36:F37,PedGuiEntTPN!J26:J27,PedGuiEntTPN!E39</f>
        <v>#VALUE!</v>
      </c>
    </row>
    <row r="36" spans="5:13" x14ac:dyDescent="0.2">
      <c r="E36" s="316" t="s">
        <v>3595</v>
      </c>
      <c r="K36" s="316" t="s">
        <v>4715</v>
      </c>
      <c r="L36" s="316" t="s">
        <v>4702</v>
      </c>
      <c r="M36" t="e">
        <f>PedGuiEntTPN!C9:D9,PedGuiEntTPN!G9,PedGuiEntTPN!C11:G11,PedGuiEntTPN!C12:C16,PedGuiEntTPN!D13:G13,PedGuiEntTPN!J9:L9,PedGuiEntTPN!J10:J18,PedGuiEntTPN!C18:D18,PedGuiEntTPN!C22:D30,PedGuiEntTPN!C32:D32,PedGuiEntTPN!C34:D37,PedGuiEntTPN!I22:I27,PedGuiEntTPN!C39:D39</f>
        <v>#VALUE!</v>
      </c>
    </row>
    <row r="37" spans="5:13" x14ac:dyDescent="0.2">
      <c r="E37" s="316" t="s">
        <v>3596</v>
      </c>
      <c r="K37" s="316" t="s">
        <v>4715</v>
      </c>
      <c r="L37" s="316" t="s">
        <v>4700</v>
      </c>
      <c r="M37" t="e">
        <f>PedGuiEntTPN!B1:L5</f>
        <v>#VALUE!</v>
      </c>
    </row>
    <row r="38" spans="5:13" x14ac:dyDescent="0.2">
      <c r="E38" s="316" t="s">
        <v>3597</v>
      </c>
      <c r="K38" s="316" t="s">
        <v>4715</v>
      </c>
      <c r="L38" s="316" t="s">
        <v>4701</v>
      </c>
      <c r="M38" t="e">
        <f>PedGuiEntTPN!B7:L7,PedGuiEntTPN!B20:L20</f>
        <v>#VALUE!</v>
      </c>
    </row>
    <row r="39" spans="5:13" x14ac:dyDescent="0.2">
      <c r="E39" s="316" t="s">
        <v>3598</v>
      </c>
      <c r="K39" s="316" t="s">
        <v>4715</v>
      </c>
      <c r="L39" s="316" t="s">
        <v>4704</v>
      </c>
      <c r="M39" t="e">
        <f>PedGuiEntTPN!B41:L45</f>
        <v>#VALUE!</v>
      </c>
    </row>
    <row r="40" spans="5:13" x14ac:dyDescent="0.2">
      <c r="E40" s="316" t="s">
        <v>3599</v>
      </c>
      <c r="K40" s="316" t="s">
        <v>4715</v>
      </c>
      <c r="L40" s="316" t="s">
        <v>4707</v>
      </c>
    </row>
    <row r="41" spans="5:13" x14ac:dyDescent="0.2">
      <c r="E41" s="316" t="s">
        <v>3600</v>
      </c>
      <c r="K41" s="316" t="s">
        <v>4715</v>
      </c>
      <c r="L41" s="316" t="s">
        <v>4705</v>
      </c>
    </row>
    <row r="42" spans="5:13" x14ac:dyDescent="0.2">
      <c r="E42" s="316" t="s">
        <v>3601</v>
      </c>
      <c r="K42" s="316" t="s">
        <v>4716</v>
      </c>
      <c r="L42" s="316" t="s">
        <v>4706</v>
      </c>
      <c r="M42">
        <f>PedGuiLab!A1</f>
        <v>0</v>
      </c>
    </row>
    <row r="43" spans="5:13" x14ac:dyDescent="0.2">
      <c r="E43" s="316" t="s">
        <v>3602</v>
      </c>
      <c r="K43" s="316" t="s">
        <v>4716</v>
      </c>
      <c r="L43" s="316" t="s">
        <v>4703</v>
      </c>
      <c r="M43" t="str">
        <f>PedGuiLab!D43</f>
        <v/>
      </c>
    </row>
    <row r="44" spans="5:13" x14ac:dyDescent="0.2">
      <c r="E44" s="316" t="s">
        <v>3603</v>
      </c>
      <c r="K44" s="316" t="s">
        <v>4716</v>
      </c>
      <c r="L44" s="316" t="s">
        <v>4702</v>
      </c>
      <c r="M44" t="e">
        <f>PedGuiLab!B9:L9,PedGuiLab!B43:C44</f>
        <v>#VALUE!</v>
      </c>
    </row>
    <row r="45" spans="5:13" x14ac:dyDescent="0.2">
      <c r="E45" s="316" t="s">
        <v>3604</v>
      </c>
      <c r="K45" s="316" t="s">
        <v>4716</v>
      </c>
      <c r="L45" s="316" t="s">
        <v>4700</v>
      </c>
      <c r="M45" t="e">
        <f>PedGuiLab!B1:N5</f>
        <v>#VALUE!</v>
      </c>
    </row>
    <row r="46" spans="5:13" x14ac:dyDescent="0.2">
      <c r="E46" s="316" t="s">
        <v>3605</v>
      </c>
      <c r="K46" s="316" t="s">
        <v>4716</v>
      </c>
      <c r="L46" s="316" t="s">
        <v>4701</v>
      </c>
      <c r="M46">
        <f>PedGuiLab!B7:N7</f>
        <v>0</v>
      </c>
    </row>
    <row r="47" spans="5:13" x14ac:dyDescent="0.2">
      <c r="E47" s="316" t="s">
        <v>3606</v>
      </c>
      <c r="K47" s="316" t="s">
        <v>4716</v>
      </c>
      <c r="L47" s="316" t="s">
        <v>4704</v>
      </c>
    </row>
    <row r="48" spans="5:13" x14ac:dyDescent="0.2">
      <c r="E48" s="316" t="s">
        <v>3607</v>
      </c>
      <c r="K48" s="316" t="s">
        <v>4716</v>
      </c>
      <c r="L48" s="316" t="s">
        <v>4707</v>
      </c>
      <c r="M48" t="e">
        <f>PedGuiLab!B10:I41,PedGuiLab!K10:L41</f>
        <v>#VALUE!</v>
      </c>
    </row>
    <row r="49" spans="5:13" x14ac:dyDescent="0.2">
      <c r="E49" s="316" t="s">
        <v>3608</v>
      </c>
      <c r="K49" s="316" t="s">
        <v>4716</v>
      </c>
      <c r="L49" s="316" t="s">
        <v>4705</v>
      </c>
    </row>
    <row r="50" spans="5:13" x14ac:dyDescent="0.2">
      <c r="E50" s="316" t="s">
        <v>3609</v>
      </c>
      <c r="K50" s="316" t="s">
        <v>4717</v>
      </c>
      <c r="L50" s="316" t="s">
        <v>4706</v>
      </c>
      <c r="M50">
        <f>PedGuiAcuut!A1</f>
        <v>0</v>
      </c>
    </row>
    <row r="51" spans="5:13" x14ac:dyDescent="0.2">
      <c r="E51" s="316" t="s">
        <v>3610</v>
      </c>
      <c r="K51" s="316" t="s">
        <v>4717</v>
      </c>
      <c r="L51" s="316" t="s">
        <v>4703</v>
      </c>
      <c r="M51" t="e">
        <f>PedGuiAcuut!D7:G12,PedGuiAcuut!D14:G17,PedGuiAcuut!D19:G21,PedGuiAcuut!D23:G25,PedGuiAcuut!D27:G28,PedGuiAcuut!D30:G33,PedGuiAcuut!D35:G36,PedGuiAcuut!D38:G42,PedGuiAcuut!C44</f>
        <v>#VALUE!</v>
      </c>
    </row>
    <row r="52" spans="5:13" x14ac:dyDescent="0.2">
      <c r="E52" s="316" t="s">
        <v>3611</v>
      </c>
      <c r="K52" s="316" t="s">
        <v>4717</v>
      </c>
      <c r="L52" s="316" t="s">
        <v>4702</v>
      </c>
      <c r="M52" t="e">
        <f>PedGuiAcuut!C7:C12,PedGuiAcuut!C14:C17,PedGuiAcuut!C19:C21,PedGuiAcuut!C23:C25,PedGuiAcuut!C30:C33,PedGuiAcuut!C35:C36,PedGuiAcuut!C38:C42,PedGuiAcuut!C27:C28</f>
        <v>#VALUE!</v>
      </c>
    </row>
    <row r="53" spans="5:13" x14ac:dyDescent="0.2">
      <c r="E53" s="316" t="s">
        <v>3612</v>
      </c>
      <c r="K53" s="316" t="s">
        <v>4717</v>
      </c>
      <c r="L53" s="316" t="s">
        <v>4700</v>
      </c>
      <c r="M53" t="e">
        <f>PedGuiAcuut!B2:G5</f>
        <v>#VALUE!</v>
      </c>
    </row>
    <row r="54" spans="5:13" x14ac:dyDescent="0.2">
      <c r="E54" s="316" t="s">
        <v>3613</v>
      </c>
      <c r="K54" s="316" t="s">
        <v>4717</v>
      </c>
      <c r="L54" s="316" t="s">
        <v>4701</v>
      </c>
      <c r="M54" t="e">
        <f>PedGuiAcuut!B7:B12,PedGuiAcuut!B14:B17,PedGuiAcuut!B23:B25,PedGuiAcuut!B27,PedGuiAcuut!B30:B33,PedGuiAcuut!B35:B36,PedGuiAcuut!B38:B42,PedGuiAcuut!B44,PedGuiAcuut!B19:B21</f>
        <v>#VALUE!</v>
      </c>
    </row>
    <row r="55" spans="5:13" x14ac:dyDescent="0.2">
      <c r="K55" s="316" t="s">
        <v>4717</v>
      </c>
      <c r="L55" s="316" t="s">
        <v>4704</v>
      </c>
    </row>
    <row r="56" spans="5:13" x14ac:dyDescent="0.2">
      <c r="K56" s="316" t="s">
        <v>4717</v>
      </c>
      <c r="L56" s="316" t="s">
        <v>4707</v>
      </c>
    </row>
    <row r="57" spans="5:13" x14ac:dyDescent="0.2">
      <c r="K57" s="316" t="s">
        <v>4717</v>
      </c>
      <c r="L57" s="316" t="s">
        <v>4705</v>
      </c>
    </row>
    <row r="58" spans="5:13" x14ac:dyDescent="0.2">
      <c r="K58" s="316" t="s">
        <v>4718</v>
      </c>
      <c r="L58" s="316" t="s">
        <v>4706</v>
      </c>
      <c r="M58">
        <f>PedGuiAfspr!A1</f>
        <v>0</v>
      </c>
    </row>
    <row r="59" spans="5:13" x14ac:dyDescent="0.2">
      <c r="K59" s="316" t="s">
        <v>4718</v>
      </c>
      <c r="L59" s="316" t="s">
        <v>4703</v>
      </c>
      <c r="M59" t="e">
        <f>PedGuiAfspr!C8:C11,PedGuiAfspr!C18:C19,PedGuiAfspr!G9:G10,PedGuiAfspr!I10,PedGuiAfspr!F18,PedGuiAfspr!D35</f>
        <v>#VALUE!</v>
      </c>
    </row>
    <row r="60" spans="5:13" x14ac:dyDescent="0.2">
      <c r="K60" s="316" t="s">
        <v>4718</v>
      </c>
      <c r="L60" s="316" t="s">
        <v>4702</v>
      </c>
      <c r="M60" t="e">
        <f>PedGuiAfspr!H10,PedGuiAfspr!F17:I17</f>
        <v>#VALUE!</v>
      </c>
    </row>
    <row r="61" spans="5:13" x14ac:dyDescent="0.2">
      <c r="K61" s="316" t="s">
        <v>4718</v>
      </c>
      <c r="L61" s="316" t="s">
        <v>4700</v>
      </c>
      <c r="M61" t="e">
        <f>PedGuiAfspr!B1:I4</f>
        <v>#VALUE!</v>
      </c>
    </row>
    <row r="62" spans="5:13" x14ac:dyDescent="0.2">
      <c r="K62" s="316" t="s">
        <v>4718</v>
      </c>
      <c r="L62" s="316" t="s">
        <v>4701</v>
      </c>
      <c r="M62" t="e">
        <f>PedGuiAfspr!B6:I6,PedGuiAfspr!B22:I22,PedGuiAfspr!B28:I28</f>
        <v>#VALUE!</v>
      </c>
    </row>
    <row r="63" spans="5:13" x14ac:dyDescent="0.2">
      <c r="K63" s="316" t="s">
        <v>4718</v>
      </c>
      <c r="L63" s="316" t="s">
        <v>4704</v>
      </c>
      <c r="M63" t="e">
        <f>PedGuiAfspr!B37:I41</f>
        <v>#VALUE!</v>
      </c>
    </row>
    <row r="64" spans="5:13" x14ac:dyDescent="0.2">
      <c r="K64" s="316" t="s">
        <v>4718</v>
      </c>
      <c r="L64" s="316" t="s">
        <v>4707</v>
      </c>
    </row>
    <row r="65" spans="11:12" x14ac:dyDescent="0.2">
      <c r="K65" s="316" t="s">
        <v>4718</v>
      </c>
      <c r="L65" s="316" t="s">
        <v>4705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Names">
    <tabColor rgb="FF92D050"/>
  </sheetPr>
  <dimension ref="A1:I1948"/>
  <sheetViews>
    <sheetView workbookViewId="0">
      <pane ySplit="1" topLeftCell="A1831" activePane="bottomLeft" state="frozen"/>
      <selection pane="bottomLeft" activeCell="B1771" sqref="B1771:B1875"/>
    </sheetView>
  </sheetViews>
  <sheetFormatPr defaultRowHeight="12.75" x14ac:dyDescent="0.2"/>
  <cols>
    <col min="1" max="1" width="40.42578125" customWidth="1"/>
    <col min="2" max="2" width="62" customWidth="1"/>
    <col min="3" max="3" width="37.140625" customWidth="1"/>
    <col min="4" max="4" width="15" customWidth="1"/>
    <col min="5" max="5" width="73.85546875" style="861" customWidth="1"/>
  </cols>
  <sheetData>
    <row r="1" spans="1:9" x14ac:dyDescent="0.2">
      <c r="A1" t="s">
        <v>1151</v>
      </c>
      <c r="B1" t="s">
        <v>1149</v>
      </c>
      <c r="C1" t="s">
        <v>1150</v>
      </c>
      <c r="D1" t="s">
        <v>2247</v>
      </c>
      <c r="E1" t="s">
        <v>1146</v>
      </c>
      <c r="F1" t="s">
        <v>2197</v>
      </c>
      <c r="G1" t="s">
        <v>2244</v>
      </c>
      <c r="H1" t="s">
        <v>2245</v>
      </c>
      <c r="I1" t="s">
        <v>2246</v>
      </c>
    </row>
    <row r="2" spans="1:9" x14ac:dyDescent="0.2">
      <c r="A2" t="s">
        <v>3635</v>
      </c>
      <c r="B2" t="s">
        <v>1152</v>
      </c>
      <c r="D2" t="b">
        <f>IFERROR(VLOOKUP(B2,PatData!$A$2:$A$2000,1,),"")&lt;&gt;""</f>
        <v>1</v>
      </c>
      <c r="E2"/>
      <c r="F2" t="b">
        <v>0</v>
      </c>
      <c r="G2" t="b">
        <v>1</v>
      </c>
      <c r="H2" t="b">
        <v>0</v>
      </c>
      <c r="I2" t="b">
        <v>0</v>
      </c>
    </row>
    <row r="3" spans="1:9" x14ac:dyDescent="0.2">
      <c r="A3" t="s">
        <v>1614</v>
      </c>
      <c r="B3" t="s">
        <v>1153</v>
      </c>
      <c r="D3" t="b">
        <f>IFERROR(VLOOKUP(B3,PatData!$A$2:$A$2000,1,),"")&lt;&gt;""</f>
        <v>1</v>
      </c>
      <c r="E3"/>
      <c r="F3" t="b">
        <v>0</v>
      </c>
      <c r="G3" t="b">
        <v>1</v>
      </c>
      <c r="H3" t="b">
        <v>0</v>
      </c>
      <c r="I3" t="b">
        <v>0</v>
      </c>
    </row>
    <row r="4" spans="1:9" x14ac:dyDescent="0.2">
      <c r="A4" t="s">
        <v>3636</v>
      </c>
      <c r="B4" t="s">
        <v>1154</v>
      </c>
      <c r="D4" t="b">
        <f>IFERROR(VLOOKUP(B4,PatData!$A$2:$A$2000,1,),"")&lt;&gt;""</f>
        <v>1</v>
      </c>
      <c r="E4"/>
      <c r="F4" t="b">
        <v>0</v>
      </c>
      <c r="G4" t="b">
        <v>1</v>
      </c>
      <c r="H4" t="b">
        <v>0</v>
      </c>
      <c r="I4" t="b">
        <v>0</v>
      </c>
    </row>
    <row r="5" spans="1:9" x14ac:dyDescent="0.2">
      <c r="A5" t="s">
        <v>3637</v>
      </c>
      <c r="B5" t="s">
        <v>1155</v>
      </c>
      <c r="D5" t="b">
        <f>IFERROR(VLOOKUP(B5,PatData!$A$2:$A$2000,1,),"")&lt;&gt;""</f>
        <v>1</v>
      </c>
      <c r="E5"/>
      <c r="F5" t="b">
        <v>0</v>
      </c>
      <c r="G5" t="b">
        <v>1</v>
      </c>
      <c r="H5" t="b">
        <v>0</v>
      </c>
      <c r="I5" t="b">
        <v>0</v>
      </c>
    </row>
    <row r="6" spans="1:9" x14ac:dyDescent="0.2">
      <c r="A6" t="s">
        <v>3638</v>
      </c>
      <c r="B6" t="s">
        <v>1156</v>
      </c>
      <c r="D6" t="b">
        <f>IFERROR(VLOOKUP(B6,PatData!$A$2:$A$2000,1,),"")&lt;&gt;""</f>
        <v>1</v>
      </c>
      <c r="E6">
        <v>1462</v>
      </c>
      <c r="F6" t="b">
        <v>0</v>
      </c>
      <c r="G6" t="b">
        <v>1</v>
      </c>
      <c r="H6" t="b">
        <v>0</v>
      </c>
      <c r="I6" t="b">
        <v>0</v>
      </c>
    </row>
    <row r="7" spans="1:9" x14ac:dyDescent="0.2">
      <c r="A7" t="s">
        <v>4982</v>
      </c>
      <c r="B7" t="s">
        <v>2002</v>
      </c>
      <c r="D7" t="b">
        <f>IFERROR(VLOOKUP(B7,PatData!$A$2:$A$2000,1,),"")&lt;&gt;""</f>
        <v>0</v>
      </c>
      <c r="E7" t="s">
        <v>1151</v>
      </c>
      <c r="F7" t="b">
        <v>0</v>
      </c>
      <c r="G7" t="b">
        <v>0</v>
      </c>
      <c r="H7" t="b">
        <v>0</v>
      </c>
      <c r="I7" t="b">
        <v>0</v>
      </c>
    </row>
    <row r="8" spans="1:9" x14ac:dyDescent="0.2">
      <c r="A8" t="s">
        <v>1233</v>
      </c>
      <c r="B8" t="s">
        <v>1157</v>
      </c>
      <c r="D8" t="b">
        <f>IFERROR(VLOOKUP(B8,PatData!$A$2:$A$2000,1,),"")&lt;&gt;""</f>
        <v>0</v>
      </c>
      <c r="E8" t="s">
        <v>1152</v>
      </c>
      <c r="F8" t="b">
        <v>0</v>
      </c>
      <c r="G8" t="b">
        <v>0</v>
      </c>
      <c r="H8" t="b">
        <v>0</v>
      </c>
      <c r="I8" t="b">
        <v>0</v>
      </c>
    </row>
    <row r="9" spans="1:9" x14ac:dyDescent="0.2">
      <c r="A9" t="s">
        <v>5410</v>
      </c>
      <c r="B9" t="s">
        <v>1158</v>
      </c>
      <c r="D9" t="b">
        <f>IFERROR(VLOOKUP(B9,PatData!$A$2:$A$2000,1,),"")&lt;&gt;""</f>
        <v>0</v>
      </c>
      <c r="E9" t="s">
        <v>158</v>
      </c>
      <c r="F9" t="b">
        <v>0</v>
      </c>
      <c r="G9" t="b">
        <v>0</v>
      </c>
      <c r="H9" t="b">
        <v>0</v>
      </c>
      <c r="I9" t="b">
        <v>0</v>
      </c>
    </row>
    <row r="10" spans="1:9" x14ac:dyDescent="0.2">
      <c r="A10" t="s">
        <v>4029</v>
      </c>
      <c r="B10" t="s">
        <v>2252</v>
      </c>
      <c r="D10" t="b">
        <f>IFERROR(VLOOKUP(B10,PatData!$A$2:$A$2000,1,),"")&lt;&gt;""</f>
        <v>1</v>
      </c>
      <c r="E10"/>
      <c r="F10" t="b">
        <v>0</v>
      </c>
      <c r="G10" t="b">
        <v>1</v>
      </c>
      <c r="H10" t="b">
        <v>0</v>
      </c>
      <c r="I10" t="b">
        <v>0</v>
      </c>
    </row>
    <row r="11" spans="1:9" x14ac:dyDescent="0.2">
      <c r="A11" t="s">
        <v>4030</v>
      </c>
      <c r="B11" t="s">
        <v>2253</v>
      </c>
      <c r="D11" t="b">
        <f>IFERROR(VLOOKUP(B11,PatData!$A$2:$A$2000,1,),"")&lt;&gt;""</f>
        <v>1</v>
      </c>
      <c r="E11"/>
      <c r="F11" t="b">
        <v>0</v>
      </c>
      <c r="G11" t="b">
        <v>1</v>
      </c>
      <c r="H11" t="b">
        <v>0</v>
      </c>
      <c r="I11" t="b">
        <v>0</v>
      </c>
    </row>
    <row r="12" spans="1:9" x14ac:dyDescent="0.2">
      <c r="A12" t="s">
        <v>4031</v>
      </c>
      <c r="B12" t="s">
        <v>2254</v>
      </c>
      <c r="D12" t="b">
        <f>IFERROR(VLOOKUP(B12,PatData!$A$2:$A$2000,1,),"")&lt;&gt;""</f>
        <v>1</v>
      </c>
      <c r="E12"/>
      <c r="F12" t="b">
        <v>0</v>
      </c>
      <c r="G12" t="b">
        <v>1</v>
      </c>
      <c r="H12" t="b">
        <v>0</v>
      </c>
      <c r="I12" t="b">
        <v>0</v>
      </c>
    </row>
    <row r="13" spans="1:9" x14ac:dyDescent="0.2">
      <c r="A13" t="s">
        <v>4032</v>
      </c>
      <c r="B13" t="s">
        <v>2255</v>
      </c>
      <c r="D13" t="b">
        <f>IFERROR(VLOOKUP(B13,PatData!$A$2:$A$2000,1,),"")&lt;&gt;""</f>
        <v>1</v>
      </c>
      <c r="E13"/>
      <c r="F13" t="b">
        <v>0</v>
      </c>
      <c r="G13" t="b">
        <v>1</v>
      </c>
      <c r="H13" t="b">
        <v>0</v>
      </c>
      <c r="I13" t="b">
        <v>0</v>
      </c>
    </row>
    <row r="14" spans="1:9" x14ac:dyDescent="0.2">
      <c r="A14" t="s">
        <v>4033</v>
      </c>
      <c r="B14" t="s">
        <v>2256</v>
      </c>
      <c r="D14" t="b">
        <f>IFERROR(VLOOKUP(B14,PatData!$A$2:$A$2000,1,),"")&lt;&gt;""</f>
        <v>1</v>
      </c>
      <c r="E14"/>
      <c r="F14" t="b">
        <v>0</v>
      </c>
      <c r="G14" t="b">
        <v>1</v>
      </c>
      <c r="H14" t="b">
        <v>0</v>
      </c>
      <c r="I14" t="b">
        <v>0</v>
      </c>
    </row>
    <row r="15" spans="1:9" x14ac:dyDescent="0.2">
      <c r="A15" t="s">
        <v>4034</v>
      </c>
      <c r="B15" t="s">
        <v>2257</v>
      </c>
      <c r="D15" t="b">
        <f>IFERROR(VLOOKUP(B15,PatData!$A$2:$A$2000,1,),"")&lt;&gt;""</f>
        <v>1</v>
      </c>
      <c r="E15"/>
      <c r="F15" t="b">
        <v>0</v>
      </c>
      <c r="G15" t="b">
        <v>1</v>
      </c>
      <c r="H15" t="b">
        <v>0</v>
      </c>
      <c r="I15" t="b">
        <v>0</v>
      </c>
    </row>
    <row r="16" spans="1:9" x14ac:dyDescent="0.2">
      <c r="A16" t="s">
        <v>4035</v>
      </c>
      <c r="B16" t="s">
        <v>2258</v>
      </c>
      <c r="D16" t="b">
        <f>IFERROR(VLOOKUP(B16,PatData!$A$2:$A$2000,1,),"")&lt;&gt;""</f>
        <v>1</v>
      </c>
      <c r="E16"/>
      <c r="F16" t="b">
        <v>0</v>
      </c>
      <c r="G16" t="b">
        <v>1</v>
      </c>
      <c r="H16" t="b">
        <v>0</v>
      </c>
      <c r="I16" t="b">
        <v>0</v>
      </c>
    </row>
    <row r="17" spans="1:9" x14ac:dyDescent="0.2">
      <c r="A17" t="s">
        <v>4036</v>
      </c>
      <c r="B17" t="s">
        <v>2259</v>
      </c>
      <c r="D17" t="b">
        <f>IFERROR(VLOOKUP(B17,PatData!$A$2:$A$2000,1,),"")&lt;&gt;""</f>
        <v>1</v>
      </c>
      <c r="E17"/>
      <c r="F17" t="b">
        <v>0</v>
      </c>
      <c r="G17" t="b">
        <v>1</v>
      </c>
      <c r="H17" t="b">
        <v>0</v>
      </c>
      <c r="I17" t="b">
        <v>0</v>
      </c>
    </row>
    <row r="18" spans="1:9" x14ac:dyDescent="0.2">
      <c r="A18" t="s">
        <v>4037</v>
      </c>
      <c r="B18" t="s">
        <v>2260</v>
      </c>
      <c r="D18" t="b">
        <f>IFERROR(VLOOKUP(B18,PatData!$A$2:$A$2000,1,),"")&lt;&gt;""</f>
        <v>1</v>
      </c>
      <c r="E18"/>
      <c r="F18" t="b">
        <v>0</v>
      </c>
      <c r="G18" t="b">
        <v>1</v>
      </c>
      <c r="H18" t="b">
        <v>0</v>
      </c>
      <c r="I18" t="b">
        <v>0</v>
      </c>
    </row>
    <row r="19" spans="1:9" x14ac:dyDescent="0.2">
      <c r="A19" t="s">
        <v>4038</v>
      </c>
      <c r="B19" t="s">
        <v>2261</v>
      </c>
      <c r="D19" t="b">
        <f>IFERROR(VLOOKUP(B19,PatData!$A$2:$A$2000,1,),"")&lt;&gt;""</f>
        <v>1</v>
      </c>
      <c r="E19"/>
      <c r="F19" t="b">
        <v>0</v>
      </c>
      <c r="G19" t="b">
        <v>1</v>
      </c>
      <c r="H19" t="b">
        <v>0</v>
      </c>
      <c r="I19" t="b">
        <v>0</v>
      </c>
    </row>
    <row r="20" spans="1:9" x14ac:dyDescent="0.2">
      <c r="A20" t="s">
        <v>4039</v>
      </c>
      <c r="B20" t="s">
        <v>2262</v>
      </c>
      <c r="D20" t="b">
        <f>IFERROR(VLOOKUP(B20,PatData!$A$2:$A$2000,1,),"")&lt;&gt;""</f>
        <v>1</v>
      </c>
      <c r="E20"/>
      <c r="F20" t="b">
        <v>0</v>
      </c>
      <c r="G20" t="b">
        <v>1</v>
      </c>
      <c r="H20" t="b">
        <v>0</v>
      </c>
      <c r="I20" t="b">
        <v>0</v>
      </c>
    </row>
    <row r="21" spans="1:9" x14ac:dyDescent="0.2">
      <c r="A21" t="s">
        <v>4040</v>
      </c>
      <c r="B21" t="s">
        <v>2263</v>
      </c>
      <c r="D21" t="b">
        <f>IFERROR(VLOOKUP(B21,PatData!$A$2:$A$2000,1,),"")&lt;&gt;""</f>
        <v>1</v>
      </c>
      <c r="E21"/>
      <c r="F21" t="b">
        <v>0</v>
      </c>
      <c r="G21" t="b">
        <v>1</v>
      </c>
      <c r="H21" t="b">
        <v>0</v>
      </c>
      <c r="I21" t="b">
        <v>0</v>
      </c>
    </row>
    <row r="22" spans="1:9" x14ac:dyDescent="0.2">
      <c r="A22" t="s">
        <v>4041</v>
      </c>
      <c r="B22" t="s">
        <v>2264</v>
      </c>
      <c r="D22" t="b">
        <f>IFERROR(VLOOKUP(B22,PatData!$A$2:$A$2000,1,),"")&lt;&gt;""</f>
        <v>1</v>
      </c>
      <c r="E22"/>
      <c r="F22" t="b">
        <v>0</v>
      </c>
      <c r="G22" t="b">
        <v>1</v>
      </c>
      <c r="H22" t="b">
        <v>0</v>
      </c>
      <c r="I22" t="b">
        <v>0</v>
      </c>
    </row>
    <row r="23" spans="1:9" x14ac:dyDescent="0.2">
      <c r="A23" t="s">
        <v>4042</v>
      </c>
      <c r="B23" t="s">
        <v>2265</v>
      </c>
      <c r="D23" t="b">
        <f>IFERROR(VLOOKUP(B23,PatData!$A$2:$A$2000,1,),"")&lt;&gt;""</f>
        <v>1</v>
      </c>
      <c r="E23"/>
      <c r="F23" t="b">
        <v>0</v>
      </c>
      <c r="G23" t="b">
        <v>1</v>
      </c>
      <c r="H23" t="b">
        <v>0</v>
      </c>
      <c r="I23" t="b">
        <v>0</v>
      </c>
    </row>
    <row r="24" spans="1:9" x14ac:dyDescent="0.2">
      <c r="A24" t="s">
        <v>4043</v>
      </c>
      <c r="B24" t="s">
        <v>2266</v>
      </c>
      <c r="D24" t="b">
        <f>IFERROR(VLOOKUP(B24,PatData!$A$2:$A$2000,1,),"")&lt;&gt;""</f>
        <v>1</v>
      </c>
      <c r="E24"/>
      <c r="F24" t="b">
        <v>0</v>
      </c>
      <c r="G24" t="b">
        <v>1</v>
      </c>
      <c r="H24" t="b">
        <v>0</v>
      </c>
      <c r="I24" t="b">
        <v>0</v>
      </c>
    </row>
    <row r="25" spans="1:9" x14ac:dyDescent="0.2">
      <c r="A25" t="s">
        <v>4044</v>
      </c>
      <c r="B25" t="s">
        <v>2267</v>
      </c>
      <c r="D25" t="b">
        <f>IFERROR(VLOOKUP(B25,PatData!$A$2:$A$2000,1,),"")&lt;&gt;""</f>
        <v>1</v>
      </c>
      <c r="E25"/>
      <c r="F25" t="b">
        <v>0</v>
      </c>
      <c r="G25" t="b">
        <v>1</v>
      </c>
      <c r="H25" t="b">
        <v>0</v>
      </c>
      <c r="I25" t="b">
        <v>0</v>
      </c>
    </row>
    <row r="26" spans="1:9" x14ac:dyDescent="0.2">
      <c r="A26" t="s">
        <v>4045</v>
      </c>
      <c r="B26" t="s">
        <v>2268</v>
      </c>
      <c r="D26" t="b">
        <f>IFERROR(VLOOKUP(B26,PatData!$A$2:$A$2000,1,),"")&lt;&gt;""</f>
        <v>1</v>
      </c>
      <c r="E26"/>
      <c r="F26" t="b">
        <v>0</v>
      </c>
      <c r="G26" t="b">
        <v>1</v>
      </c>
      <c r="H26" t="b">
        <v>0</v>
      </c>
      <c r="I26" t="b">
        <v>0</v>
      </c>
    </row>
    <row r="27" spans="1:9" x14ac:dyDescent="0.2">
      <c r="A27" t="s">
        <v>4046</v>
      </c>
      <c r="B27" t="s">
        <v>2269</v>
      </c>
      <c r="D27" t="b">
        <f>IFERROR(VLOOKUP(B27,PatData!$A$2:$A$2000,1,),"")&lt;&gt;""</f>
        <v>1</v>
      </c>
      <c r="E27"/>
      <c r="F27" t="b">
        <v>0</v>
      </c>
      <c r="G27" t="b">
        <v>1</v>
      </c>
      <c r="H27" t="b">
        <v>0</v>
      </c>
      <c r="I27" t="b">
        <v>0</v>
      </c>
    </row>
    <row r="28" spans="1:9" x14ac:dyDescent="0.2">
      <c r="A28" t="s">
        <v>4047</v>
      </c>
      <c r="B28" t="s">
        <v>2270</v>
      </c>
      <c r="D28" t="b">
        <f>IFERROR(VLOOKUP(B28,PatData!$A$2:$A$2000,1,),"")&lt;&gt;""</f>
        <v>1</v>
      </c>
      <c r="E28"/>
      <c r="F28" t="b">
        <v>0</v>
      </c>
      <c r="G28" t="b">
        <v>1</v>
      </c>
      <c r="H28" t="b">
        <v>0</v>
      </c>
      <c r="I28" t="b">
        <v>0</v>
      </c>
    </row>
    <row r="29" spans="1:9" x14ac:dyDescent="0.2">
      <c r="A29" t="s">
        <v>4048</v>
      </c>
      <c r="B29" t="s">
        <v>2271</v>
      </c>
      <c r="D29" t="b">
        <f>IFERROR(VLOOKUP(B29,PatData!$A$2:$A$2000,1,),"")&lt;&gt;""</f>
        <v>1</v>
      </c>
      <c r="E29"/>
      <c r="F29" t="b">
        <v>0</v>
      </c>
      <c r="G29" t="b">
        <v>1</v>
      </c>
      <c r="H29" t="b">
        <v>0</v>
      </c>
      <c r="I29" t="b">
        <v>0</v>
      </c>
    </row>
    <row r="30" spans="1:9" x14ac:dyDescent="0.2">
      <c r="A30" t="s">
        <v>4049</v>
      </c>
      <c r="B30" t="s">
        <v>2272</v>
      </c>
      <c r="D30" t="b">
        <f>IFERROR(VLOOKUP(B30,PatData!$A$2:$A$2000,1,),"")&lt;&gt;""</f>
        <v>1</v>
      </c>
      <c r="E30"/>
      <c r="F30" t="b">
        <v>0</v>
      </c>
      <c r="G30" t="b">
        <v>1</v>
      </c>
      <c r="H30" t="b">
        <v>0</v>
      </c>
      <c r="I30" t="b">
        <v>0</v>
      </c>
    </row>
    <row r="31" spans="1:9" x14ac:dyDescent="0.2">
      <c r="A31" t="s">
        <v>4050</v>
      </c>
      <c r="B31" t="s">
        <v>2273</v>
      </c>
      <c r="D31" t="b">
        <f>IFERROR(VLOOKUP(B31,PatData!$A$2:$A$2000,1,),"")&lt;&gt;""</f>
        <v>1</v>
      </c>
      <c r="E31"/>
      <c r="F31" t="b">
        <v>0</v>
      </c>
      <c r="G31" t="b">
        <v>1</v>
      </c>
      <c r="H31" t="b">
        <v>0</v>
      </c>
      <c r="I31" t="b">
        <v>0</v>
      </c>
    </row>
    <row r="32" spans="1:9" x14ac:dyDescent="0.2">
      <c r="A32" t="s">
        <v>4051</v>
      </c>
      <c r="B32" t="s">
        <v>2274</v>
      </c>
      <c r="D32" t="b">
        <f>IFERROR(VLOOKUP(B32,PatData!$A$2:$A$2000,1,),"")&lt;&gt;""</f>
        <v>1</v>
      </c>
      <c r="E32"/>
      <c r="F32" t="b">
        <v>0</v>
      </c>
      <c r="G32" t="b">
        <v>1</v>
      </c>
      <c r="H32" t="b">
        <v>0</v>
      </c>
      <c r="I32" t="b">
        <v>0</v>
      </c>
    </row>
    <row r="33" spans="1:9" x14ac:dyDescent="0.2">
      <c r="A33" t="s">
        <v>4052</v>
      </c>
      <c r="B33" t="s">
        <v>2275</v>
      </c>
      <c r="D33" t="b">
        <f>IFERROR(VLOOKUP(B33,PatData!$A$2:$A$2000,1,),"")&lt;&gt;""</f>
        <v>1</v>
      </c>
      <c r="E33"/>
      <c r="F33" t="b">
        <v>0</v>
      </c>
      <c r="G33" t="b">
        <v>1</v>
      </c>
      <c r="H33" t="b">
        <v>0</v>
      </c>
      <c r="I33" t="b">
        <v>0</v>
      </c>
    </row>
    <row r="34" spans="1:9" x14ac:dyDescent="0.2">
      <c r="A34" t="s">
        <v>4053</v>
      </c>
      <c r="B34" t="s">
        <v>2276</v>
      </c>
      <c r="D34" t="b">
        <f>IFERROR(VLOOKUP(B34,PatData!$A$2:$A$2000,1,),"")&lt;&gt;""</f>
        <v>1</v>
      </c>
      <c r="E34"/>
      <c r="F34" t="b">
        <v>0</v>
      </c>
      <c r="G34" t="b">
        <v>1</v>
      </c>
      <c r="H34" t="b">
        <v>0</v>
      </c>
      <c r="I34" t="b">
        <v>0</v>
      </c>
    </row>
    <row r="35" spans="1:9" x14ac:dyDescent="0.2">
      <c r="A35" t="s">
        <v>4054</v>
      </c>
      <c r="B35" t="s">
        <v>2277</v>
      </c>
      <c r="D35" t="b">
        <f>IFERROR(VLOOKUP(B35,PatData!$A$2:$A$2000,1,),"")&lt;&gt;""</f>
        <v>1</v>
      </c>
      <c r="E35"/>
      <c r="F35" t="b">
        <v>0</v>
      </c>
      <c r="G35" t="b">
        <v>1</v>
      </c>
      <c r="H35" t="b">
        <v>0</v>
      </c>
      <c r="I35" t="b">
        <v>0</v>
      </c>
    </row>
    <row r="36" spans="1:9" x14ac:dyDescent="0.2">
      <c r="A36" t="s">
        <v>4055</v>
      </c>
      <c r="B36" t="s">
        <v>2278</v>
      </c>
      <c r="D36" t="b">
        <f>IFERROR(VLOOKUP(B36,PatData!$A$2:$A$2000,1,),"")&lt;&gt;""</f>
        <v>1</v>
      </c>
      <c r="E36"/>
      <c r="F36" t="b">
        <v>0</v>
      </c>
      <c r="G36" t="b">
        <v>1</v>
      </c>
      <c r="H36" t="b">
        <v>0</v>
      </c>
      <c r="I36" t="b">
        <v>0</v>
      </c>
    </row>
    <row r="37" spans="1:9" x14ac:dyDescent="0.2">
      <c r="A37" t="s">
        <v>4056</v>
      </c>
      <c r="B37" t="s">
        <v>2279</v>
      </c>
      <c r="D37" t="b">
        <f>IFERROR(VLOOKUP(B37,PatData!$A$2:$A$2000,1,),"")&lt;&gt;""</f>
        <v>1</v>
      </c>
      <c r="E37"/>
      <c r="F37" t="b">
        <v>0</v>
      </c>
      <c r="G37" t="b">
        <v>1</v>
      </c>
      <c r="H37" t="b">
        <v>0</v>
      </c>
      <c r="I37" t="b">
        <v>0</v>
      </c>
    </row>
    <row r="38" spans="1:9" x14ac:dyDescent="0.2">
      <c r="A38" t="s">
        <v>4057</v>
      </c>
      <c r="B38" t="s">
        <v>2280</v>
      </c>
      <c r="D38" t="b">
        <f>IFERROR(VLOOKUP(B38,PatData!$A$2:$A$2000,1,),"")&lt;&gt;""</f>
        <v>1</v>
      </c>
      <c r="E38"/>
      <c r="F38" t="b">
        <v>0</v>
      </c>
      <c r="G38" t="b">
        <v>1</v>
      </c>
      <c r="H38" t="b">
        <v>0</v>
      </c>
      <c r="I38" t="b">
        <v>0</v>
      </c>
    </row>
    <row r="39" spans="1:9" x14ac:dyDescent="0.2">
      <c r="A39" t="s">
        <v>4058</v>
      </c>
      <c r="B39" t="s">
        <v>2281</v>
      </c>
      <c r="D39" t="b">
        <f>IFERROR(VLOOKUP(B39,PatData!$A$2:$A$2000,1,),"")&lt;&gt;""</f>
        <v>1</v>
      </c>
      <c r="E39"/>
      <c r="F39" t="b">
        <v>0</v>
      </c>
      <c r="G39" t="b">
        <v>1</v>
      </c>
      <c r="H39" t="b">
        <v>0</v>
      </c>
      <c r="I39" t="b">
        <v>0</v>
      </c>
    </row>
    <row r="40" spans="1:9" x14ac:dyDescent="0.2">
      <c r="A40" t="s">
        <v>3669</v>
      </c>
      <c r="B40" t="s">
        <v>2282</v>
      </c>
      <c r="D40" t="b">
        <f>IFERROR(VLOOKUP(B40,PatData!$A$2:$A$2000,1,),"")&lt;&gt;""</f>
        <v>1</v>
      </c>
      <c r="E40"/>
      <c r="F40" t="b">
        <v>0</v>
      </c>
      <c r="G40" t="b">
        <v>1</v>
      </c>
      <c r="H40" t="b">
        <v>0</v>
      </c>
      <c r="I40" t="b">
        <v>0</v>
      </c>
    </row>
    <row r="41" spans="1:9" x14ac:dyDescent="0.2">
      <c r="A41" t="s">
        <v>3670</v>
      </c>
      <c r="B41" t="s">
        <v>2283</v>
      </c>
      <c r="D41" t="b">
        <f>IFERROR(VLOOKUP(B41,PatData!$A$2:$A$2000,1,),"")&lt;&gt;""</f>
        <v>1</v>
      </c>
      <c r="E41"/>
      <c r="F41" t="b">
        <v>0</v>
      </c>
      <c r="G41" t="b">
        <v>1</v>
      </c>
      <c r="H41" t="b">
        <v>0</v>
      </c>
      <c r="I41" t="b">
        <v>0</v>
      </c>
    </row>
    <row r="42" spans="1:9" x14ac:dyDescent="0.2">
      <c r="A42" t="s">
        <v>3671</v>
      </c>
      <c r="B42" t="s">
        <v>2284</v>
      </c>
      <c r="D42" t="b">
        <f>IFERROR(VLOOKUP(B42,PatData!$A$2:$A$2000,1,),"")&lt;&gt;""</f>
        <v>1</v>
      </c>
      <c r="E42"/>
      <c r="F42" t="b">
        <v>0</v>
      </c>
      <c r="G42" t="b">
        <v>1</v>
      </c>
      <c r="H42" t="b">
        <v>0</v>
      </c>
      <c r="I42" t="b">
        <v>0</v>
      </c>
    </row>
    <row r="43" spans="1:9" x14ac:dyDescent="0.2">
      <c r="A43" t="s">
        <v>3672</v>
      </c>
      <c r="B43" t="s">
        <v>2285</v>
      </c>
      <c r="D43" t="b">
        <f>IFERROR(VLOOKUP(B43,PatData!$A$2:$A$2000,1,),"")&lt;&gt;""</f>
        <v>1</v>
      </c>
      <c r="E43"/>
      <c r="F43" t="b">
        <v>0</v>
      </c>
      <c r="G43" t="b">
        <v>1</v>
      </c>
      <c r="H43" t="b">
        <v>0</v>
      </c>
      <c r="I43" t="b">
        <v>0</v>
      </c>
    </row>
    <row r="44" spans="1:9" x14ac:dyDescent="0.2">
      <c r="A44" t="s">
        <v>3673</v>
      </c>
      <c r="B44" t="s">
        <v>2286</v>
      </c>
      <c r="D44" t="b">
        <f>IFERROR(VLOOKUP(B44,PatData!$A$2:$A$2000,1,),"")&lt;&gt;""</f>
        <v>1</v>
      </c>
      <c r="E44"/>
      <c r="F44" t="b">
        <v>0</v>
      </c>
      <c r="G44" t="b">
        <v>1</v>
      </c>
      <c r="H44" t="b">
        <v>0</v>
      </c>
      <c r="I44" t="b">
        <v>0</v>
      </c>
    </row>
    <row r="45" spans="1:9" x14ac:dyDescent="0.2">
      <c r="A45" t="s">
        <v>3674</v>
      </c>
      <c r="B45" t="s">
        <v>2287</v>
      </c>
      <c r="D45" t="b">
        <f>IFERROR(VLOOKUP(B45,PatData!$A$2:$A$2000,1,),"")&lt;&gt;""</f>
        <v>1</v>
      </c>
      <c r="E45"/>
      <c r="F45" t="b">
        <v>0</v>
      </c>
      <c r="G45" t="b">
        <v>1</v>
      </c>
      <c r="H45" t="b">
        <v>0</v>
      </c>
      <c r="I45" t="b">
        <v>0</v>
      </c>
    </row>
    <row r="46" spans="1:9" x14ac:dyDescent="0.2">
      <c r="A46" t="s">
        <v>3675</v>
      </c>
      <c r="B46" t="s">
        <v>2288</v>
      </c>
      <c r="D46" t="b">
        <f>IFERROR(VLOOKUP(B46,PatData!$A$2:$A$2000,1,),"")&lt;&gt;""</f>
        <v>1</v>
      </c>
      <c r="E46"/>
      <c r="F46" t="b">
        <v>0</v>
      </c>
      <c r="G46" t="b">
        <v>1</v>
      </c>
      <c r="H46" t="b">
        <v>0</v>
      </c>
      <c r="I46" t="b">
        <v>0</v>
      </c>
    </row>
    <row r="47" spans="1:9" x14ac:dyDescent="0.2">
      <c r="A47" t="s">
        <v>3676</v>
      </c>
      <c r="B47" t="s">
        <v>2289</v>
      </c>
      <c r="D47" t="b">
        <f>IFERROR(VLOOKUP(B47,PatData!$A$2:$A$2000,1,),"")&lt;&gt;""</f>
        <v>1</v>
      </c>
      <c r="E47"/>
      <c r="F47" t="b">
        <v>0</v>
      </c>
      <c r="G47" t="b">
        <v>1</v>
      </c>
      <c r="H47" t="b">
        <v>0</v>
      </c>
      <c r="I47" t="b">
        <v>0</v>
      </c>
    </row>
    <row r="48" spans="1:9" x14ac:dyDescent="0.2">
      <c r="A48" t="s">
        <v>3677</v>
      </c>
      <c r="B48" t="s">
        <v>2290</v>
      </c>
      <c r="D48" t="b">
        <f>IFERROR(VLOOKUP(B48,PatData!$A$2:$A$2000,1,),"")&lt;&gt;""</f>
        <v>1</v>
      </c>
      <c r="E48"/>
      <c r="F48" t="b">
        <v>0</v>
      </c>
      <c r="G48" t="b">
        <v>1</v>
      </c>
      <c r="H48" t="b">
        <v>0</v>
      </c>
      <c r="I48" t="b">
        <v>0</v>
      </c>
    </row>
    <row r="49" spans="1:9" x14ac:dyDescent="0.2">
      <c r="A49" t="s">
        <v>3678</v>
      </c>
      <c r="B49" t="s">
        <v>2291</v>
      </c>
      <c r="D49" t="b">
        <f>IFERROR(VLOOKUP(B49,PatData!$A$2:$A$2000,1,),"")&lt;&gt;""</f>
        <v>1</v>
      </c>
      <c r="E49"/>
      <c r="F49" t="b">
        <v>0</v>
      </c>
      <c r="G49" t="b">
        <v>1</v>
      </c>
      <c r="H49" t="b">
        <v>0</v>
      </c>
      <c r="I49" t="b">
        <v>0</v>
      </c>
    </row>
    <row r="50" spans="1:9" x14ac:dyDescent="0.2">
      <c r="A50" t="s">
        <v>3679</v>
      </c>
      <c r="B50" t="s">
        <v>2292</v>
      </c>
      <c r="D50" t="b">
        <f>IFERROR(VLOOKUP(B50,PatData!$A$2:$A$2000,1,),"")&lt;&gt;""</f>
        <v>1</v>
      </c>
      <c r="E50"/>
      <c r="F50" t="b">
        <v>0</v>
      </c>
      <c r="G50" t="b">
        <v>1</v>
      </c>
      <c r="H50" t="b">
        <v>0</v>
      </c>
      <c r="I50" t="b">
        <v>0</v>
      </c>
    </row>
    <row r="51" spans="1:9" x14ac:dyDescent="0.2">
      <c r="A51" t="s">
        <v>3680</v>
      </c>
      <c r="B51" t="s">
        <v>2293</v>
      </c>
      <c r="D51" t="b">
        <f>IFERROR(VLOOKUP(B51,PatData!$A$2:$A$2000,1,),"")&lt;&gt;""</f>
        <v>1</v>
      </c>
      <c r="E51"/>
      <c r="F51" t="b">
        <v>0</v>
      </c>
      <c r="G51" t="b">
        <v>1</v>
      </c>
      <c r="H51" t="b">
        <v>0</v>
      </c>
      <c r="I51" t="b">
        <v>0</v>
      </c>
    </row>
    <row r="52" spans="1:9" x14ac:dyDescent="0.2">
      <c r="A52" t="s">
        <v>3681</v>
      </c>
      <c r="B52" t="s">
        <v>2294</v>
      </c>
      <c r="D52" t="b">
        <f>IFERROR(VLOOKUP(B52,PatData!$A$2:$A$2000,1,),"")&lt;&gt;""</f>
        <v>1</v>
      </c>
      <c r="E52"/>
      <c r="F52" t="b">
        <v>0</v>
      </c>
      <c r="G52" t="b">
        <v>1</v>
      </c>
      <c r="H52" t="b">
        <v>0</v>
      </c>
      <c r="I52" t="b">
        <v>0</v>
      </c>
    </row>
    <row r="53" spans="1:9" x14ac:dyDescent="0.2">
      <c r="A53" t="s">
        <v>3682</v>
      </c>
      <c r="B53" t="s">
        <v>2295</v>
      </c>
      <c r="D53" t="b">
        <f>IFERROR(VLOOKUP(B53,PatData!$A$2:$A$2000,1,),"")&lt;&gt;""</f>
        <v>1</v>
      </c>
      <c r="E53"/>
      <c r="F53" t="b">
        <v>0</v>
      </c>
      <c r="G53" t="b">
        <v>1</v>
      </c>
      <c r="H53" t="b">
        <v>0</v>
      </c>
      <c r="I53" t="b">
        <v>0</v>
      </c>
    </row>
    <row r="54" spans="1:9" x14ac:dyDescent="0.2">
      <c r="A54" t="s">
        <v>3683</v>
      </c>
      <c r="B54" t="s">
        <v>2296</v>
      </c>
      <c r="D54" t="b">
        <f>IFERROR(VLOOKUP(B54,PatData!$A$2:$A$2000,1,),"")&lt;&gt;""</f>
        <v>1</v>
      </c>
      <c r="E54"/>
      <c r="F54" t="b">
        <v>0</v>
      </c>
      <c r="G54" t="b">
        <v>1</v>
      </c>
      <c r="H54" t="b">
        <v>0</v>
      </c>
      <c r="I54" t="b">
        <v>0</v>
      </c>
    </row>
    <row r="55" spans="1:9" x14ac:dyDescent="0.2">
      <c r="A55" t="s">
        <v>3684</v>
      </c>
      <c r="B55" t="s">
        <v>2297</v>
      </c>
      <c r="D55" t="b">
        <f>IFERROR(VLOOKUP(B55,PatData!$A$2:$A$2000,1,),"")&lt;&gt;""</f>
        <v>1</v>
      </c>
      <c r="E55"/>
      <c r="F55" t="b">
        <v>0</v>
      </c>
      <c r="G55" t="b">
        <v>1</v>
      </c>
      <c r="H55" t="b">
        <v>0</v>
      </c>
      <c r="I55" t="b">
        <v>0</v>
      </c>
    </row>
    <row r="56" spans="1:9" x14ac:dyDescent="0.2">
      <c r="A56" t="s">
        <v>3685</v>
      </c>
      <c r="B56" t="s">
        <v>2298</v>
      </c>
      <c r="D56" t="b">
        <f>IFERROR(VLOOKUP(B56,PatData!$A$2:$A$2000,1,),"")&lt;&gt;""</f>
        <v>1</v>
      </c>
      <c r="E56"/>
      <c r="F56" t="b">
        <v>0</v>
      </c>
      <c r="G56" t="b">
        <v>1</v>
      </c>
      <c r="H56" t="b">
        <v>0</v>
      </c>
      <c r="I56" t="b">
        <v>0</v>
      </c>
    </row>
    <row r="57" spans="1:9" x14ac:dyDescent="0.2">
      <c r="A57" t="s">
        <v>3686</v>
      </c>
      <c r="B57" t="s">
        <v>2299</v>
      </c>
      <c r="D57" t="b">
        <f>IFERROR(VLOOKUP(B57,PatData!$A$2:$A$2000,1,),"")&lt;&gt;""</f>
        <v>1</v>
      </c>
      <c r="E57"/>
      <c r="F57" t="b">
        <v>0</v>
      </c>
      <c r="G57" t="b">
        <v>1</v>
      </c>
      <c r="H57" t="b">
        <v>0</v>
      </c>
      <c r="I57" t="b">
        <v>0</v>
      </c>
    </row>
    <row r="58" spans="1:9" x14ac:dyDescent="0.2">
      <c r="A58" t="s">
        <v>3687</v>
      </c>
      <c r="B58" t="s">
        <v>2300</v>
      </c>
      <c r="D58" t="b">
        <f>IFERROR(VLOOKUP(B58,PatData!$A$2:$A$2000,1,),"")&lt;&gt;""</f>
        <v>1</v>
      </c>
      <c r="E58"/>
      <c r="F58" t="b">
        <v>0</v>
      </c>
      <c r="G58" t="b">
        <v>1</v>
      </c>
      <c r="H58" t="b">
        <v>0</v>
      </c>
      <c r="I58" t="b">
        <v>0</v>
      </c>
    </row>
    <row r="59" spans="1:9" x14ac:dyDescent="0.2">
      <c r="A59" t="s">
        <v>3688</v>
      </c>
      <c r="B59" t="s">
        <v>2301</v>
      </c>
      <c r="D59" t="b">
        <f>IFERROR(VLOOKUP(B59,PatData!$A$2:$A$2000,1,),"")&lt;&gt;""</f>
        <v>1</v>
      </c>
      <c r="E59"/>
      <c r="F59" t="b">
        <v>0</v>
      </c>
      <c r="G59" t="b">
        <v>1</v>
      </c>
      <c r="H59" t="b">
        <v>0</v>
      </c>
      <c r="I59" t="b">
        <v>0</v>
      </c>
    </row>
    <row r="60" spans="1:9" x14ac:dyDescent="0.2">
      <c r="A60" t="s">
        <v>3689</v>
      </c>
      <c r="B60" t="s">
        <v>2302</v>
      </c>
      <c r="D60" t="b">
        <f>IFERROR(VLOOKUP(B60,PatData!$A$2:$A$2000,1,),"")&lt;&gt;""</f>
        <v>1</v>
      </c>
      <c r="E60"/>
      <c r="F60" t="b">
        <v>0</v>
      </c>
      <c r="G60" t="b">
        <v>1</v>
      </c>
      <c r="H60" t="b">
        <v>0</v>
      </c>
      <c r="I60" t="b">
        <v>0</v>
      </c>
    </row>
    <row r="61" spans="1:9" x14ac:dyDescent="0.2">
      <c r="A61" t="s">
        <v>3690</v>
      </c>
      <c r="B61" t="s">
        <v>2303</v>
      </c>
      <c r="D61" t="b">
        <f>IFERROR(VLOOKUP(B61,PatData!$A$2:$A$2000,1,),"")&lt;&gt;""</f>
        <v>1</v>
      </c>
      <c r="E61"/>
      <c r="F61" t="b">
        <v>0</v>
      </c>
      <c r="G61" t="b">
        <v>1</v>
      </c>
      <c r="H61" t="b">
        <v>0</v>
      </c>
      <c r="I61" t="b">
        <v>0</v>
      </c>
    </row>
    <row r="62" spans="1:9" x14ac:dyDescent="0.2">
      <c r="A62" t="s">
        <v>3691</v>
      </c>
      <c r="B62" t="s">
        <v>2304</v>
      </c>
      <c r="D62" t="b">
        <f>IFERROR(VLOOKUP(B62,PatData!$A$2:$A$2000,1,),"")&lt;&gt;""</f>
        <v>1</v>
      </c>
      <c r="E62"/>
      <c r="F62" t="b">
        <v>0</v>
      </c>
      <c r="G62" t="b">
        <v>1</v>
      </c>
      <c r="H62" t="b">
        <v>0</v>
      </c>
      <c r="I62" t="b">
        <v>0</v>
      </c>
    </row>
    <row r="63" spans="1:9" x14ac:dyDescent="0.2">
      <c r="A63" t="s">
        <v>3692</v>
      </c>
      <c r="B63" t="s">
        <v>2305</v>
      </c>
      <c r="D63" t="b">
        <f>IFERROR(VLOOKUP(B63,PatData!$A$2:$A$2000,1,),"")&lt;&gt;""</f>
        <v>1</v>
      </c>
      <c r="E63"/>
      <c r="F63" t="b">
        <v>0</v>
      </c>
      <c r="G63" t="b">
        <v>1</v>
      </c>
      <c r="H63" t="b">
        <v>0</v>
      </c>
      <c r="I63" t="b">
        <v>0</v>
      </c>
    </row>
    <row r="64" spans="1:9" x14ac:dyDescent="0.2">
      <c r="A64" t="s">
        <v>3693</v>
      </c>
      <c r="B64" t="s">
        <v>2306</v>
      </c>
      <c r="D64" t="b">
        <f>IFERROR(VLOOKUP(B64,PatData!$A$2:$A$2000,1,),"")&lt;&gt;""</f>
        <v>1</v>
      </c>
      <c r="E64"/>
      <c r="F64" t="b">
        <v>0</v>
      </c>
      <c r="G64" t="b">
        <v>1</v>
      </c>
      <c r="H64" t="b">
        <v>0</v>
      </c>
      <c r="I64" t="b">
        <v>0</v>
      </c>
    </row>
    <row r="65" spans="1:9" x14ac:dyDescent="0.2">
      <c r="A65" t="s">
        <v>3694</v>
      </c>
      <c r="B65" t="s">
        <v>2307</v>
      </c>
      <c r="D65" t="b">
        <f>IFERROR(VLOOKUP(B65,PatData!$A$2:$A$2000,1,),"")&lt;&gt;""</f>
        <v>1</v>
      </c>
      <c r="E65"/>
      <c r="F65" t="b">
        <v>0</v>
      </c>
      <c r="G65" t="b">
        <v>1</v>
      </c>
      <c r="H65" t="b">
        <v>0</v>
      </c>
      <c r="I65" t="b">
        <v>0</v>
      </c>
    </row>
    <row r="66" spans="1:9" x14ac:dyDescent="0.2">
      <c r="A66" t="s">
        <v>3695</v>
      </c>
      <c r="B66" t="s">
        <v>2308</v>
      </c>
      <c r="D66" t="b">
        <f>IFERROR(VLOOKUP(B66,PatData!$A$2:$A$2000,1,),"")&lt;&gt;""</f>
        <v>1</v>
      </c>
      <c r="E66"/>
      <c r="F66" t="b">
        <v>0</v>
      </c>
      <c r="G66" t="b">
        <v>1</v>
      </c>
      <c r="H66" t="b">
        <v>0</v>
      </c>
      <c r="I66" t="b">
        <v>0</v>
      </c>
    </row>
    <row r="67" spans="1:9" x14ac:dyDescent="0.2">
      <c r="A67" t="s">
        <v>3696</v>
      </c>
      <c r="B67" t="s">
        <v>2309</v>
      </c>
      <c r="D67" t="b">
        <f>IFERROR(VLOOKUP(B67,PatData!$A$2:$A$2000,1,),"")&lt;&gt;""</f>
        <v>1</v>
      </c>
      <c r="E67"/>
      <c r="F67" t="b">
        <v>0</v>
      </c>
      <c r="G67" t="b">
        <v>1</v>
      </c>
      <c r="H67" t="b">
        <v>0</v>
      </c>
      <c r="I67" t="b">
        <v>0</v>
      </c>
    </row>
    <row r="68" spans="1:9" x14ac:dyDescent="0.2">
      <c r="A68" t="s">
        <v>3697</v>
      </c>
      <c r="B68" t="s">
        <v>2310</v>
      </c>
      <c r="D68" t="b">
        <f>IFERROR(VLOOKUP(B68,PatData!$A$2:$A$2000,1,),"")&lt;&gt;""</f>
        <v>1</v>
      </c>
      <c r="E68"/>
      <c r="F68" t="b">
        <v>0</v>
      </c>
      <c r="G68" t="b">
        <v>1</v>
      </c>
      <c r="H68" t="b">
        <v>0</v>
      </c>
      <c r="I68" t="b">
        <v>0</v>
      </c>
    </row>
    <row r="69" spans="1:9" x14ac:dyDescent="0.2">
      <c r="A69" t="s">
        <v>3698</v>
      </c>
      <c r="B69" t="s">
        <v>2311</v>
      </c>
      <c r="D69" t="b">
        <f>IFERROR(VLOOKUP(B69,PatData!$A$2:$A$2000,1,),"")&lt;&gt;""</f>
        <v>1</v>
      </c>
      <c r="E69"/>
      <c r="F69" t="b">
        <v>0</v>
      </c>
      <c r="G69" t="b">
        <v>1</v>
      </c>
      <c r="H69" t="b">
        <v>0</v>
      </c>
      <c r="I69" t="b">
        <v>0</v>
      </c>
    </row>
    <row r="70" spans="1:9" x14ac:dyDescent="0.2">
      <c r="A70" t="s">
        <v>3699</v>
      </c>
      <c r="B70" t="s">
        <v>2312</v>
      </c>
      <c r="D70" t="b">
        <f>IFERROR(VLOOKUP(B70,PatData!$A$2:$A$2000,1,),"")&lt;&gt;""</f>
        <v>1</v>
      </c>
      <c r="E70">
        <v>0</v>
      </c>
      <c r="F70" t="b">
        <v>0</v>
      </c>
      <c r="G70" t="b">
        <v>1</v>
      </c>
      <c r="H70" t="b">
        <v>0</v>
      </c>
      <c r="I70" t="b">
        <v>0</v>
      </c>
    </row>
    <row r="71" spans="1:9" x14ac:dyDescent="0.2">
      <c r="A71" t="s">
        <v>3700</v>
      </c>
      <c r="B71" t="s">
        <v>2313</v>
      </c>
      <c r="D71" t="b">
        <f>IFERROR(VLOOKUP(B71,PatData!$A$2:$A$2000,1,),"")&lt;&gt;""</f>
        <v>1</v>
      </c>
      <c r="E71">
        <v>0</v>
      </c>
      <c r="F71" t="b">
        <v>0</v>
      </c>
      <c r="G71" t="b">
        <v>1</v>
      </c>
      <c r="H71" t="b">
        <v>0</v>
      </c>
      <c r="I71" t="b">
        <v>0</v>
      </c>
    </row>
    <row r="72" spans="1:9" x14ac:dyDescent="0.2">
      <c r="A72" t="s">
        <v>3701</v>
      </c>
      <c r="B72" t="s">
        <v>2314</v>
      </c>
      <c r="D72" t="b">
        <f>IFERROR(VLOOKUP(B72,PatData!$A$2:$A$2000,1,),"")&lt;&gt;""</f>
        <v>1</v>
      </c>
      <c r="E72">
        <v>0</v>
      </c>
      <c r="F72" t="b">
        <v>0</v>
      </c>
      <c r="G72" t="b">
        <v>1</v>
      </c>
      <c r="H72" t="b">
        <v>0</v>
      </c>
      <c r="I72" t="b">
        <v>0</v>
      </c>
    </row>
    <row r="73" spans="1:9" x14ac:dyDescent="0.2">
      <c r="A73" t="s">
        <v>3702</v>
      </c>
      <c r="B73" t="s">
        <v>2315</v>
      </c>
      <c r="D73" t="b">
        <f>IFERROR(VLOOKUP(B73,PatData!$A$2:$A$2000,1,),"")&lt;&gt;""</f>
        <v>1</v>
      </c>
      <c r="E73">
        <v>0</v>
      </c>
      <c r="F73" t="b">
        <v>0</v>
      </c>
      <c r="G73" t="b">
        <v>1</v>
      </c>
      <c r="H73" t="b">
        <v>0</v>
      </c>
      <c r="I73" t="b">
        <v>0</v>
      </c>
    </row>
    <row r="74" spans="1:9" x14ac:dyDescent="0.2">
      <c r="A74" t="s">
        <v>3703</v>
      </c>
      <c r="B74" t="s">
        <v>2316</v>
      </c>
      <c r="D74" t="b">
        <f>IFERROR(VLOOKUP(B74,PatData!$A$2:$A$2000,1,),"")&lt;&gt;""</f>
        <v>1</v>
      </c>
      <c r="E74">
        <v>0</v>
      </c>
      <c r="F74" t="b">
        <v>0</v>
      </c>
      <c r="G74" t="b">
        <v>1</v>
      </c>
      <c r="H74" t="b">
        <v>0</v>
      </c>
      <c r="I74" t="b">
        <v>0</v>
      </c>
    </row>
    <row r="75" spans="1:9" x14ac:dyDescent="0.2">
      <c r="A75" t="s">
        <v>3704</v>
      </c>
      <c r="B75" t="s">
        <v>2317</v>
      </c>
      <c r="D75" t="b">
        <f>IFERROR(VLOOKUP(B75,PatData!$A$2:$A$2000,1,),"")&lt;&gt;""</f>
        <v>1</v>
      </c>
      <c r="E75">
        <v>0</v>
      </c>
      <c r="F75" t="b">
        <v>0</v>
      </c>
      <c r="G75" t="b">
        <v>1</v>
      </c>
      <c r="H75" t="b">
        <v>0</v>
      </c>
      <c r="I75" t="b">
        <v>0</v>
      </c>
    </row>
    <row r="76" spans="1:9" x14ac:dyDescent="0.2">
      <c r="A76" t="s">
        <v>3705</v>
      </c>
      <c r="B76" t="s">
        <v>2318</v>
      </c>
      <c r="D76" t="b">
        <f>IFERROR(VLOOKUP(B76,PatData!$A$2:$A$2000,1,),"")&lt;&gt;""</f>
        <v>1</v>
      </c>
      <c r="E76">
        <v>0</v>
      </c>
      <c r="F76" t="b">
        <v>0</v>
      </c>
      <c r="G76" t="b">
        <v>1</v>
      </c>
      <c r="H76" t="b">
        <v>0</v>
      </c>
      <c r="I76" t="b">
        <v>0</v>
      </c>
    </row>
    <row r="77" spans="1:9" x14ac:dyDescent="0.2">
      <c r="A77" t="s">
        <v>3706</v>
      </c>
      <c r="B77" t="s">
        <v>2319</v>
      </c>
      <c r="D77" t="b">
        <f>IFERROR(VLOOKUP(B77,PatData!$A$2:$A$2000,1,),"")&lt;&gt;""</f>
        <v>1</v>
      </c>
      <c r="E77">
        <v>0</v>
      </c>
      <c r="F77" t="b">
        <v>0</v>
      </c>
      <c r="G77" t="b">
        <v>1</v>
      </c>
      <c r="H77" t="b">
        <v>0</v>
      </c>
      <c r="I77" t="b">
        <v>0</v>
      </c>
    </row>
    <row r="78" spans="1:9" x14ac:dyDescent="0.2">
      <c r="A78" t="s">
        <v>3707</v>
      </c>
      <c r="B78" t="s">
        <v>2320</v>
      </c>
      <c r="D78" t="b">
        <f>IFERROR(VLOOKUP(B78,PatData!$A$2:$A$2000,1,),"")&lt;&gt;""</f>
        <v>1</v>
      </c>
      <c r="E78">
        <v>0</v>
      </c>
      <c r="F78" t="b">
        <v>0</v>
      </c>
      <c r="G78" t="b">
        <v>1</v>
      </c>
      <c r="H78" t="b">
        <v>0</v>
      </c>
      <c r="I78" t="b">
        <v>0</v>
      </c>
    </row>
    <row r="79" spans="1:9" x14ac:dyDescent="0.2">
      <c r="A79" t="s">
        <v>3708</v>
      </c>
      <c r="B79" t="s">
        <v>2321</v>
      </c>
      <c r="D79" t="b">
        <f>IFERROR(VLOOKUP(B79,PatData!$A$2:$A$2000,1,),"")&lt;&gt;""</f>
        <v>1</v>
      </c>
      <c r="E79">
        <v>0</v>
      </c>
      <c r="F79" t="b">
        <v>0</v>
      </c>
      <c r="G79" t="b">
        <v>1</v>
      </c>
      <c r="H79" t="b">
        <v>0</v>
      </c>
      <c r="I79" t="b">
        <v>0</v>
      </c>
    </row>
    <row r="80" spans="1:9" x14ac:dyDescent="0.2">
      <c r="A80" t="s">
        <v>3709</v>
      </c>
      <c r="B80" t="s">
        <v>2322</v>
      </c>
      <c r="D80" t="b">
        <f>IFERROR(VLOOKUP(B80,PatData!$A$2:$A$2000,1,),"")&lt;&gt;""</f>
        <v>1</v>
      </c>
      <c r="E80">
        <v>0</v>
      </c>
      <c r="F80" t="b">
        <v>0</v>
      </c>
      <c r="G80" t="b">
        <v>1</v>
      </c>
      <c r="H80" t="b">
        <v>0</v>
      </c>
      <c r="I80" t="b">
        <v>0</v>
      </c>
    </row>
    <row r="81" spans="1:9" x14ac:dyDescent="0.2">
      <c r="A81" t="s">
        <v>3710</v>
      </c>
      <c r="B81" t="s">
        <v>2323</v>
      </c>
      <c r="D81" t="b">
        <f>IFERROR(VLOOKUP(B81,PatData!$A$2:$A$2000,1,),"")&lt;&gt;""</f>
        <v>1</v>
      </c>
      <c r="E81">
        <v>0</v>
      </c>
      <c r="F81" t="b">
        <v>0</v>
      </c>
      <c r="G81" t="b">
        <v>1</v>
      </c>
      <c r="H81" t="b">
        <v>0</v>
      </c>
      <c r="I81" t="b">
        <v>0</v>
      </c>
    </row>
    <row r="82" spans="1:9" x14ac:dyDescent="0.2">
      <c r="A82" t="s">
        <v>3711</v>
      </c>
      <c r="B82" t="s">
        <v>2324</v>
      </c>
      <c r="D82" t="b">
        <f>IFERROR(VLOOKUP(B82,PatData!$A$2:$A$2000,1,),"")&lt;&gt;""</f>
        <v>1</v>
      </c>
      <c r="E82">
        <v>0</v>
      </c>
      <c r="F82" t="b">
        <v>0</v>
      </c>
      <c r="G82" t="b">
        <v>1</v>
      </c>
      <c r="H82" t="b">
        <v>0</v>
      </c>
      <c r="I82" t="b">
        <v>0</v>
      </c>
    </row>
    <row r="83" spans="1:9" x14ac:dyDescent="0.2">
      <c r="A83" t="s">
        <v>3712</v>
      </c>
      <c r="B83" t="s">
        <v>2325</v>
      </c>
      <c r="D83" t="b">
        <f>IFERROR(VLOOKUP(B83,PatData!$A$2:$A$2000,1,),"")&lt;&gt;""</f>
        <v>1</v>
      </c>
      <c r="E83">
        <v>0</v>
      </c>
      <c r="F83" t="b">
        <v>0</v>
      </c>
      <c r="G83" t="b">
        <v>1</v>
      </c>
      <c r="H83" t="b">
        <v>0</v>
      </c>
      <c r="I83" t="b">
        <v>0</v>
      </c>
    </row>
    <row r="84" spans="1:9" x14ac:dyDescent="0.2">
      <c r="A84" t="s">
        <v>3713</v>
      </c>
      <c r="B84" t="s">
        <v>2326</v>
      </c>
      <c r="D84" t="b">
        <f>IFERROR(VLOOKUP(B84,PatData!$A$2:$A$2000,1,),"")&lt;&gt;""</f>
        <v>1</v>
      </c>
      <c r="E84">
        <v>0</v>
      </c>
      <c r="F84" t="b">
        <v>0</v>
      </c>
      <c r="G84" t="b">
        <v>1</v>
      </c>
      <c r="H84" t="b">
        <v>0</v>
      </c>
      <c r="I84" t="b">
        <v>0</v>
      </c>
    </row>
    <row r="85" spans="1:9" x14ac:dyDescent="0.2">
      <c r="A85" t="s">
        <v>3714</v>
      </c>
      <c r="B85" t="s">
        <v>2327</v>
      </c>
      <c r="D85" t="b">
        <f>IFERROR(VLOOKUP(B85,PatData!$A$2:$A$2000,1,),"")&lt;&gt;""</f>
        <v>1</v>
      </c>
      <c r="E85">
        <v>0</v>
      </c>
      <c r="F85" t="b">
        <v>0</v>
      </c>
      <c r="G85" t="b">
        <v>1</v>
      </c>
      <c r="H85" t="b">
        <v>0</v>
      </c>
      <c r="I85" t="b">
        <v>0</v>
      </c>
    </row>
    <row r="86" spans="1:9" x14ac:dyDescent="0.2">
      <c r="A86" t="s">
        <v>3715</v>
      </c>
      <c r="B86" t="s">
        <v>2328</v>
      </c>
      <c r="D86" t="b">
        <f>IFERROR(VLOOKUP(B86,PatData!$A$2:$A$2000,1,),"")&lt;&gt;""</f>
        <v>1</v>
      </c>
      <c r="E86">
        <v>0</v>
      </c>
      <c r="F86" t="b">
        <v>0</v>
      </c>
      <c r="G86" t="b">
        <v>1</v>
      </c>
      <c r="H86" t="b">
        <v>0</v>
      </c>
      <c r="I86" t="b">
        <v>0</v>
      </c>
    </row>
    <row r="87" spans="1:9" x14ac:dyDescent="0.2">
      <c r="A87" t="s">
        <v>3716</v>
      </c>
      <c r="B87" t="s">
        <v>2329</v>
      </c>
      <c r="D87" t="b">
        <f>IFERROR(VLOOKUP(B87,PatData!$A$2:$A$2000,1,),"")&lt;&gt;""</f>
        <v>1</v>
      </c>
      <c r="E87">
        <v>0</v>
      </c>
      <c r="F87" t="b">
        <v>0</v>
      </c>
      <c r="G87" t="b">
        <v>1</v>
      </c>
      <c r="H87" t="b">
        <v>0</v>
      </c>
      <c r="I87" t="b">
        <v>0</v>
      </c>
    </row>
    <row r="88" spans="1:9" x14ac:dyDescent="0.2">
      <c r="A88" t="s">
        <v>3717</v>
      </c>
      <c r="B88" t="s">
        <v>2330</v>
      </c>
      <c r="D88" t="b">
        <f>IFERROR(VLOOKUP(B88,PatData!$A$2:$A$2000,1,),"")&lt;&gt;""</f>
        <v>1</v>
      </c>
      <c r="E88">
        <v>0</v>
      </c>
      <c r="F88" t="b">
        <v>0</v>
      </c>
      <c r="G88" t="b">
        <v>1</v>
      </c>
      <c r="H88" t="b">
        <v>0</v>
      </c>
      <c r="I88" t="b">
        <v>0</v>
      </c>
    </row>
    <row r="89" spans="1:9" x14ac:dyDescent="0.2">
      <c r="A89" t="s">
        <v>3718</v>
      </c>
      <c r="B89" t="s">
        <v>2331</v>
      </c>
      <c r="D89" t="b">
        <f>IFERROR(VLOOKUP(B89,PatData!$A$2:$A$2000,1,),"")&lt;&gt;""</f>
        <v>1</v>
      </c>
      <c r="E89">
        <v>0</v>
      </c>
      <c r="F89" t="b">
        <v>0</v>
      </c>
      <c r="G89" t="b">
        <v>1</v>
      </c>
      <c r="H89" t="b">
        <v>0</v>
      </c>
      <c r="I89" t="b">
        <v>0</v>
      </c>
    </row>
    <row r="90" spans="1:9" x14ac:dyDescent="0.2">
      <c r="A90" t="s">
        <v>3719</v>
      </c>
      <c r="B90" t="s">
        <v>2332</v>
      </c>
      <c r="D90" t="b">
        <f>IFERROR(VLOOKUP(B90,PatData!$A$2:$A$2000,1,),"")&lt;&gt;""</f>
        <v>1</v>
      </c>
      <c r="E90">
        <v>0</v>
      </c>
      <c r="F90" t="b">
        <v>0</v>
      </c>
      <c r="G90" t="b">
        <v>1</v>
      </c>
      <c r="H90" t="b">
        <v>0</v>
      </c>
      <c r="I90" t="b">
        <v>0</v>
      </c>
    </row>
    <row r="91" spans="1:9" x14ac:dyDescent="0.2">
      <c r="A91" t="s">
        <v>3720</v>
      </c>
      <c r="B91" t="s">
        <v>2333</v>
      </c>
      <c r="D91" t="b">
        <f>IFERROR(VLOOKUP(B91,PatData!$A$2:$A$2000,1,),"")&lt;&gt;""</f>
        <v>1</v>
      </c>
      <c r="E91">
        <v>0</v>
      </c>
      <c r="F91" t="b">
        <v>0</v>
      </c>
      <c r="G91" t="b">
        <v>1</v>
      </c>
      <c r="H91" t="b">
        <v>0</v>
      </c>
      <c r="I91" t="b">
        <v>0</v>
      </c>
    </row>
    <row r="92" spans="1:9" x14ac:dyDescent="0.2">
      <c r="A92" t="s">
        <v>3721</v>
      </c>
      <c r="B92" t="s">
        <v>2334</v>
      </c>
      <c r="D92" t="b">
        <f>IFERROR(VLOOKUP(B92,PatData!$A$2:$A$2000,1,),"")&lt;&gt;""</f>
        <v>1</v>
      </c>
      <c r="E92">
        <v>0</v>
      </c>
      <c r="F92" t="b">
        <v>0</v>
      </c>
      <c r="G92" t="b">
        <v>1</v>
      </c>
      <c r="H92" t="b">
        <v>0</v>
      </c>
      <c r="I92" t="b">
        <v>0</v>
      </c>
    </row>
    <row r="93" spans="1:9" x14ac:dyDescent="0.2">
      <c r="A93" t="s">
        <v>3722</v>
      </c>
      <c r="B93" t="s">
        <v>2335</v>
      </c>
      <c r="D93" t="b">
        <f>IFERROR(VLOOKUP(B93,PatData!$A$2:$A$2000,1,),"")&lt;&gt;""</f>
        <v>1</v>
      </c>
      <c r="E93">
        <v>0</v>
      </c>
      <c r="F93" t="b">
        <v>0</v>
      </c>
      <c r="G93" t="b">
        <v>1</v>
      </c>
      <c r="H93" t="b">
        <v>0</v>
      </c>
      <c r="I93" t="b">
        <v>0</v>
      </c>
    </row>
    <row r="94" spans="1:9" x14ac:dyDescent="0.2">
      <c r="A94" t="s">
        <v>3723</v>
      </c>
      <c r="B94" t="s">
        <v>2336</v>
      </c>
      <c r="D94" t="b">
        <f>IFERROR(VLOOKUP(B94,PatData!$A$2:$A$2000,1,),"")&lt;&gt;""</f>
        <v>1</v>
      </c>
      <c r="E94">
        <v>0</v>
      </c>
      <c r="F94" t="b">
        <v>0</v>
      </c>
      <c r="G94" t="b">
        <v>1</v>
      </c>
      <c r="H94" t="b">
        <v>0</v>
      </c>
      <c r="I94" t="b">
        <v>0</v>
      </c>
    </row>
    <row r="95" spans="1:9" x14ac:dyDescent="0.2">
      <c r="A95" t="s">
        <v>3724</v>
      </c>
      <c r="B95" t="s">
        <v>2337</v>
      </c>
      <c r="D95" t="b">
        <f>IFERROR(VLOOKUP(B95,PatData!$A$2:$A$2000,1,),"")&lt;&gt;""</f>
        <v>1</v>
      </c>
      <c r="E95">
        <v>0</v>
      </c>
      <c r="F95" t="b">
        <v>0</v>
      </c>
      <c r="G95" t="b">
        <v>1</v>
      </c>
      <c r="H95" t="b">
        <v>0</v>
      </c>
      <c r="I95" t="b">
        <v>0</v>
      </c>
    </row>
    <row r="96" spans="1:9" x14ac:dyDescent="0.2">
      <c r="A96" t="s">
        <v>3725</v>
      </c>
      <c r="B96" t="s">
        <v>2338</v>
      </c>
      <c r="D96" t="b">
        <f>IFERROR(VLOOKUP(B96,PatData!$A$2:$A$2000,1,),"")&lt;&gt;""</f>
        <v>1</v>
      </c>
      <c r="E96">
        <v>0</v>
      </c>
      <c r="F96" t="b">
        <v>0</v>
      </c>
      <c r="G96" t="b">
        <v>1</v>
      </c>
      <c r="H96" t="b">
        <v>0</v>
      </c>
      <c r="I96" t="b">
        <v>0</v>
      </c>
    </row>
    <row r="97" spans="1:9" x14ac:dyDescent="0.2">
      <c r="A97" t="s">
        <v>3726</v>
      </c>
      <c r="B97" t="s">
        <v>2339</v>
      </c>
      <c r="D97" t="b">
        <f>IFERROR(VLOOKUP(B97,PatData!$A$2:$A$2000,1,),"")&lt;&gt;""</f>
        <v>1</v>
      </c>
      <c r="E97">
        <v>0</v>
      </c>
      <c r="F97" t="b">
        <v>0</v>
      </c>
      <c r="G97" t="b">
        <v>1</v>
      </c>
      <c r="H97" t="b">
        <v>0</v>
      </c>
      <c r="I97" t="b">
        <v>0</v>
      </c>
    </row>
    <row r="98" spans="1:9" x14ac:dyDescent="0.2">
      <c r="A98" t="s">
        <v>3727</v>
      </c>
      <c r="B98" t="s">
        <v>2340</v>
      </c>
      <c r="D98" t="b">
        <f>IFERROR(VLOOKUP(B98,PatData!$A$2:$A$2000,1,),"")&lt;&gt;""</f>
        <v>1</v>
      </c>
      <c r="E98">
        <v>0</v>
      </c>
      <c r="F98" t="b">
        <v>0</v>
      </c>
      <c r="G98" t="b">
        <v>1</v>
      </c>
      <c r="H98" t="b">
        <v>0</v>
      </c>
      <c r="I98" t="b">
        <v>0</v>
      </c>
    </row>
    <row r="99" spans="1:9" x14ac:dyDescent="0.2">
      <c r="A99" t="s">
        <v>3728</v>
      </c>
      <c r="B99" t="s">
        <v>2341</v>
      </c>
      <c r="D99" t="b">
        <f>IFERROR(VLOOKUP(B99,PatData!$A$2:$A$2000,1,),"")&lt;&gt;""</f>
        <v>1</v>
      </c>
      <c r="E99">
        <v>0</v>
      </c>
      <c r="F99" t="b">
        <v>0</v>
      </c>
      <c r="G99" t="b">
        <v>1</v>
      </c>
      <c r="H99" t="b">
        <v>0</v>
      </c>
      <c r="I99" t="b">
        <v>0</v>
      </c>
    </row>
    <row r="100" spans="1:9" x14ac:dyDescent="0.2">
      <c r="A100" t="s">
        <v>4481</v>
      </c>
      <c r="B100" t="s">
        <v>2342</v>
      </c>
      <c r="D100" t="b">
        <f>IFERROR(VLOOKUP(B100,PatData!$A$2:$A$2000,1,),"")&lt;&gt;""</f>
        <v>1</v>
      </c>
      <c r="E100"/>
      <c r="F100" t="b">
        <v>0</v>
      </c>
      <c r="G100" t="b">
        <v>1</v>
      </c>
      <c r="H100" t="b">
        <v>0</v>
      </c>
      <c r="I100" t="b">
        <v>0</v>
      </c>
    </row>
    <row r="101" spans="1:9" x14ac:dyDescent="0.2">
      <c r="A101" t="s">
        <v>4482</v>
      </c>
      <c r="B101" t="s">
        <v>2343</v>
      </c>
      <c r="D101" t="b">
        <f>IFERROR(VLOOKUP(B101,PatData!$A$2:$A$2000,1,),"")&lt;&gt;""</f>
        <v>1</v>
      </c>
      <c r="E101"/>
      <c r="F101" t="b">
        <v>0</v>
      </c>
      <c r="G101" t="b">
        <v>1</v>
      </c>
      <c r="H101" t="b">
        <v>0</v>
      </c>
      <c r="I101" t="b">
        <v>0</v>
      </c>
    </row>
    <row r="102" spans="1:9" x14ac:dyDescent="0.2">
      <c r="A102" t="s">
        <v>4483</v>
      </c>
      <c r="B102" t="s">
        <v>2344</v>
      </c>
      <c r="D102" t="b">
        <f>IFERROR(VLOOKUP(B102,PatData!$A$2:$A$2000,1,),"")&lt;&gt;""</f>
        <v>1</v>
      </c>
      <c r="E102"/>
      <c r="F102" t="b">
        <v>0</v>
      </c>
      <c r="G102" t="b">
        <v>1</v>
      </c>
      <c r="H102" t="b">
        <v>0</v>
      </c>
      <c r="I102" t="b">
        <v>0</v>
      </c>
    </row>
    <row r="103" spans="1:9" x14ac:dyDescent="0.2">
      <c r="A103" t="s">
        <v>4484</v>
      </c>
      <c r="B103" t="s">
        <v>2345</v>
      </c>
      <c r="D103" t="b">
        <f>IFERROR(VLOOKUP(B103,PatData!$A$2:$A$2000,1,),"")&lt;&gt;""</f>
        <v>1</v>
      </c>
      <c r="E103"/>
      <c r="F103" t="b">
        <v>0</v>
      </c>
      <c r="G103" t="b">
        <v>1</v>
      </c>
      <c r="H103" t="b">
        <v>0</v>
      </c>
      <c r="I103" t="b">
        <v>0</v>
      </c>
    </row>
    <row r="104" spans="1:9" x14ac:dyDescent="0.2">
      <c r="A104" t="s">
        <v>4485</v>
      </c>
      <c r="B104" t="s">
        <v>2346</v>
      </c>
      <c r="D104" t="b">
        <f>IFERROR(VLOOKUP(B104,PatData!$A$2:$A$2000,1,),"")&lt;&gt;""</f>
        <v>1</v>
      </c>
      <c r="E104"/>
      <c r="F104" t="b">
        <v>0</v>
      </c>
      <c r="G104" t="b">
        <v>1</v>
      </c>
      <c r="H104" t="b">
        <v>0</v>
      </c>
      <c r="I104" t="b">
        <v>0</v>
      </c>
    </row>
    <row r="105" spans="1:9" x14ac:dyDescent="0.2">
      <c r="A105" t="s">
        <v>4486</v>
      </c>
      <c r="B105" t="s">
        <v>2347</v>
      </c>
      <c r="D105" t="b">
        <f>IFERROR(VLOOKUP(B105,PatData!$A$2:$A$2000,1,),"")&lt;&gt;""</f>
        <v>1</v>
      </c>
      <c r="E105"/>
      <c r="F105" t="b">
        <v>0</v>
      </c>
      <c r="G105" t="b">
        <v>1</v>
      </c>
      <c r="H105" t="b">
        <v>0</v>
      </c>
      <c r="I105" t="b">
        <v>0</v>
      </c>
    </row>
    <row r="106" spans="1:9" x14ac:dyDescent="0.2">
      <c r="A106" t="s">
        <v>4487</v>
      </c>
      <c r="B106" t="s">
        <v>2348</v>
      </c>
      <c r="D106" t="b">
        <f>IFERROR(VLOOKUP(B106,PatData!$A$2:$A$2000,1,),"")&lt;&gt;""</f>
        <v>1</v>
      </c>
      <c r="E106"/>
      <c r="F106" t="b">
        <v>0</v>
      </c>
      <c r="G106" t="b">
        <v>1</v>
      </c>
      <c r="H106" t="b">
        <v>0</v>
      </c>
      <c r="I106" t="b">
        <v>0</v>
      </c>
    </row>
    <row r="107" spans="1:9" x14ac:dyDescent="0.2">
      <c r="A107" t="s">
        <v>4488</v>
      </c>
      <c r="B107" t="s">
        <v>2349</v>
      </c>
      <c r="D107" t="b">
        <f>IFERROR(VLOOKUP(B107,PatData!$A$2:$A$2000,1,),"")&lt;&gt;""</f>
        <v>1</v>
      </c>
      <c r="E107"/>
      <c r="F107" t="b">
        <v>0</v>
      </c>
      <c r="G107" t="b">
        <v>1</v>
      </c>
      <c r="H107" t="b">
        <v>0</v>
      </c>
      <c r="I107" t="b">
        <v>0</v>
      </c>
    </row>
    <row r="108" spans="1:9" x14ac:dyDescent="0.2">
      <c r="A108" t="s">
        <v>4489</v>
      </c>
      <c r="B108" t="s">
        <v>2350</v>
      </c>
      <c r="D108" t="b">
        <f>IFERROR(VLOOKUP(B108,PatData!$A$2:$A$2000,1,),"")&lt;&gt;""</f>
        <v>1</v>
      </c>
      <c r="E108"/>
      <c r="F108" t="b">
        <v>0</v>
      </c>
      <c r="G108" t="b">
        <v>1</v>
      </c>
      <c r="H108" t="b">
        <v>0</v>
      </c>
      <c r="I108" t="b">
        <v>0</v>
      </c>
    </row>
    <row r="109" spans="1:9" x14ac:dyDescent="0.2">
      <c r="A109" t="s">
        <v>4490</v>
      </c>
      <c r="B109" t="s">
        <v>2351</v>
      </c>
      <c r="D109" t="b">
        <f>IFERROR(VLOOKUP(B109,PatData!$A$2:$A$2000,1,),"")&lt;&gt;""</f>
        <v>1</v>
      </c>
      <c r="E109"/>
      <c r="F109" t="b">
        <v>0</v>
      </c>
      <c r="G109" t="b">
        <v>1</v>
      </c>
      <c r="H109" t="b">
        <v>0</v>
      </c>
      <c r="I109" t="b">
        <v>0</v>
      </c>
    </row>
    <row r="110" spans="1:9" x14ac:dyDescent="0.2">
      <c r="A110" t="s">
        <v>4491</v>
      </c>
      <c r="B110" t="s">
        <v>2352</v>
      </c>
      <c r="D110" t="b">
        <f>IFERROR(VLOOKUP(B110,PatData!$A$2:$A$2000,1,),"")&lt;&gt;""</f>
        <v>1</v>
      </c>
      <c r="E110"/>
      <c r="F110" t="b">
        <v>0</v>
      </c>
      <c r="G110" t="b">
        <v>1</v>
      </c>
      <c r="H110" t="b">
        <v>0</v>
      </c>
      <c r="I110" t="b">
        <v>0</v>
      </c>
    </row>
    <row r="111" spans="1:9" x14ac:dyDescent="0.2">
      <c r="A111" t="s">
        <v>4492</v>
      </c>
      <c r="B111" t="s">
        <v>2353</v>
      </c>
      <c r="D111" t="b">
        <f>IFERROR(VLOOKUP(B111,PatData!$A$2:$A$2000,1,),"")&lt;&gt;""</f>
        <v>1</v>
      </c>
      <c r="E111"/>
      <c r="F111" t="b">
        <v>0</v>
      </c>
      <c r="G111" t="b">
        <v>1</v>
      </c>
      <c r="H111" t="b">
        <v>0</v>
      </c>
      <c r="I111" t="b">
        <v>0</v>
      </c>
    </row>
    <row r="112" spans="1:9" x14ac:dyDescent="0.2">
      <c r="A112" t="s">
        <v>4493</v>
      </c>
      <c r="B112" t="s">
        <v>2354</v>
      </c>
      <c r="D112" t="b">
        <f>IFERROR(VLOOKUP(B112,PatData!$A$2:$A$2000,1,),"")&lt;&gt;""</f>
        <v>1</v>
      </c>
      <c r="E112"/>
      <c r="F112" t="b">
        <v>0</v>
      </c>
      <c r="G112" t="b">
        <v>1</v>
      </c>
      <c r="H112" t="b">
        <v>0</v>
      </c>
      <c r="I112" t="b">
        <v>0</v>
      </c>
    </row>
    <row r="113" spans="1:9" x14ac:dyDescent="0.2">
      <c r="A113" t="s">
        <v>4494</v>
      </c>
      <c r="B113" t="s">
        <v>2355</v>
      </c>
      <c r="D113" t="b">
        <f>IFERROR(VLOOKUP(B113,PatData!$A$2:$A$2000,1,),"")&lt;&gt;""</f>
        <v>1</v>
      </c>
      <c r="E113"/>
      <c r="F113" t="b">
        <v>0</v>
      </c>
      <c r="G113" t="b">
        <v>1</v>
      </c>
      <c r="H113" t="b">
        <v>0</v>
      </c>
      <c r="I113" t="b">
        <v>0</v>
      </c>
    </row>
    <row r="114" spans="1:9" x14ac:dyDescent="0.2">
      <c r="A114" t="s">
        <v>4495</v>
      </c>
      <c r="B114" t="s">
        <v>2356</v>
      </c>
      <c r="D114" t="b">
        <f>IFERROR(VLOOKUP(B114,PatData!$A$2:$A$2000,1,),"")&lt;&gt;""</f>
        <v>1</v>
      </c>
      <c r="E114"/>
      <c r="F114" t="b">
        <v>0</v>
      </c>
      <c r="G114" t="b">
        <v>1</v>
      </c>
      <c r="H114" t="b">
        <v>0</v>
      </c>
      <c r="I114" t="b">
        <v>0</v>
      </c>
    </row>
    <row r="115" spans="1:9" x14ac:dyDescent="0.2">
      <c r="A115" t="s">
        <v>4496</v>
      </c>
      <c r="B115" t="s">
        <v>2357</v>
      </c>
      <c r="D115" t="b">
        <f>IFERROR(VLOOKUP(B115,PatData!$A$2:$A$2000,1,),"")&lt;&gt;""</f>
        <v>1</v>
      </c>
      <c r="E115"/>
      <c r="F115" t="b">
        <v>0</v>
      </c>
      <c r="G115" t="b">
        <v>1</v>
      </c>
      <c r="H115" t="b">
        <v>0</v>
      </c>
      <c r="I115" t="b">
        <v>0</v>
      </c>
    </row>
    <row r="116" spans="1:9" x14ac:dyDescent="0.2">
      <c r="A116" t="s">
        <v>4497</v>
      </c>
      <c r="B116" t="s">
        <v>2358</v>
      </c>
      <c r="D116" t="b">
        <f>IFERROR(VLOOKUP(B116,PatData!$A$2:$A$2000,1,),"")&lt;&gt;""</f>
        <v>1</v>
      </c>
      <c r="E116"/>
      <c r="F116" t="b">
        <v>0</v>
      </c>
      <c r="G116" t="b">
        <v>1</v>
      </c>
      <c r="H116" t="b">
        <v>0</v>
      </c>
      <c r="I116" t="b">
        <v>0</v>
      </c>
    </row>
    <row r="117" spans="1:9" x14ac:dyDescent="0.2">
      <c r="A117" t="s">
        <v>4498</v>
      </c>
      <c r="B117" t="s">
        <v>2359</v>
      </c>
      <c r="D117" t="b">
        <f>IFERROR(VLOOKUP(B117,PatData!$A$2:$A$2000,1,),"")&lt;&gt;""</f>
        <v>1</v>
      </c>
      <c r="E117"/>
      <c r="F117" t="b">
        <v>0</v>
      </c>
      <c r="G117" t="b">
        <v>1</v>
      </c>
      <c r="H117" t="b">
        <v>0</v>
      </c>
      <c r="I117" t="b">
        <v>0</v>
      </c>
    </row>
    <row r="118" spans="1:9" x14ac:dyDescent="0.2">
      <c r="A118" t="s">
        <v>4499</v>
      </c>
      <c r="B118" t="s">
        <v>2360</v>
      </c>
      <c r="D118" t="b">
        <f>IFERROR(VLOOKUP(B118,PatData!$A$2:$A$2000,1,),"")&lt;&gt;""</f>
        <v>1</v>
      </c>
      <c r="E118"/>
      <c r="F118" t="b">
        <v>0</v>
      </c>
      <c r="G118" t="b">
        <v>1</v>
      </c>
      <c r="H118" t="b">
        <v>0</v>
      </c>
      <c r="I118" t="b">
        <v>0</v>
      </c>
    </row>
    <row r="119" spans="1:9" x14ac:dyDescent="0.2">
      <c r="A119" t="s">
        <v>4500</v>
      </c>
      <c r="B119" t="s">
        <v>2361</v>
      </c>
      <c r="D119" t="b">
        <f>IFERROR(VLOOKUP(B119,PatData!$A$2:$A$2000,1,),"")&lt;&gt;""</f>
        <v>1</v>
      </c>
      <c r="E119"/>
      <c r="F119" t="b">
        <v>0</v>
      </c>
      <c r="G119" t="b">
        <v>1</v>
      </c>
      <c r="H119" t="b">
        <v>0</v>
      </c>
      <c r="I119" t="b">
        <v>0</v>
      </c>
    </row>
    <row r="120" spans="1:9" x14ac:dyDescent="0.2">
      <c r="A120" t="s">
        <v>4501</v>
      </c>
      <c r="B120" t="s">
        <v>2362</v>
      </c>
      <c r="D120" t="b">
        <f>IFERROR(VLOOKUP(B120,PatData!$A$2:$A$2000,1,),"")&lt;&gt;""</f>
        <v>1</v>
      </c>
      <c r="E120"/>
      <c r="F120" t="b">
        <v>0</v>
      </c>
      <c r="G120" t="b">
        <v>1</v>
      </c>
      <c r="H120" t="b">
        <v>0</v>
      </c>
      <c r="I120" t="b">
        <v>0</v>
      </c>
    </row>
    <row r="121" spans="1:9" x14ac:dyDescent="0.2">
      <c r="A121" t="s">
        <v>4502</v>
      </c>
      <c r="B121" t="s">
        <v>2363</v>
      </c>
      <c r="D121" t="b">
        <f>IFERROR(VLOOKUP(B121,PatData!$A$2:$A$2000,1,),"")&lt;&gt;""</f>
        <v>1</v>
      </c>
      <c r="E121"/>
      <c r="F121" t="b">
        <v>0</v>
      </c>
      <c r="G121" t="b">
        <v>1</v>
      </c>
      <c r="H121" t="b">
        <v>0</v>
      </c>
      <c r="I121" t="b">
        <v>0</v>
      </c>
    </row>
    <row r="122" spans="1:9" x14ac:dyDescent="0.2">
      <c r="A122" t="s">
        <v>4503</v>
      </c>
      <c r="B122" t="s">
        <v>2364</v>
      </c>
      <c r="D122" t="b">
        <f>IFERROR(VLOOKUP(B122,PatData!$A$2:$A$2000,1,),"")&lt;&gt;""</f>
        <v>1</v>
      </c>
      <c r="E122"/>
      <c r="F122" t="b">
        <v>0</v>
      </c>
      <c r="G122" t="b">
        <v>1</v>
      </c>
      <c r="H122" t="b">
        <v>0</v>
      </c>
      <c r="I122" t="b">
        <v>0</v>
      </c>
    </row>
    <row r="123" spans="1:9" x14ac:dyDescent="0.2">
      <c r="A123" t="s">
        <v>4504</v>
      </c>
      <c r="B123" t="s">
        <v>2365</v>
      </c>
      <c r="D123" t="b">
        <f>IFERROR(VLOOKUP(B123,PatData!$A$2:$A$2000,1,),"")&lt;&gt;""</f>
        <v>1</v>
      </c>
      <c r="E123"/>
      <c r="F123" t="b">
        <v>0</v>
      </c>
      <c r="G123" t="b">
        <v>1</v>
      </c>
      <c r="H123" t="b">
        <v>0</v>
      </c>
      <c r="I123" t="b">
        <v>0</v>
      </c>
    </row>
    <row r="124" spans="1:9" x14ac:dyDescent="0.2">
      <c r="A124" t="s">
        <v>4505</v>
      </c>
      <c r="B124" t="s">
        <v>2366</v>
      </c>
      <c r="D124" t="b">
        <f>IFERROR(VLOOKUP(B124,PatData!$A$2:$A$2000,1,),"")&lt;&gt;""</f>
        <v>1</v>
      </c>
      <c r="E124"/>
      <c r="F124" t="b">
        <v>0</v>
      </c>
      <c r="G124" t="b">
        <v>1</v>
      </c>
      <c r="H124" t="b">
        <v>0</v>
      </c>
      <c r="I124" t="b">
        <v>0</v>
      </c>
    </row>
    <row r="125" spans="1:9" x14ac:dyDescent="0.2">
      <c r="A125" t="s">
        <v>4506</v>
      </c>
      <c r="B125" t="s">
        <v>2367</v>
      </c>
      <c r="D125" t="b">
        <f>IFERROR(VLOOKUP(B125,PatData!$A$2:$A$2000,1,),"")&lt;&gt;""</f>
        <v>1</v>
      </c>
      <c r="E125"/>
      <c r="F125" t="b">
        <v>0</v>
      </c>
      <c r="G125" t="b">
        <v>1</v>
      </c>
      <c r="H125" t="b">
        <v>0</v>
      </c>
      <c r="I125" t="b">
        <v>0</v>
      </c>
    </row>
    <row r="126" spans="1:9" x14ac:dyDescent="0.2">
      <c r="A126" t="s">
        <v>4507</v>
      </c>
      <c r="B126" t="s">
        <v>2368</v>
      </c>
      <c r="D126" t="b">
        <f>IFERROR(VLOOKUP(B126,PatData!$A$2:$A$2000,1,),"")&lt;&gt;""</f>
        <v>1</v>
      </c>
      <c r="E126"/>
      <c r="F126" t="b">
        <v>0</v>
      </c>
      <c r="G126" t="b">
        <v>1</v>
      </c>
      <c r="H126" t="b">
        <v>0</v>
      </c>
      <c r="I126" t="b">
        <v>0</v>
      </c>
    </row>
    <row r="127" spans="1:9" x14ac:dyDescent="0.2">
      <c r="A127" t="s">
        <v>4508</v>
      </c>
      <c r="B127" t="s">
        <v>2369</v>
      </c>
      <c r="D127" t="b">
        <f>IFERROR(VLOOKUP(B127,PatData!$A$2:$A$2000,1,),"")&lt;&gt;""</f>
        <v>1</v>
      </c>
      <c r="E127"/>
      <c r="F127" t="b">
        <v>0</v>
      </c>
      <c r="G127" t="b">
        <v>1</v>
      </c>
      <c r="H127" t="b">
        <v>0</v>
      </c>
      <c r="I127" t="b">
        <v>0</v>
      </c>
    </row>
    <row r="128" spans="1:9" x14ac:dyDescent="0.2">
      <c r="A128" t="s">
        <v>4509</v>
      </c>
      <c r="B128" t="s">
        <v>2370</v>
      </c>
      <c r="D128" t="b">
        <f>IFERROR(VLOOKUP(B128,PatData!$A$2:$A$2000,1,),"")&lt;&gt;""</f>
        <v>1</v>
      </c>
      <c r="E128"/>
      <c r="F128" t="b">
        <v>0</v>
      </c>
      <c r="G128" t="b">
        <v>1</v>
      </c>
      <c r="H128" t="b">
        <v>0</v>
      </c>
      <c r="I128" t="b">
        <v>0</v>
      </c>
    </row>
    <row r="129" spans="1:9" x14ac:dyDescent="0.2">
      <c r="A129" t="s">
        <v>4510</v>
      </c>
      <c r="B129" t="s">
        <v>2371</v>
      </c>
      <c r="D129" t="b">
        <f>IFERROR(VLOOKUP(B129,PatData!$A$2:$A$2000,1,),"")&lt;&gt;""</f>
        <v>1</v>
      </c>
      <c r="E129"/>
      <c r="F129" t="b">
        <v>0</v>
      </c>
      <c r="G129" t="b">
        <v>1</v>
      </c>
      <c r="H129" t="b">
        <v>0</v>
      </c>
      <c r="I129" t="b">
        <v>0</v>
      </c>
    </row>
    <row r="130" spans="1:9" x14ac:dyDescent="0.2">
      <c r="A130" t="s">
        <v>3759</v>
      </c>
      <c r="B130" t="s">
        <v>2372</v>
      </c>
      <c r="D130" t="b">
        <f>IFERROR(VLOOKUP(B130,PatData!$A$2:$A$2000,1,),"")&lt;&gt;""</f>
        <v>1</v>
      </c>
      <c r="E130"/>
      <c r="F130" t="b">
        <v>0</v>
      </c>
      <c r="G130" t="b">
        <v>1</v>
      </c>
      <c r="H130" t="b">
        <v>0</v>
      </c>
      <c r="I130" t="b">
        <v>0</v>
      </c>
    </row>
    <row r="131" spans="1:9" x14ac:dyDescent="0.2">
      <c r="A131" t="s">
        <v>3760</v>
      </c>
      <c r="B131" t="s">
        <v>2373</v>
      </c>
      <c r="D131" t="b">
        <f>IFERROR(VLOOKUP(B131,PatData!$A$2:$A$2000,1,),"")&lt;&gt;""</f>
        <v>1</v>
      </c>
      <c r="E131"/>
      <c r="F131" t="b">
        <v>0</v>
      </c>
      <c r="G131" t="b">
        <v>1</v>
      </c>
      <c r="H131" t="b">
        <v>0</v>
      </c>
      <c r="I131" t="b">
        <v>0</v>
      </c>
    </row>
    <row r="132" spans="1:9" x14ac:dyDescent="0.2">
      <c r="A132" t="s">
        <v>3761</v>
      </c>
      <c r="B132" t="s">
        <v>2374</v>
      </c>
      <c r="D132" t="b">
        <f>IFERROR(VLOOKUP(B132,PatData!$A$2:$A$2000,1,),"")&lt;&gt;""</f>
        <v>1</v>
      </c>
      <c r="E132"/>
      <c r="F132" t="b">
        <v>0</v>
      </c>
      <c r="G132" t="b">
        <v>1</v>
      </c>
      <c r="H132" t="b">
        <v>0</v>
      </c>
      <c r="I132" t="b">
        <v>0</v>
      </c>
    </row>
    <row r="133" spans="1:9" x14ac:dyDescent="0.2">
      <c r="A133" t="s">
        <v>3762</v>
      </c>
      <c r="B133" t="s">
        <v>2375</v>
      </c>
      <c r="D133" t="b">
        <f>IFERROR(VLOOKUP(B133,PatData!$A$2:$A$2000,1,),"")&lt;&gt;""</f>
        <v>1</v>
      </c>
      <c r="E133"/>
      <c r="F133" t="b">
        <v>0</v>
      </c>
      <c r="G133" t="b">
        <v>1</v>
      </c>
      <c r="H133" t="b">
        <v>0</v>
      </c>
      <c r="I133" t="b">
        <v>0</v>
      </c>
    </row>
    <row r="134" spans="1:9" x14ac:dyDescent="0.2">
      <c r="A134" t="s">
        <v>3763</v>
      </c>
      <c r="B134" t="s">
        <v>2376</v>
      </c>
      <c r="D134" t="b">
        <f>IFERROR(VLOOKUP(B134,PatData!$A$2:$A$2000,1,),"")&lt;&gt;""</f>
        <v>1</v>
      </c>
      <c r="E134"/>
      <c r="F134" t="b">
        <v>0</v>
      </c>
      <c r="G134" t="b">
        <v>1</v>
      </c>
      <c r="H134" t="b">
        <v>0</v>
      </c>
      <c r="I134" t="b">
        <v>0</v>
      </c>
    </row>
    <row r="135" spans="1:9" x14ac:dyDescent="0.2">
      <c r="A135" t="s">
        <v>3764</v>
      </c>
      <c r="B135" t="s">
        <v>2377</v>
      </c>
      <c r="D135" t="b">
        <f>IFERROR(VLOOKUP(B135,PatData!$A$2:$A$2000,1,),"")&lt;&gt;""</f>
        <v>1</v>
      </c>
      <c r="E135"/>
      <c r="F135" t="b">
        <v>0</v>
      </c>
      <c r="G135" t="b">
        <v>1</v>
      </c>
      <c r="H135" t="b">
        <v>0</v>
      </c>
      <c r="I135" t="b">
        <v>0</v>
      </c>
    </row>
    <row r="136" spans="1:9" x14ac:dyDescent="0.2">
      <c r="A136" t="s">
        <v>3765</v>
      </c>
      <c r="B136" t="s">
        <v>2378</v>
      </c>
      <c r="D136" t="b">
        <f>IFERROR(VLOOKUP(B136,PatData!$A$2:$A$2000,1,),"")&lt;&gt;""</f>
        <v>1</v>
      </c>
      <c r="E136"/>
      <c r="F136" t="b">
        <v>0</v>
      </c>
      <c r="G136" t="b">
        <v>1</v>
      </c>
      <c r="H136" t="b">
        <v>0</v>
      </c>
      <c r="I136" t="b">
        <v>0</v>
      </c>
    </row>
    <row r="137" spans="1:9" x14ac:dyDescent="0.2">
      <c r="A137" t="s">
        <v>3766</v>
      </c>
      <c r="B137" t="s">
        <v>2379</v>
      </c>
      <c r="D137" t="b">
        <f>IFERROR(VLOOKUP(B137,PatData!$A$2:$A$2000,1,),"")&lt;&gt;""</f>
        <v>1</v>
      </c>
      <c r="E137"/>
      <c r="F137" t="b">
        <v>0</v>
      </c>
      <c r="G137" t="b">
        <v>1</v>
      </c>
      <c r="H137" t="b">
        <v>0</v>
      </c>
      <c r="I137" t="b">
        <v>0</v>
      </c>
    </row>
    <row r="138" spans="1:9" x14ac:dyDescent="0.2">
      <c r="A138" t="s">
        <v>3767</v>
      </c>
      <c r="B138" t="s">
        <v>2380</v>
      </c>
      <c r="D138" t="b">
        <f>IFERROR(VLOOKUP(B138,PatData!$A$2:$A$2000,1,),"")&lt;&gt;""</f>
        <v>1</v>
      </c>
      <c r="E138"/>
      <c r="F138" t="b">
        <v>0</v>
      </c>
      <c r="G138" t="b">
        <v>1</v>
      </c>
      <c r="H138" t="b">
        <v>0</v>
      </c>
      <c r="I138" t="b">
        <v>0</v>
      </c>
    </row>
    <row r="139" spans="1:9" x14ac:dyDescent="0.2">
      <c r="A139" t="s">
        <v>3768</v>
      </c>
      <c r="B139" t="s">
        <v>2381</v>
      </c>
      <c r="D139" t="b">
        <f>IFERROR(VLOOKUP(B139,PatData!$A$2:$A$2000,1,),"")&lt;&gt;""</f>
        <v>1</v>
      </c>
      <c r="E139"/>
      <c r="F139" t="b">
        <v>0</v>
      </c>
      <c r="G139" t="b">
        <v>1</v>
      </c>
      <c r="H139" t="b">
        <v>0</v>
      </c>
      <c r="I139" t="b">
        <v>0</v>
      </c>
    </row>
    <row r="140" spans="1:9" x14ac:dyDescent="0.2">
      <c r="A140" t="s">
        <v>3769</v>
      </c>
      <c r="B140" t="s">
        <v>2382</v>
      </c>
      <c r="D140" t="b">
        <f>IFERROR(VLOOKUP(B140,PatData!$A$2:$A$2000,1,),"")&lt;&gt;""</f>
        <v>1</v>
      </c>
      <c r="E140"/>
      <c r="F140" t="b">
        <v>0</v>
      </c>
      <c r="G140" t="b">
        <v>1</v>
      </c>
      <c r="H140" t="b">
        <v>0</v>
      </c>
      <c r="I140" t="b">
        <v>0</v>
      </c>
    </row>
    <row r="141" spans="1:9" x14ac:dyDescent="0.2">
      <c r="A141" t="s">
        <v>3770</v>
      </c>
      <c r="B141" t="s">
        <v>2383</v>
      </c>
      <c r="D141" t="b">
        <f>IFERROR(VLOOKUP(B141,PatData!$A$2:$A$2000,1,),"")&lt;&gt;""</f>
        <v>1</v>
      </c>
      <c r="E141"/>
      <c r="F141" t="b">
        <v>0</v>
      </c>
      <c r="G141" t="b">
        <v>1</v>
      </c>
      <c r="H141" t="b">
        <v>0</v>
      </c>
      <c r="I141" t="b">
        <v>0</v>
      </c>
    </row>
    <row r="142" spans="1:9" x14ac:dyDescent="0.2">
      <c r="A142" t="s">
        <v>3771</v>
      </c>
      <c r="B142" t="s">
        <v>2384</v>
      </c>
      <c r="D142" t="b">
        <f>IFERROR(VLOOKUP(B142,PatData!$A$2:$A$2000,1,),"")&lt;&gt;""</f>
        <v>1</v>
      </c>
      <c r="E142"/>
      <c r="F142" t="b">
        <v>0</v>
      </c>
      <c r="G142" t="b">
        <v>1</v>
      </c>
      <c r="H142" t="b">
        <v>0</v>
      </c>
      <c r="I142" t="b">
        <v>0</v>
      </c>
    </row>
    <row r="143" spans="1:9" x14ac:dyDescent="0.2">
      <c r="A143" t="s">
        <v>3772</v>
      </c>
      <c r="B143" t="s">
        <v>2385</v>
      </c>
      <c r="D143" t="b">
        <f>IFERROR(VLOOKUP(B143,PatData!$A$2:$A$2000,1,),"")&lt;&gt;""</f>
        <v>1</v>
      </c>
      <c r="E143"/>
      <c r="F143" t="b">
        <v>0</v>
      </c>
      <c r="G143" t="b">
        <v>1</v>
      </c>
      <c r="H143" t="b">
        <v>0</v>
      </c>
      <c r="I143" t="b">
        <v>0</v>
      </c>
    </row>
    <row r="144" spans="1:9" x14ac:dyDescent="0.2">
      <c r="A144" t="s">
        <v>3773</v>
      </c>
      <c r="B144" t="s">
        <v>2386</v>
      </c>
      <c r="D144" t="b">
        <f>IFERROR(VLOOKUP(B144,PatData!$A$2:$A$2000,1,),"")&lt;&gt;""</f>
        <v>1</v>
      </c>
      <c r="E144"/>
      <c r="F144" t="b">
        <v>0</v>
      </c>
      <c r="G144" t="b">
        <v>1</v>
      </c>
      <c r="H144" t="b">
        <v>0</v>
      </c>
      <c r="I144" t="b">
        <v>0</v>
      </c>
    </row>
    <row r="145" spans="1:9" x14ac:dyDescent="0.2">
      <c r="A145" t="s">
        <v>3774</v>
      </c>
      <c r="B145" t="s">
        <v>2387</v>
      </c>
      <c r="D145" t="b">
        <f>IFERROR(VLOOKUP(B145,PatData!$A$2:$A$2000,1,),"")&lt;&gt;""</f>
        <v>1</v>
      </c>
      <c r="E145"/>
      <c r="F145" t="b">
        <v>0</v>
      </c>
      <c r="G145" t="b">
        <v>1</v>
      </c>
      <c r="H145" t="b">
        <v>0</v>
      </c>
      <c r="I145" t="b">
        <v>0</v>
      </c>
    </row>
    <row r="146" spans="1:9" x14ac:dyDescent="0.2">
      <c r="A146" t="s">
        <v>3775</v>
      </c>
      <c r="B146" t="s">
        <v>2388</v>
      </c>
      <c r="D146" t="b">
        <f>IFERROR(VLOOKUP(B146,PatData!$A$2:$A$2000,1,),"")&lt;&gt;""</f>
        <v>1</v>
      </c>
      <c r="E146"/>
      <c r="F146" t="b">
        <v>0</v>
      </c>
      <c r="G146" t="b">
        <v>1</v>
      </c>
      <c r="H146" t="b">
        <v>0</v>
      </c>
      <c r="I146" t="b">
        <v>0</v>
      </c>
    </row>
    <row r="147" spans="1:9" x14ac:dyDescent="0.2">
      <c r="A147" t="s">
        <v>3776</v>
      </c>
      <c r="B147" t="s">
        <v>2389</v>
      </c>
      <c r="D147" t="b">
        <f>IFERROR(VLOOKUP(B147,PatData!$A$2:$A$2000,1,),"")&lt;&gt;""</f>
        <v>1</v>
      </c>
      <c r="E147"/>
      <c r="F147" t="b">
        <v>0</v>
      </c>
      <c r="G147" t="b">
        <v>1</v>
      </c>
      <c r="H147" t="b">
        <v>0</v>
      </c>
      <c r="I147" t="b">
        <v>0</v>
      </c>
    </row>
    <row r="148" spans="1:9" x14ac:dyDescent="0.2">
      <c r="A148" t="s">
        <v>3777</v>
      </c>
      <c r="B148" t="s">
        <v>2390</v>
      </c>
      <c r="D148" t="b">
        <f>IFERROR(VLOOKUP(B148,PatData!$A$2:$A$2000,1,),"")&lt;&gt;""</f>
        <v>1</v>
      </c>
      <c r="E148"/>
      <c r="F148" t="b">
        <v>0</v>
      </c>
      <c r="G148" t="b">
        <v>1</v>
      </c>
      <c r="H148" t="b">
        <v>0</v>
      </c>
      <c r="I148" t="b">
        <v>0</v>
      </c>
    </row>
    <row r="149" spans="1:9" x14ac:dyDescent="0.2">
      <c r="A149" t="s">
        <v>3778</v>
      </c>
      <c r="B149" t="s">
        <v>2391</v>
      </c>
      <c r="D149" t="b">
        <f>IFERROR(VLOOKUP(B149,PatData!$A$2:$A$2000,1,),"")&lt;&gt;""</f>
        <v>1</v>
      </c>
      <c r="E149"/>
      <c r="F149" t="b">
        <v>0</v>
      </c>
      <c r="G149" t="b">
        <v>1</v>
      </c>
      <c r="H149" t="b">
        <v>0</v>
      </c>
      <c r="I149" t="b">
        <v>0</v>
      </c>
    </row>
    <row r="150" spans="1:9" x14ac:dyDescent="0.2">
      <c r="A150" t="s">
        <v>3779</v>
      </c>
      <c r="B150" t="s">
        <v>2392</v>
      </c>
      <c r="D150" t="b">
        <f>IFERROR(VLOOKUP(B150,PatData!$A$2:$A$2000,1,),"")&lt;&gt;""</f>
        <v>1</v>
      </c>
      <c r="E150"/>
      <c r="F150" t="b">
        <v>0</v>
      </c>
      <c r="G150" t="b">
        <v>1</v>
      </c>
      <c r="H150" t="b">
        <v>0</v>
      </c>
      <c r="I150" t="b">
        <v>0</v>
      </c>
    </row>
    <row r="151" spans="1:9" x14ac:dyDescent="0.2">
      <c r="A151" t="s">
        <v>3780</v>
      </c>
      <c r="B151" t="s">
        <v>2393</v>
      </c>
      <c r="D151" t="b">
        <f>IFERROR(VLOOKUP(B151,PatData!$A$2:$A$2000,1,),"")&lt;&gt;""</f>
        <v>1</v>
      </c>
      <c r="E151"/>
      <c r="F151" t="b">
        <v>0</v>
      </c>
      <c r="G151" t="b">
        <v>1</v>
      </c>
      <c r="H151" t="b">
        <v>0</v>
      </c>
      <c r="I151" t="b">
        <v>0</v>
      </c>
    </row>
    <row r="152" spans="1:9" x14ac:dyDescent="0.2">
      <c r="A152" t="s">
        <v>3781</v>
      </c>
      <c r="B152" t="s">
        <v>2394</v>
      </c>
      <c r="D152" t="b">
        <f>IFERROR(VLOOKUP(B152,PatData!$A$2:$A$2000,1,),"")&lt;&gt;""</f>
        <v>1</v>
      </c>
      <c r="E152"/>
      <c r="F152" t="b">
        <v>0</v>
      </c>
      <c r="G152" t="b">
        <v>1</v>
      </c>
      <c r="H152" t="b">
        <v>0</v>
      </c>
      <c r="I152" t="b">
        <v>0</v>
      </c>
    </row>
    <row r="153" spans="1:9" x14ac:dyDescent="0.2">
      <c r="A153" t="s">
        <v>3782</v>
      </c>
      <c r="B153" t="s">
        <v>2395</v>
      </c>
      <c r="D153" t="b">
        <f>IFERROR(VLOOKUP(B153,PatData!$A$2:$A$2000,1,),"")&lt;&gt;""</f>
        <v>1</v>
      </c>
      <c r="E153"/>
      <c r="F153" t="b">
        <v>0</v>
      </c>
      <c r="G153" t="b">
        <v>1</v>
      </c>
      <c r="H153" t="b">
        <v>0</v>
      </c>
      <c r="I153" t="b">
        <v>0</v>
      </c>
    </row>
    <row r="154" spans="1:9" x14ac:dyDescent="0.2">
      <c r="A154" t="s">
        <v>3783</v>
      </c>
      <c r="B154" t="s">
        <v>2396</v>
      </c>
      <c r="D154" t="b">
        <f>IFERROR(VLOOKUP(B154,PatData!$A$2:$A$2000,1,),"")&lt;&gt;""</f>
        <v>1</v>
      </c>
      <c r="E154"/>
      <c r="F154" t="b">
        <v>0</v>
      </c>
      <c r="G154" t="b">
        <v>1</v>
      </c>
      <c r="H154" t="b">
        <v>0</v>
      </c>
      <c r="I154" t="b">
        <v>0</v>
      </c>
    </row>
    <row r="155" spans="1:9" x14ac:dyDescent="0.2">
      <c r="A155" t="s">
        <v>3784</v>
      </c>
      <c r="B155" t="s">
        <v>2397</v>
      </c>
      <c r="D155" t="b">
        <f>IFERROR(VLOOKUP(B155,PatData!$A$2:$A$2000,1,),"")&lt;&gt;""</f>
        <v>1</v>
      </c>
      <c r="E155"/>
      <c r="F155" t="b">
        <v>0</v>
      </c>
      <c r="G155" t="b">
        <v>1</v>
      </c>
      <c r="H155" t="b">
        <v>0</v>
      </c>
      <c r="I155" t="b">
        <v>0</v>
      </c>
    </row>
    <row r="156" spans="1:9" x14ac:dyDescent="0.2">
      <c r="A156" t="s">
        <v>3785</v>
      </c>
      <c r="B156" t="s">
        <v>2398</v>
      </c>
      <c r="D156" t="b">
        <f>IFERROR(VLOOKUP(B156,PatData!$A$2:$A$2000,1,),"")&lt;&gt;""</f>
        <v>1</v>
      </c>
      <c r="E156"/>
      <c r="F156" t="b">
        <v>0</v>
      </c>
      <c r="G156" t="b">
        <v>1</v>
      </c>
      <c r="H156" t="b">
        <v>0</v>
      </c>
      <c r="I156" t="b">
        <v>0</v>
      </c>
    </row>
    <row r="157" spans="1:9" x14ac:dyDescent="0.2">
      <c r="A157" t="s">
        <v>3786</v>
      </c>
      <c r="B157" t="s">
        <v>2399</v>
      </c>
      <c r="D157" t="b">
        <f>IFERROR(VLOOKUP(B157,PatData!$A$2:$A$2000,1,),"")&lt;&gt;""</f>
        <v>1</v>
      </c>
      <c r="E157"/>
      <c r="F157" t="b">
        <v>0</v>
      </c>
      <c r="G157" t="b">
        <v>1</v>
      </c>
      <c r="H157" t="b">
        <v>0</v>
      </c>
      <c r="I157" t="b">
        <v>0</v>
      </c>
    </row>
    <row r="158" spans="1:9" x14ac:dyDescent="0.2">
      <c r="A158" t="s">
        <v>3787</v>
      </c>
      <c r="B158" t="s">
        <v>2400</v>
      </c>
      <c r="D158" t="b">
        <f>IFERROR(VLOOKUP(B158,PatData!$A$2:$A$2000,1,),"")&lt;&gt;""</f>
        <v>1</v>
      </c>
      <c r="E158"/>
      <c r="F158" t="b">
        <v>0</v>
      </c>
      <c r="G158" t="b">
        <v>1</v>
      </c>
      <c r="H158" t="b">
        <v>0</v>
      </c>
      <c r="I158" t="b">
        <v>0</v>
      </c>
    </row>
    <row r="159" spans="1:9" x14ac:dyDescent="0.2">
      <c r="A159" t="s">
        <v>3788</v>
      </c>
      <c r="B159" t="s">
        <v>2401</v>
      </c>
      <c r="D159" t="b">
        <f>IFERROR(VLOOKUP(B159,PatData!$A$2:$A$2000,1,),"")&lt;&gt;""</f>
        <v>1</v>
      </c>
      <c r="E159"/>
      <c r="F159" t="b">
        <v>0</v>
      </c>
      <c r="G159" t="b">
        <v>1</v>
      </c>
      <c r="H159" t="b">
        <v>0</v>
      </c>
      <c r="I159" t="b">
        <v>0</v>
      </c>
    </row>
    <row r="160" spans="1:9" x14ac:dyDescent="0.2">
      <c r="A160" t="s">
        <v>3789</v>
      </c>
      <c r="B160" t="s">
        <v>2402</v>
      </c>
      <c r="D160" t="b">
        <f>IFERROR(VLOOKUP(B160,PatData!$A$2:$A$2000,1,),"")&lt;&gt;""</f>
        <v>1</v>
      </c>
      <c r="E160"/>
      <c r="F160" t="b">
        <v>0</v>
      </c>
      <c r="G160" t="b">
        <v>1</v>
      </c>
      <c r="H160" t="b">
        <v>0</v>
      </c>
      <c r="I160" t="b">
        <v>0</v>
      </c>
    </row>
    <row r="161" spans="1:9" x14ac:dyDescent="0.2">
      <c r="A161" t="s">
        <v>3790</v>
      </c>
      <c r="B161" t="s">
        <v>2403</v>
      </c>
      <c r="D161" t="b">
        <f>IFERROR(VLOOKUP(B161,PatData!$A$2:$A$2000,1,),"")&lt;&gt;""</f>
        <v>1</v>
      </c>
      <c r="E161"/>
      <c r="F161" t="b">
        <v>0</v>
      </c>
      <c r="G161" t="b">
        <v>1</v>
      </c>
      <c r="H161" t="b">
        <v>0</v>
      </c>
      <c r="I161" t="b">
        <v>0</v>
      </c>
    </row>
    <row r="162" spans="1:9" x14ac:dyDescent="0.2">
      <c r="A162" t="s">
        <v>3791</v>
      </c>
      <c r="B162" t="s">
        <v>2404</v>
      </c>
      <c r="D162" t="b">
        <f>IFERROR(VLOOKUP(B162,PatData!$A$2:$A$2000,1,),"")&lt;&gt;""</f>
        <v>1</v>
      </c>
      <c r="E162"/>
      <c r="F162" t="b">
        <v>0</v>
      </c>
      <c r="G162" t="b">
        <v>1</v>
      </c>
      <c r="H162" t="b">
        <v>0</v>
      </c>
      <c r="I162" t="b">
        <v>0</v>
      </c>
    </row>
    <row r="163" spans="1:9" x14ac:dyDescent="0.2">
      <c r="A163" t="s">
        <v>3792</v>
      </c>
      <c r="B163" t="s">
        <v>2405</v>
      </c>
      <c r="D163" t="b">
        <f>IFERROR(VLOOKUP(B163,PatData!$A$2:$A$2000,1,),"")&lt;&gt;""</f>
        <v>1</v>
      </c>
      <c r="E163"/>
      <c r="F163" t="b">
        <v>0</v>
      </c>
      <c r="G163" t="b">
        <v>1</v>
      </c>
      <c r="H163" t="b">
        <v>0</v>
      </c>
      <c r="I163" t="b">
        <v>0</v>
      </c>
    </row>
    <row r="164" spans="1:9" x14ac:dyDescent="0.2">
      <c r="A164" t="s">
        <v>3793</v>
      </c>
      <c r="B164" t="s">
        <v>2406</v>
      </c>
      <c r="D164" t="b">
        <f>IFERROR(VLOOKUP(B164,PatData!$A$2:$A$2000,1,),"")&lt;&gt;""</f>
        <v>1</v>
      </c>
      <c r="E164"/>
      <c r="F164" t="b">
        <v>0</v>
      </c>
      <c r="G164" t="b">
        <v>1</v>
      </c>
      <c r="H164" t="b">
        <v>0</v>
      </c>
      <c r="I164" t="b">
        <v>0</v>
      </c>
    </row>
    <row r="165" spans="1:9" x14ac:dyDescent="0.2">
      <c r="A165" t="s">
        <v>3794</v>
      </c>
      <c r="B165" t="s">
        <v>2407</v>
      </c>
      <c r="D165" t="b">
        <f>IFERROR(VLOOKUP(B165,PatData!$A$2:$A$2000,1,),"")&lt;&gt;""</f>
        <v>1</v>
      </c>
      <c r="E165"/>
      <c r="F165" t="b">
        <v>0</v>
      </c>
      <c r="G165" t="b">
        <v>1</v>
      </c>
      <c r="H165" t="b">
        <v>0</v>
      </c>
      <c r="I165" t="b">
        <v>0</v>
      </c>
    </row>
    <row r="166" spans="1:9" x14ac:dyDescent="0.2">
      <c r="A166" t="s">
        <v>3795</v>
      </c>
      <c r="B166" t="s">
        <v>2408</v>
      </c>
      <c r="D166" t="b">
        <f>IFERROR(VLOOKUP(B166,PatData!$A$2:$A$2000,1,),"")&lt;&gt;""</f>
        <v>1</v>
      </c>
      <c r="E166"/>
      <c r="F166" t="b">
        <v>0</v>
      </c>
      <c r="G166" t="b">
        <v>1</v>
      </c>
      <c r="H166" t="b">
        <v>0</v>
      </c>
      <c r="I166" t="b">
        <v>0</v>
      </c>
    </row>
    <row r="167" spans="1:9" x14ac:dyDescent="0.2">
      <c r="A167" t="s">
        <v>3796</v>
      </c>
      <c r="B167" t="s">
        <v>2409</v>
      </c>
      <c r="D167" t="b">
        <f>IFERROR(VLOOKUP(B167,PatData!$A$2:$A$2000,1,),"")&lt;&gt;""</f>
        <v>1</v>
      </c>
      <c r="E167"/>
      <c r="F167" t="b">
        <v>0</v>
      </c>
      <c r="G167" t="b">
        <v>1</v>
      </c>
      <c r="H167" t="b">
        <v>0</v>
      </c>
      <c r="I167" t="b">
        <v>0</v>
      </c>
    </row>
    <row r="168" spans="1:9" x14ac:dyDescent="0.2">
      <c r="A168" t="s">
        <v>3797</v>
      </c>
      <c r="B168" t="s">
        <v>2410</v>
      </c>
      <c r="D168" t="b">
        <f>IFERROR(VLOOKUP(B168,PatData!$A$2:$A$2000,1,),"")&lt;&gt;""</f>
        <v>1</v>
      </c>
      <c r="E168"/>
      <c r="F168" t="b">
        <v>0</v>
      </c>
      <c r="G168" t="b">
        <v>1</v>
      </c>
      <c r="H168" t="b">
        <v>0</v>
      </c>
      <c r="I168" t="b">
        <v>0</v>
      </c>
    </row>
    <row r="169" spans="1:9" x14ac:dyDescent="0.2">
      <c r="A169" t="s">
        <v>3798</v>
      </c>
      <c r="B169" t="s">
        <v>2411</v>
      </c>
      <c r="D169" t="b">
        <f>IFERROR(VLOOKUP(B169,PatData!$A$2:$A$2000,1,),"")&lt;&gt;""</f>
        <v>1</v>
      </c>
      <c r="E169"/>
      <c r="F169" t="b">
        <v>0</v>
      </c>
      <c r="G169" t="b">
        <v>1</v>
      </c>
      <c r="H169" t="b">
        <v>0</v>
      </c>
      <c r="I169" t="b">
        <v>0</v>
      </c>
    </row>
    <row r="170" spans="1:9" x14ac:dyDescent="0.2">
      <c r="A170" t="s">
        <v>3799</v>
      </c>
      <c r="B170" t="s">
        <v>2412</v>
      </c>
      <c r="D170" t="b">
        <f>IFERROR(VLOOKUP(B170,PatData!$A$2:$A$2000,1,),"")&lt;&gt;""</f>
        <v>1</v>
      </c>
      <c r="E170"/>
      <c r="F170" t="b">
        <v>0</v>
      </c>
      <c r="G170" t="b">
        <v>1</v>
      </c>
      <c r="H170" t="b">
        <v>0</v>
      </c>
      <c r="I170" t="b">
        <v>0</v>
      </c>
    </row>
    <row r="171" spans="1:9" x14ac:dyDescent="0.2">
      <c r="A171" t="s">
        <v>3800</v>
      </c>
      <c r="B171" t="s">
        <v>2413</v>
      </c>
      <c r="D171" t="b">
        <f>IFERROR(VLOOKUP(B171,PatData!$A$2:$A$2000,1,),"")&lt;&gt;""</f>
        <v>1</v>
      </c>
      <c r="E171"/>
      <c r="F171" t="b">
        <v>0</v>
      </c>
      <c r="G171" t="b">
        <v>1</v>
      </c>
      <c r="H171" t="b">
        <v>0</v>
      </c>
      <c r="I171" t="b">
        <v>0</v>
      </c>
    </row>
    <row r="172" spans="1:9" x14ac:dyDescent="0.2">
      <c r="A172" t="s">
        <v>3801</v>
      </c>
      <c r="B172" t="s">
        <v>2414</v>
      </c>
      <c r="D172" t="b">
        <f>IFERROR(VLOOKUP(B172,PatData!$A$2:$A$2000,1,),"")&lt;&gt;""</f>
        <v>1</v>
      </c>
      <c r="E172"/>
      <c r="F172" t="b">
        <v>0</v>
      </c>
      <c r="G172" t="b">
        <v>1</v>
      </c>
      <c r="H172" t="b">
        <v>0</v>
      </c>
      <c r="I172" t="b">
        <v>0</v>
      </c>
    </row>
    <row r="173" spans="1:9" x14ac:dyDescent="0.2">
      <c r="A173" t="s">
        <v>3802</v>
      </c>
      <c r="B173" t="s">
        <v>2415</v>
      </c>
      <c r="D173" t="b">
        <f>IFERROR(VLOOKUP(B173,PatData!$A$2:$A$2000,1,),"")&lt;&gt;""</f>
        <v>1</v>
      </c>
      <c r="E173"/>
      <c r="F173" t="b">
        <v>0</v>
      </c>
      <c r="G173" t="b">
        <v>1</v>
      </c>
      <c r="H173" t="b">
        <v>0</v>
      </c>
      <c r="I173" t="b">
        <v>0</v>
      </c>
    </row>
    <row r="174" spans="1:9" x14ac:dyDescent="0.2">
      <c r="A174" t="s">
        <v>3803</v>
      </c>
      <c r="B174" t="s">
        <v>2416</v>
      </c>
      <c r="D174" t="b">
        <f>IFERROR(VLOOKUP(B174,PatData!$A$2:$A$2000,1,),"")&lt;&gt;""</f>
        <v>1</v>
      </c>
      <c r="E174"/>
      <c r="F174" t="b">
        <v>0</v>
      </c>
      <c r="G174" t="b">
        <v>1</v>
      </c>
      <c r="H174" t="b">
        <v>0</v>
      </c>
      <c r="I174" t="b">
        <v>0</v>
      </c>
    </row>
    <row r="175" spans="1:9" x14ac:dyDescent="0.2">
      <c r="A175" t="s">
        <v>3804</v>
      </c>
      <c r="B175" t="s">
        <v>2417</v>
      </c>
      <c r="D175" t="b">
        <f>IFERROR(VLOOKUP(B175,PatData!$A$2:$A$2000,1,),"")&lt;&gt;""</f>
        <v>1</v>
      </c>
      <c r="E175"/>
      <c r="F175" t="b">
        <v>0</v>
      </c>
      <c r="G175" t="b">
        <v>1</v>
      </c>
      <c r="H175" t="b">
        <v>0</v>
      </c>
      <c r="I175" t="b">
        <v>0</v>
      </c>
    </row>
    <row r="176" spans="1:9" x14ac:dyDescent="0.2">
      <c r="A176" t="s">
        <v>3805</v>
      </c>
      <c r="B176" t="s">
        <v>2418</v>
      </c>
      <c r="D176" t="b">
        <f>IFERROR(VLOOKUP(B176,PatData!$A$2:$A$2000,1,),"")&lt;&gt;""</f>
        <v>1</v>
      </c>
      <c r="E176"/>
      <c r="F176" t="b">
        <v>0</v>
      </c>
      <c r="G176" t="b">
        <v>1</v>
      </c>
      <c r="H176" t="b">
        <v>0</v>
      </c>
      <c r="I176" t="b">
        <v>0</v>
      </c>
    </row>
    <row r="177" spans="1:9" x14ac:dyDescent="0.2">
      <c r="A177" t="s">
        <v>3806</v>
      </c>
      <c r="B177" t="s">
        <v>2419</v>
      </c>
      <c r="D177" t="b">
        <f>IFERROR(VLOOKUP(B177,PatData!$A$2:$A$2000,1,),"")&lt;&gt;""</f>
        <v>1</v>
      </c>
      <c r="E177"/>
      <c r="F177" t="b">
        <v>0</v>
      </c>
      <c r="G177" t="b">
        <v>1</v>
      </c>
      <c r="H177" t="b">
        <v>0</v>
      </c>
      <c r="I177" t="b">
        <v>0</v>
      </c>
    </row>
    <row r="178" spans="1:9" x14ac:dyDescent="0.2">
      <c r="A178" t="s">
        <v>3807</v>
      </c>
      <c r="B178" t="s">
        <v>2420</v>
      </c>
      <c r="D178" t="b">
        <f>IFERROR(VLOOKUP(B178,PatData!$A$2:$A$2000,1,),"")&lt;&gt;""</f>
        <v>1</v>
      </c>
      <c r="E178"/>
      <c r="F178" t="b">
        <v>0</v>
      </c>
      <c r="G178" t="b">
        <v>1</v>
      </c>
      <c r="H178" t="b">
        <v>0</v>
      </c>
      <c r="I178" t="b">
        <v>0</v>
      </c>
    </row>
    <row r="179" spans="1:9" x14ac:dyDescent="0.2">
      <c r="A179" t="s">
        <v>3808</v>
      </c>
      <c r="B179" t="s">
        <v>2421</v>
      </c>
      <c r="D179" t="b">
        <f>IFERROR(VLOOKUP(B179,PatData!$A$2:$A$2000,1,),"")&lt;&gt;""</f>
        <v>1</v>
      </c>
      <c r="E179"/>
      <c r="F179" t="b">
        <v>0</v>
      </c>
      <c r="G179" t="b">
        <v>1</v>
      </c>
      <c r="H179" t="b">
        <v>0</v>
      </c>
      <c r="I179" t="b">
        <v>0</v>
      </c>
    </row>
    <row r="180" spans="1:9" x14ac:dyDescent="0.2">
      <c r="A180" t="s">
        <v>3809</v>
      </c>
      <c r="B180" t="s">
        <v>2422</v>
      </c>
      <c r="D180" t="b">
        <f>IFERROR(VLOOKUP(B180,PatData!$A$2:$A$2000,1,),"")&lt;&gt;""</f>
        <v>1</v>
      </c>
      <c r="E180"/>
      <c r="F180" t="b">
        <v>0</v>
      </c>
      <c r="G180" t="b">
        <v>1</v>
      </c>
      <c r="H180" t="b">
        <v>0</v>
      </c>
      <c r="I180" t="b">
        <v>0</v>
      </c>
    </row>
    <row r="181" spans="1:9" x14ac:dyDescent="0.2">
      <c r="A181" t="s">
        <v>3810</v>
      </c>
      <c r="B181" t="s">
        <v>2423</v>
      </c>
      <c r="D181" t="b">
        <f>IFERROR(VLOOKUP(B181,PatData!$A$2:$A$2000,1,),"")&lt;&gt;""</f>
        <v>1</v>
      </c>
      <c r="E181"/>
      <c r="F181" t="b">
        <v>0</v>
      </c>
      <c r="G181" t="b">
        <v>1</v>
      </c>
      <c r="H181" t="b">
        <v>0</v>
      </c>
      <c r="I181" t="b">
        <v>0</v>
      </c>
    </row>
    <row r="182" spans="1:9" x14ac:dyDescent="0.2">
      <c r="A182" t="s">
        <v>3811</v>
      </c>
      <c r="B182" t="s">
        <v>2424</v>
      </c>
      <c r="D182" t="b">
        <f>IFERROR(VLOOKUP(B182,PatData!$A$2:$A$2000,1,),"")&lt;&gt;""</f>
        <v>1</v>
      </c>
      <c r="E182"/>
      <c r="F182" t="b">
        <v>0</v>
      </c>
      <c r="G182" t="b">
        <v>1</v>
      </c>
      <c r="H182" t="b">
        <v>0</v>
      </c>
      <c r="I182" t="b">
        <v>0</v>
      </c>
    </row>
    <row r="183" spans="1:9" x14ac:dyDescent="0.2">
      <c r="A183" t="s">
        <v>3812</v>
      </c>
      <c r="B183" t="s">
        <v>2425</v>
      </c>
      <c r="D183" t="b">
        <f>IFERROR(VLOOKUP(B183,PatData!$A$2:$A$2000,1,),"")&lt;&gt;""</f>
        <v>1</v>
      </c>
      <c r="E183"/>
      <c r="F183" t="b">
        <v>0</v>
      </c>
      <c r="G183" t="b">
        <v>1</v>
      </c>
      <c r="H183" t="b">
        <v>0</v>
      </c>
      <c r="I183" t="b">
        <v>0</v>
      </c>
    </row>
    <row r="184" spans="1:9" x14ac:dyDescent="0.2">
      <c r="A184" t="s">
        <v>3813</v>
      </c>
      <c r="B184" t="s">
        <v>2426</v>
      </c>
      <c r="D184" t="b">
        <f>IFERROR(VLOOKUP(B184,PatData!$A$2:$A$2000,1,),"")&lt;&gt;""</f>
        <v>1</v>
      </c>
      <c r="E184"/>
      <c r="F184" t="b">
        <v>0</v>
      </c>
      <c r="G184" t="b">
        <v>1</v>
      </c>
      <c r="H184" t="b">
        <v>0</v>
      </c>
      <c r="I184" t="b">
        <v>0</v>
      </c>
    </row>
    <row r="185" spans="1:9" x14ac:dyDescent="0.2">
      <c r="A185" t="s">
        <v>3814</v>
      </c>
      <c r="B185" t="s">
        <v>2427</v>
      </c>
      <c r="D185" t="b">
        <f>IFERROR(VLOOKUP(B185,PatData!$A$2:$A$2000,1,),"")&lt;&gt;""</f>
        <v>1</v>
      </c>
      <c r="E185"/>
      <c r="F185" t="b">
        <v>0</v>
      </c>
      <c r="G185" t="b">
        <v>1</v>
      </c>
      <c r="H185" t="b">
        <v>0</v>
      </c>
      <c r="I185" t="b">
        <v>0</v>
      </c>
    </row>
    <row r="186" spans="1:9" x14ac:dyDescent="0.2">
      <c r="A186" t="s">
        <v>3815</v>
      </c>
      <c r="B186" t="s">
        <v>2428</v>
      </c>
      <c r="D186" t="b">
        <f>IFERROR(VLOOKUP(B186,PatData!$A$2:$A$2000,1,),"")&lt;&gt;""</f>
        <v>1</v>
      </c>
      <c r="E186"/>
      <c r="F186" t="b">
        <v>0</v>
      </c>
      <c r="G186" t="b">
        <v>1</v>
      </c>
      <c r="H186" t="b">
        <v>0</v>
      </c>
      <c r="I186" t="b">
        <v>0</v>
      </c>
    </row>
    <row r="187" spans="1:9" x14ac:dyDescent="0.2">
      <c r="A187" t="s">
        <v>3816</v>
      </c>
      <c r="B187" t="s">
        <v>2429</v>
      </c>
      <c r="D187" t="b">
        <f>IFERROR(VLOOKUP(B187,PatData!$A$2:$A$2000,1,),"")&lt;&gt;""</f>
        <v>1</v>
      </c>
      <c r="E187"/>
      <c r="F187" t="b">
        <v>0</v>
      </c>
      <c r="G187" t="b">
        <v>1</v>
      </c>
      <c r="H187" t="b">
        <v>0</v>
      </c>
      <c r="I187" t="b">
        <v>0</v>
      </c>
    </row>
    <row r="188" spans="1:9" x14ac:dyDescent="0.2">
      <c r="A188" t="s">
        <v>3817</v>
      </c>
      <c r="B188" t="s">
        <v>2430</v>
      </c>
      <c r="D188" t="b">
        <f>IFERROR(VLOOKUP(B188,PatData!$A$2:$A$2000,1,),"")&lt;&gt;""</f>
        <v>1</v>
      </c>
      <c r="E188"/>
      <c r="F188" t="b">
        <v>0</v>
      </c>
      <c r="G188" t="b">
        <v>1</v>
      </c>
      <c r="H188" t="b">
        <v>0</v>
      </c>
      <c r="I188" t="b">
        <v>0</v>
      </c>
    </row>
    <row r="189" spans="1:9" x14ac:dyDescent="0.2">
      <c r="A189" t="s">
        <v>3818</v>
      </c>
      <c r="B189" t="s">
        <v>2431</v>
      </c>
      <c r="D189" t="b">
        <f>IFERROR(VLOOKUP(B189,PatData!$A$2:$A$2000,1,),"")&lt;&gt;""</f>
        <v>1</v>
      </c>
      <c r="E189"/>
      <c r="F189" t="b">
        <v>0</v>
      </c>
      <c r="G189" t="b">
        <v>1</v>
      </c>
      <c r="H189" t="b">
        <v>0</v>
      </c>
      <c r="I189" t="b">
        <v>0</v>
      </c>
    </row>
    <row r="190" spans="1:9" x14ac:dyDescent="0.2">
      <c r="A190" t="s">
        <v>3819</v>
      </c>
      <c r="B190" t="s">
        <v>2432</v>
      </c>
      <c r="D190" t="b">
        <f>IFERROR(VLOOKUP(B190,PatData!$A$2:$A$2000,1,),"")&lt;&gt;""</f>
        <v>1</v>
      </c>
      <c r="E190"/>
      <c r="F190" t="b">
        <v>0</v>
      </c>
      <c r="G190" t="b">
        <v>1</v>
      </c>
      <c r="H190" t="b">
        <v>0</v>
      </c>
      <c r="I190" t="b">
        <v>0</v>
      </c>
    </row>
    <row r="191" spans="1:9" x14ac:dyDescent="0.2">
      <c r="A191" t="s">
        <v>3820</v>
      </c>
      <c r="B191" t="s">
        <v>2433</v>
      </c>
      <c r="D191" t="b">
        <f>IFERROR(VLOOKUP(B191,PatData!$A$2:$A$2000,1,),"")&lt;&gt;""</f>
        <v>1</v>
      </c>
      <c r="E191"/>
      <c r="F191" t="b">
        <v>0</v>
      </c>
      <c r="G191" t="b">
        <v>1</v>
      </c>
      <c r="H191" t="b">
        <v>0</v>
      </c>
      <c r="I191" t="b">
        <v>0</v>
      </c>
    </row>
    <row r="192" spans="1:9" x14ac:dyDescent="0.2">
      <c r="A192" t="s">
        <v>3821</v>
      </c>
      <c r="B192" t="s">
        <v>2434</v>
      </c>
      <c r="D192" t="b">
        <f>IFERROR(VLOOKUP(B192,PatData!$A$2:$A$2000,1,),"")&lt;&gt;""</f>
        <v>1</v>
      </c>
      <c r="E192"/>
      <c r="F192" t="b">
        <v>0</v>
      </c>
      <c r="G192" t="b">
        <v>1</v>
      </c>
      <c r="H192" t="b">
        <v>0</v>
      </c>
      <c r="I192" t="b">
        <v>0</v>
      </c>
    </row>
    <row r="193" spans="1:9" x14ac:dyDescent="0.2">
      <c r="A193" t="s">
        <v>3822</v>
      </c>
      <c r="B193" t="s">
        <v>2435</v>
      </c>
      <c r="D193" t="b">
        <f>IFERROR(VLOOKUP(B193,PatData!$A$2:$A$2000,1,),"")&lt;&gt;""</f>
        <v>1</v>
      </c>
      <c r="E193"/>
      <c r="F193" t="b">
        <v>0</v>
      </c>
      <c r="G193" t="b">
        <v>1</v>
      </c>
      <c r="H193" t="b">
        <v>0</v>
      </c>
      <c r="I193" t="b">
        <v>0</v>
      </c>
    </row>
    <row r="194" spans="1:9" x14ac:dyDescent="0.2">
      <c r="A194" t="s">
        <v>3823</v>
      </c>
      <c r="B194" t="s">
        <v>2436</v>
      </c>
      <c r="D194" t="b">
        <f>IFERROR(VLOOKUP(B194,PatData!$A$2:$A$2000,1,),"")&lt;&gt;""</f>
        <v>1</v>
      </c>
      <c r="E194"/>
      <c r="F194" t="b">
        <v>0</v>
      </c>
      <c r="G194" t="b">
        <v>1</v>
      </c>
      <c r="H194" t="b">
        <v>0</v>
      </c>
      <c r="I194" t="b">
        <v>0</v>
      </c>
    </row>
    <row r="195" spans="1:9" x14ac:dyDescent="0.2">
      <c r="A195" t="s">
        <v>3824</v>
      </c>
      <c r="B195" t="s">
        <v>2437</v>
      </c>
      <c r="D195" t="b">
        <f>IFERROR(VLOOKUP(B195,PatData!$A$2:$A$2000,1,),"")&lt;&gt;""</f>
        <v>1</v>
      </c>
      <c r="E195"/>
      <c r="F195" t="b">
        <v>0</v>
      </c>
      <c r="G195" t="b">
        <v>1</v>
      </c>
      <c r="H195" t="b">
        <v>0</v>
      </c>
      <c r="I195" t="b">
        <v>0</v>
      </c>
    </row>
    <row r="196" spans="1:9" x14ac:dyDescent="0.2">
      <c r="A196" t="s">
        <v>3825</v>
      </c>
      <c r="B196" t="s">
        <v>2438</v>
      </c>
      <c r="D196" t="b">
        <f>IFERROR(VLOOKUP(B196,PatData!$A$2:$A$2000,1,),"")&lt;&gt;""</f>
        <v>1</v>
      </c>
      <c r="E196"/>
      <c r="F196" t="b">
        <v>0</v>
      </c>
      <c r="G196" t="b">
        <v>1</v>
      </c>
      <c r="H196" t="b">
        <v>0</v>
      </c>
      <c r="I196" t="b">
        <v>0</v>
      </c>
    </row>
    <row r="197" spans="1:9" x14ac:dyDescent="0.2">
      <c r="A197" t="s">
        <v>3826</v>
      </c>
      <c r="B197" t="s">
        <v>2439</v>
      </c>
      <c r="D197" t="b">
        <f>IFERROR(VLOOKUP(B197,PatData!$A$2:$A$2000,1,),"")&lt;&gt;""</f>
        <v>1</v>
      </c>
      <c r="E197"/>
      <c r="F197" t="b">
        <v>0</v>
      </c>
      <c r="G197" t="b">
        <v>1</v>
      </c>
      <c r="H197" t="b">
        <v>0</v>
      </c>
      <c r="I197" t="b">
        <v>0</v>
      </c>
    </row>
    <row r="198" spans="1:9" x14ac:dyDescent="0.2">
      <c r="A198" t="s">
        <v>3827</v>
      </c>
      <c r="B198" t="s">
        <v>2440</v>
      </c>
      <c r="D198" t="b">
        <f>IFERROR(VLOOKUP(B198,PatData!$A$2:$A$2000,1,),"")&lt;&gt;""</f>
        <v>1</v>
      </c>
      <c r="E198"/>
      <c r="F198" t="b">
        <v>0</v>
      </c>
      <c r="G198" t="b">
        <v>1</v>
      </c>
      <c r="H198" t="b">
        <v>0</v>
      </c>
      <c r="I198" t="b">
        <v>0</v>
      </c>
    </row>
    <row r="199" spans="1:9" x14ac:dyDescent="0.2">
      <c r="A199" t="s">
        <v>3828</v>
      </c>
      <c r="B199" t="s">
        <v>2441</v>
      </c>
      <c r="D199" t="b">
        <f>IFERROR(VLOOKUP(B199,PatData!$A$2:$A$2000,1,),"")&lt;&gt;""</f>
        <v>1</v>
      </c>
      <c r="E199"/>
      <c r="F199" t="b">
        <v>0</v>
      </c>
      <c r="G199" t="b">
        <v>1</v>
      </c>
      <c r="H199" t="b">
        <v>0</v>
      </c>
      <c r="I199" t="b">
        <v>0</v>
      </c>
    </row>
    <row r="200" spans="1:9" x14ac:dyDescent="0.2">
      <c r="A200" t="s">
        <v>3829</v>
      </c>
      <c r="B200" t="s">
        <v>2442</v>
      </c>
      <c r="D200" t="b">
        <f>IFERROR(VLOOKUP(B200,PatData!$A$2:$A$2000,1,),"")&lt;&gt;""</f>
        <v>1</v>
      </c>
      <c r="E200"/>
      <c r="F200" t="b">
        <v>0</v>
      </c>
      <c r="G200" t="b">
        <v>1</v>
      </c>
      <c r="H200" t="b">
        <v>0</v>
      </c>
      <c r="I200" t="b">
        <v>0</v>
      </c>
    </row>
    <row r="201" spans="1:9" x14ac:dyDescent="0.2">
      <c r="A201" t="s">
        <v>3830</v>
      </c>
      <c r="B201" t="s">
        <v>2443</v>
      </c>
      <c r="D201" t="b">
        <f>IFERROR(VLOOKUP(B201,PatData!$A$2:$A$2000,1,),"")&lt;&gt;""</f>
        <v>1</v>
      </c>
      <c r="E201"/>
      <c r="F201" t="b">
        <v>0</v>
      </c>
      <c r="G201" t="b">
        <v>1</v>
      </c>
      <c r="H201" t="b">
        <v>0</v>
      </c>
      <c r="I201" t="b">
        <v>0</v>
      </c>
    </row>
    <row r="202" spans="1:9" x14ac:dyDescent="0.2">
      <c r="A202" t="s">
        <v>3831</v>
      </c>
      <c r="B202" t="s">
        <v>2444</v>
      </c>
      <c r="D202" t="b">
        <f>IFERROR(VLOOKUP(B202,PatData!$A$2:$A$2000,1,),"")&lt;&gt;""</f>
        <v>1</v>
      </c>
      <c r="E202"/>
      <c r="F202" t="b">
        <v>0</v>
      </c>
      <c r="G202" t="b">
        <v>1</v>
      </c>
      <c r="H202" t="b">
        <v>0</v>
      </c>
      <c r="I202" t="b">
        <v>0</v>
      </c>
    </row>
    <row r="203" spans="1:9" x14ac:dyDescent="0.2">
      <c r="A203" t="s">
        <v>3832</v>
      </c>
      <c r="B203" t="s">
        <v>2445</v>
      </c>
      <c r="D203" t="b">
        <f>IFERROR(VLOOKUP(B203,PatData!$A$2:$A$2000,1,),"")&lt;&gt;""</f>
        <v>1</v>
      </c>
      <c r="E203"/>
      <c r="F203" t="b">
        <v>0</v>
      </c>
      <c r="G203" t="b">
        <v>1</v>
      </c>
      <c r="H203" t="b">
        <v>0</v>
      </c>
      <c r="I203" t="b">
        <v>0</v>
      </c>
    </row>
    <row r="204" spans="1:9" x14ac:dyDescent="0.2">
      <c r="A204" t="s">
        <v>3833</v>
      </c>
      <c r="B204" t="s">
        <v>2446</v>
      </c>
      <c r="D204" t="b">
        <f>IFERROR(VLOOKUP(B204,PatData!$A$2:$A$2000,1,),"")&lt;&gt;""</f>
        <v>1</v>
      </c>
      <c r="E204"/>
      <c r="F204" t="b">
        <v>0</v>
      </c>
      <c r="G204" t="b">
        <v>1</v>
      </c>
      <c r="H204" t="b">
        <v>0</v>
      </c>
      <c r="I204" t="b">
        <v>0</v>
      </c>
    </row>
    <row r="205" spans="1:9" x14ac:dyDescent="0.2">
      <c r="A205" t="s">
        <v>3834</v>
      </c>
      <c r="B205" t="s">
        <v>2447</v>
      </c>
      <c r="D205" t="b">
        <f>IFERROR(VLOOKUP(B205,PatData!$A$2:$A$2000,1,),"")&lt;&gt;""</f>
        <v>1</v>
      </c>
      <c r="E205"/>
      <c r="F205" t="b">
        <v>0</v>
      </c>
      <c r="G205" t="b">
        <v>1</v>
      </c>
      <c r="H205" t="b">
        <v>0</v>
      </c>
      <c r="I205" t="b">
        <v>0</v>
      </c>
    </row>
    <row r="206" spans="1:9" x14ac:dyDescent="0.2">
      <c r="A206" t="s">
        <v>3835</v>
      </c>
      <c r="B206" t="s">
        <v>2448</v>
      </c>
      <c r="D206" t="b">
        <f>IFERROR(VLOOKUP(B206,PatData!$A$2:$A$2000,1,),"")&lt;&gt;""</f>
        <v>1</v>
      </c>
      <c r="E206"/>
      <c r="F206" t="b">
        <v>0</v>
      </c>
      <c r="G206" t="b">
        <v>1</v>
      </c>
      <c r="H206" t="b">
        <v>0</v>
      </c>
      <c r="I206" t="b">
        <v>0</v>
      </c>
    </row>
    <row r="207" spans="1:9" x14ac:dyDescent="0.2">
      <c r="A207" t="s">
        <v>3836</v>
      </c>
      <c r="B207" t="s">
        <v>2449</v>
      </c>
      <c r="D207" t="b">
        <f>IFERROR(VLOOKUP(B207,PatData!$A$2:$A$2000,1,),"")&lt;&gt;""</f>
        <v>1</v>
      </c>
      <c r="E207"/>
      <c r="F207" t="b">
        <v>0</v>
      </c>
      <c r="G207" t="b">
        <v>1</v>
      </c>
      <c r="H207" t="b">
        <v>0</v>
      </c>
      <c r="I207" t="b">
        <v>0</v>
      </c>
    </row>
    <row r="208" spans="1:9" x14ac:dyDescent="0.2">
      <c r="A208" t="s">
        <v>3837</v>
      </c>
      <c r="B208" t="s">
        <v>2450</v>
      </c>
      <c r="D208" t="b">
        <f>IFERROR(VLOOKUP(B208,PatData!$A$2:$A$2000,1,),"")&lt;&gt;""</f>
        <v>1</v>
      </c>
      <c r="E208"/>
      <c r="F208" t="b">
        <v>0</v>
      </c>
      <c r="G208" t="b">
        <v>1</v>
      </c>
      <c r="H208" t="b">
        <v>0</v>
      </c>
      <c r="I208" t="b">
        <v>0</v>
      </c>
    </row>
    <row r="209" spans="1:9" x14ac:dyDescent="0.2">
      <c r="A209" t="s">
        <v>3838</v>
      </c>
      <c r="B209" t="s">
        <v>2451</v>
      </c>
      <c r="D209" t="b">
        <f>IFERROR(VLOOKUP(B209,PatData!$A$2:$A$2000,1,),"")&lt;&gt;""</f>
        <v>1</v>
      </c>
      <c r="E209"/>
      <c r="F209" t="b">
        <v>0</v>
      </c>
      <c r="G209" t="b">
        <v>1</v>
      </c>
      <c r="H209" t="b">
        <v>0</v>
      </c>
      <c r="I209" t="b">
        <v>0</v>
      </c>
    </row>
    <row r="210" spans="1:9" x14ac:dyDescent="0.2">
      <c r="A210" t="s">
        <v>3839</v>
      </c>
      <c r="B210" t="s">
        <v>2452</v>
      </c>
      <c r="D210" t="b">
        <f>IFERROR(VLOOKUP(B210,PatData!$A$2:$A$2000,1,),"")&lt;&gt;""</f>
        <v>1</v>
      </c>
      <c r="E210"/>
      <c r="F210" t="b">
        <v>0</v>
      </c>
      <c r="G210" t="b">
        <v>1</v>
      </c>
      <c r="H210" t="b">
        <v>0</v>
      </c>
      <c r="I210" t="b">
        <v>0</v>
      </c>
    </row>
    <row r="211" spans="1:9" x14ac:dyDescent="0.2">
      <c r="A211" t="s">
        <v>3840</v>
      </c>
      <c r="B211" t="s">
        <v>2453</v>
      </c>
      <c r="D211" t="b">
        <f>IFERROR(VLOOKUP(B211,PatData!$A$2:$A$2000,1,),"")&lt;&gt;""</f>
        <v>1</v>
      </c>
      <c r="E211"/>
      <c r="F211" t="b">
        <v>0</v>
      </c>
      <c r="G211" t="b">
        <v>1</v>
      </c>
      <c r="H211" t="b">
        <v>0</v>
      </c>
      <c r="I211" t="b">
        <v>0</v>
      </c>
    </row>
    <row r="212" spans="1:9" x14ac:dyDescent="0.2">
      <c r="A212" t="s">
        <v>3841</v>
      </c>
      <c r="B212" t="s">
        <v>2454</v>
      </c>
      <c r="D212" t="b">
        <f>IFERROR(VLOOKUP(B212,PatData!$A$2:$A$2000,1,),"")&lt;&gt;""</f>
        <v>1</v>
      </c>
      <c r="E212"/>
      <c r="F212" t="b">
        <v>0</v>
      </c>
      <c r="G212" t="b">
        <v>1</v>
      </c>
      <c r="H212" t="b">
        <v>0</v>
      </c>
      <c r="I212" t="b">
        <v>0</v>
      </c>
    </row>
    <row r="213" spans="1:9" x14ac:dyDescent="0.2">
      <c r="A213" t="s">
        <v>3842</v>
      </c>
      <c r="B213" t="s">
        <v>2455</v>
      </c>
      <c r="D213" t="b">
        <f>IFERROR(VLOOKUP(B213,PatData!$A$2:$A$2000,1,),"")&lt;&gt;""</f>
        <v>1</v>
      </c>
      <c r="E213"/>
      <c r="F213" t="b">
        <v>0</v>
      </c>
      <c r="G213" t="b">
        <v>1</v>
      </c>
      <c r="H213" t="b">
        <v>0</v>
      </c>
      <c r="I213" t="b">
        <v>0</v>
      </c>
    </row>
    <row r="214" spans="1:9" x14ac:dyDescent="0.2">
      <c r="A214" t="s">
        <v>3843</v>
      </c>
      <c r="B214" t="s">
        <v>2456</v>
      </c>
      <c r="D214" t="b">
        <f>IFERROR(VLOOKUP(B214,PatData!$A$2:$A$2000,1,),"")&lt;&gt;""</f>
        <v>1</v>
      </c>
      <c r="E214"/>
      <c r="F214" t="b">
        <v>0</v>
      </c>
      <c r="G214" t="b">
        <v>1</v>
      </c>
      <c r="H214" t="b">
        <v>0</v>
      </c>
      <c r="I214" t="b">
        <v>0</v>
      </c>
    </row>
    <row r="215" spans="1:9" x14ac:dyDescent="0.2">
      <c r="A215" t="s">
        <v>3844</v>
      </c>
      <c r="B215" t="s">
        <v>2457</v>
      </c>
      <c r="D215" t="b">
        <f>IFERROR(VLOOKUP(B215,PatData!$A$2:$A$2000,1,),"")&lt;&gt;""</f>
        <v>1</v>
      </c>
      <c r="E215"/>
      <c r="F215" t="b">
        <v>0</v>
      </c>
      <c r="G215" t="b">
        <v>1</v>
      </c>
      <c r="H215" t="b">
        <v>0</v>
      </c>
      <c r="I215" t="b">
        <v>0</v>
      </c>
    </row>
    <row r="216" spans="1:9" x14ac:dyDescent="0.2">
      <c r="A216" t="s">
        <v>3845</v>
      </c>
      <c r="B216" t="s">
        <v>2458</v>
      </c>
      <c r="D216" t="b">
        <f>IFERROR(VLOOKUP(B216,PatData!$A$2:$A$2000,1,),"")&lt;&gt;""</f>
        <v>1</v>
      </c>
      <c r="E216"/>
      <c r="F216" t="b">
        <v>0</v>
      </c>
      <c r="G216" t="b">
        <v>1</v>
      </c>
      <c r="H216" t="b">
        <v>0</v>
      </c>
      <c r="I216" t="b">
        <v>0</v>
      </c>
    </row>
    <row r="217" spans="1:9" x14ac:dyDescent="0.2">
      <c r="A217" t="s">
        <v>3846</v>
      </c>
      <c r="B217" t="s">
        <v>2459</v>
      </c>
      <c r="D217" t="b">
        <f>IFERROR(VLOOKUP(B217,PatData!$A$2:$A$2000,1,),"")&lt;&gt;""</f>
        <v>1</v>
      </c>
      <c r="E217"/>
      <c r="F217" t="b">
        <v>0</v>
      </c>
      <c r="G217" t="b">
        <v>1</v>
      </c>
      <c r="H217" t="b">
        <v>0</v>
      </c>
      <c r="I217" t="b">
        <v>0</v>
      </c>
    </row>
    <row r="218" spans="1:9" x14ac:dyDescent="0.2">
      <c r="A218" t="s">
        <v>3847</v>
      </c>
      <c r="B218" t="s">
        <v>2460</v>
      </c>
      <c r="D218" t="b">
        <f>IFERROR(VLOOKUP(B218,PatData!$A$2:$A$2000,1,),"")&lt;&gt;""</f>
        <v>1</v>
      </c>
      <c r="E218"/>
      <c r="F218" t="b">
        <v>0</v>
      </c>
      <c r="G218" t="b">
        <v>1</v>
      </c>
      <c r="H218" t="b">
        <v>0</v>
      </c>
      <c r="I218" t="b">
        <v>0</v>
      </c>
    </row>
    <row r="219" spans="1:9" x14ac:dyDescent="0.2">
      <c r="A219" t="s">
        <v>3848</v>
      </c>
      <c r="B219" t="s">
        <v>2461</v>
      </c>
      <c r="D219" t="b">
        <f>IFERROR(VLOOKUP(B219,PatData!$A$2:$A$2000,1,),"")&lt;&gt;""</f>
        <v>1</v>
      </c>
      <c r="E219"/>
      <c r="F219" t="b">
        <v>0</v>
      </c>
      <c r="G219" t="b">
        <v>1</v>
      </c>
      <c r="H219" t="b">
        <v>0</v>
      </c>
      <c r="I219" t="b">
        <v>0</v>
      </c>
    </row>
    <row r="220" spans="1:9" x14ac:dyDescent="0.2">
      <c r="A220" t="s">
        <v>3849</v>
      </c>
      <c r="B220" t="s">
        <v>2462</v>
      </c>
      <c r="D220" t="b">
        <f>IFERROR(VLOOKUP(B220,PatData!$A$2:$A$2000,1,),"")&lt;&gt;""</f>
        <v>1</v>
      </c>
      <c r="E220">
        <v>0</v>
      </c>
      <c r="F220" t="b">
        <v>0</v>
      </c>
      <c r="G220" t="b">
        <v>1</v>
      </c>
      <c r="H220" t="b">
        <v>0</v>
      </c>
      <c r="I220" t="b">
        <v>0</v>
      </c>
    </row>
    <row r="221" spans="1:9" x14ac:dyDescent="0.2">
      <c r="A221" t="s">
        <v>3850</v>
      </c>
      <c r="B221" t="s">
        <v>2463</v>
      </c>
      <c r="D221" t="b">
        <f>IFERROR(VLOOKUP(B221,PatData!$A$2:$A$2000,1,),"")&lt;&gt;""</f>
        <v>1</v>
      </c>
      <c r="E221">
        <v>0</v>
      </c>
      <c r="F221" t="b">
        <v>0</v>
      </c>
      <c r="G221" t="b">
        <v>1</v>
      </c>
      <c r="H221" t="b">
        <v>0</v>
      </c>
      <c r="I221" t="b">
        <v>0</v>
      </c>
    </row>
    <row r="222" spans="1:9" x14ac:dyDescent="0.2">
      <c r="A222" t="s">
        <v>3851</v>
      </c>
      <c r="B222" t="s">
        <v>2464</v>
      </c>
      <c r="D222" t="b">
        <f>IFERROR(VLOOKUP(B222,PatData!$A$2:$A$2000,1,),"")&lt;&gt;""</f>
        <v>1</v>
      </c>
      <c r="E222">
        <v>0</v>
      </c>
      <c r="F222" t="b">
        <v>0</v>
      </c>
      <c r="G222" t="b">
        <v>1</v>
      </c>
      <c r="H222" t="b">
        <v>0</v>
      </c>
      <c r="I222" t="b">
        <v>0</v>
      </c>
    </row>
    <row r="223" spans="1:9" x14ac:dyDescent="0.2">
      <c r="A223" t="s">
        <v>3852</v>
      </c>
      <c r="B223" t="s">
        <v>2465</v>
      </c>
      <c r="D223" t="b">
        <f>IFERROR(VLOOKUP(B223,PatData!$A$2:$A$2000,1,),"")&lt;&gt;""</f>
        <v>1</v>
      </c>
      <c r="E223">
        <v>0</v>
      </c>
      <c r="F223" t="b">
        <v>0</v>
      </c>
      <c r="G223" t="b">
        <v>1</v>
      </c>
      <c r="H223" t="b">
        <v>0</v>
      </c>
      <c r="I223" t="b">
        <v>0</v>
      </c>
    </row>
    <row r="224" spans="1:9" x14ac:dyDescent="0.2">
      <c r="A224" t="s">
        <v>3853</v>
      </c>
      <c r="B224" t="s">
        <v>2466</v>
      </c>
      <c r="D224" t="b">
        <f>IFERROR(VLOOKUP(B224,PatData!$A$2:$A$2000,1,),"")&lt;&gt;""</f>
        <v>1</v>
      </c>
      <c r="E224">
        <v>0</v>
      </c>
      <c r="F224" t="b">
        <v>0</v>
      </c>
      <c r="G224" t="b">
        <v>1</v>
      </c>
      <c r="H224" t="b">
        <v>0</v>
      </c>
      <c r="I224" t="b">
        <v>0</v>
      </c>
    </row>
    <row r="225" spans="1:9" x14ac:dyDescent="0.2">
      <c r="A225" t="s">
        <v>3854</v>
      </c>
      <c r="B225" t="s">
        <v>2467</v>
      </c>
      <c r="D225" t="b">
        <f>IFERROR(VLOOKUP(B225,PatData!$A$2:$A$2000,1,),"")&lt;&gt;""</f>
        <v>1</v>
      </c>
      <c r="E225">
        <v>0</v>
      </c>
      <c r="F225" t="b">
        <v>0</v>
      </c>
      <c r="G225" t="b">
        <v>1</v>
      </c>
      <c r="H225" t="b">
        <v>0</v>
      </c>
      <c r="I225" t="b">
        <v>0</v>
      </c>
    </row>
    <row r="226" spans="1:9" x14ac:dyDescent="0.2">
      <c r="A226" t="s">
        <v>3855</v>
      </c>
      <c r="B226" t="s">
        <v>2468</v>
      </c>
      <c r="D226" t="b">
        <f>IFERROR(VLOOKUP(B226,PatData!$A$2:$A$2000,1,),"")&lt;&gt;""</f>
        <v>1</v>
      </c>
      <c r="E226">
        <v>0</v>
      </c>
      <c r="F226" t="b">
        <v>0</v>
      </c>
      <c r="G226" t="b">
        <v>1</v>
      </c>
      <c r="H226" t="b">
        <v>0</v>
      </c>
      <c r="I226" t="b">
        <v>0</v>
      </c>
    </row>
    <row r="227" spans="1:9" x14ac:dyDescent="0.2">
      <c r="A227" t="s">
        <v>3856</v>
      </c>
      <c r="B227" t="s">
        <v>2469</v>
      </c>
      <c r="D227" t="b">
        <f>IFERROR(VLOOKUP(B227,PatData!$A$2:$A$2000,1,),"")&lt;&gt;""</f>
        <v>1</v>
      </c>
      <c r="E227">
        <v>0</v>
      </c>
      <c r="F227" t="b">
        <v>0</v>
      </c>
      <c r="G227" t="b">
        <v>1</v>
      </c>
      <c r="H227" t="b">
        <v>0</v>
      </c>
      <c r="I227" t="b">
        <v>0</v>
      </c>
    </row>
    <row r="228" spans="1:9" x14ac:dyDescent="0.2">
      <c r="A228" t="s">
        <v>3857</v>
      </c>
      <c r="B228" t="s">
        <v>2470</v>
      </c>
      <c r="D228" t="b">
        <f>IFERROR(VLOOKUP(B228,PatData!$A$2:$A$2000,1,),"")&lt;&gt;""</f>
        <v>1</v>
      </c>
      <c r="E228">
        <v>0</v>
      </c>
      <c r="F228" t="b">
        <v>0</v>
      </c>
      <c r="G228" t="b">
        <v>1</v>
      </c>
      <c r="H228" t="b">
        <v>0</v>
      </c>
      <c r="I228" t="b">
        <v>0</v>
      </c>
    </row>
    <row r="229" spans="1:9" x14ac:dyDescent="0.2">
      <c r="A229" t="s">
        <v>3858</v>
      </c>
      <c r="B229" t="s">
        <v>2471</v>
      </c>
      <c r="D229" t="b">
        <f>IFERROR(VLOOKUP(B229,PatData!$A$2:$A$2000,1,),"")&lt;&gt;""</f>
        <v>1</v>
      </c>
      <c r="E229">
        <v>0</v>
      </c>
      <c r="F229" t="b">
        <v>0</v>
      </c>
      <c r="G229" t="b">
        <v>1</v>
      </c>
      <c r="H229" t="b">
        <v>0</v>
      </c>
      <c r="I229" t="b">
        <v>0</v>
      </c>
    </row>
    <row r="230" spans="1:9" x14ac:dyDescent="0.2">
      <c r="A230" t="s">
        <v>3859</v>
      </c>
      <c r="B230" t="s">
        <v>2472</v>
      </c>
      <c r="D230" t="b">
        <f>IFERROR(VLOOKUP(B230,PatData!$A$2:$A$2000,1,),"")&lt;&gt;""</f>
        <v>1</v>
      </c>
      <c r="E230">
        <v>0</v>
      </c>
      <c r="F230" t="b">
        <v>0</v>
      </c>
      <c r="G230" t="b">
        <v>1</v>
      </c>
      <c r="H230" t="b">
        <v>0</v>
      </c>
      <c r="I230" t="b">
        <v>0</v>
      </c>
    </row>
    <row r="231" spans="1:9" x14ac:dyDescent="0.2">
      <c r="A231" t="s">
        <v>3860</v>
      </c>
      <c r="B231" t="s">
        <v>2473</v>
      </c>
      <c r="D231" t="b">
        <f>IFERROR(VLOOKUP(B231,PatData!$A$2:$A$2000,1,),"")&lt;&gt;""</f>
        <v>1</v>
      </c>
      <c r="E231">
        <v>0</v>
      </c>
      <c r="F231" t="b">
        <v>0</v>
      </c>
      <c r="G231" t="b">
        <v>1</v>
      </c>
      <c r="H231" t="b">
        <v>0</v>
      </c>
      <c r="I231" t="b">
        <v>0</v>
      </c>
    </row>
    <row r="232" spans="1:9" x14ac:dyDescent="0.2">
      <c r="A232" t="s">
        <v>3861</v>
      </c>
      <c r="B232" t="s">
        <v>2474</v>
      </c>
      <c r="D232" t="b">
        <f>IFERROR(VLOOKUP(B232,PatData!$A$2:$A$2000,1,),"")&lt;&gt;""</f>
        <v>1</v>
      </c>
      <c r="E232">
        <v>0</v>
      </c>
      <c r="F232" t="b">
        <v>0</v>
      </c>
      <c r="G232" t="b">
        <v>1</v>
      </c>
      <c r="H232" t="b">
        <v>0</v>
      </c>
      <c r="I232" t="b">
        <v>0</v>
      </c>
    </row>
    <row r="233" spans="1:9" x14ac:dyDescent="0.2">
      <c r="A233" t="s">
        <v>3862</v>
      </c>
      <c r="B233" t="s">
        <v>2475</v>
      </c>
      <c r="D233" t="b">
        <f>IFERROR(VLOOKUP(B233,PatData!$A$2:$A$2000,1,),"")&lt;&gt;""</f>
        <v>1</v>
      </c>
      <c r="E233">
        <v>0</v>
      </c>
      <c r="F233" t="b">
        <v>0</v>
      </c>
      <c r="G233" t="b">
        <v>1</v>
      </c>
      <c r="H233" t="b">
        <v>0</v>
      </c>
      <c r="I233" t="b">
        <v>0</v>
      </c>
    </row>
    <row r="234" spans="1:9" x14ac:dyDescent="0.2">
      <c r="A234" t="s">
        <v>3863</v>
      </c>
      <c r="B234" t="s">
        <v>2476</v>
      </c>
      <c r="D234" t="b">
        <f>IFERROR(VLOOKUP(B234,PatData!$A$2:$A$2000,1,),"")&lt;&gt;""</f>
        <v>1</v>
      </c>
      <c r="E234">
        <v>0</v>
      </c>
      <c r="F234" t="b">
        <v>0</v>
      </c>
      <c r="G234" t="b">
        <v>1</v>
      </c>
      <c r="H234" t="b">
        <v>0</v>
      </c>
      <c r="I234" t="b">
        <v>0</v>
      </c>
    </row>
    <row r="235" spans="1:9" x14ac:dyDescent="0.2">
      <c r="A235" t="s">
        <v>3864</v>
      </c>
      <c r="B235" t="s">
        <v>2477</v>
      </c>
      <c r="D235" t="b">
        <f>IFERROR(VLOOKUP(B235,PatData!$A$2:$A$2000,1,),"")&lt;&gt;""</f>
        <v>1</v>
      </c>
      <c r="E235">
        <v>0</v>
      </c>
      <c r="F235" t="b">
        <v>0</v>
      </c>
      <c r="G235" t="b">
        <v>1</v>
      </c>
      <c r="H235" t="b">
        <v>0</v>
      </c>
      <c r="I235" t="b">
        <v>0</v>
      </c>
    </row>
    <row r="236" spans="1:9" x14ac:dyDescent="0.2">
      <c r="A236" t="s">
        <v>3865</v>
      </c>
      <c r="B236" t="s">
        <v>2478</v>
      </c>
      <c r="D236" t="b">
        <f>IFERROR(VLOOKUP(B236,PatData!$A$2:$A$2000,1,),"")&lt;&gt;""</f>
        <v>1</v>
      </c>
      <c r="E236">
        <v>0</v>
      </c>
      <c r="F236" t="b">
        <v>0</v>
      </c>
      <c r="G236" t="b">
        <v>1</v>
      </c>
      <c r="H236" t="b">
        <v>0</v>
      </c>
      <c r="I236" t="b">
        <v>0</v>
      </c>
    </row>
    <row r="237" spans="1:9" x14ac:dyDescent="0.2">
      <c r="A237" t="s">
        <v>3866</v>
      </c>
      <c r="B237" t="s">
        <v>2479</v>
      </c>
      <c r="D237" t="b">
        <f>IFERROR(VLOOKUP(B237,PatData!$A$2:$A$2000,1,),"")&lt;&gt;""</f>
        <v>1</v>
      </c>
      <c r="E237">
        <v>0</v>
      </c>
      <c r="F237" t="b">
        <v>0</v>
      </c>
      <c r="G237" t="b">
        <v>1</v>
      </c>
      <c r="H237" t="b">
        <v>0</v>
      </c>
      <c r="I237" t="b">
        <v>0</v>
      </c>
    </row>
    <row r="238" spans="1:9" x14ac:dyDescent="0.2">
      <c r="A238" t="s">
        <v>3867</v>
      </c>
      <c r="B238" t="s">
        <v>2480</v>
      </c>
      <c r="D238" t="b">
        <f>IFERROR(VLOOKUP(B238,PatData!$A$2:$A$2000,1,),"")&lt;&gt;""</f>
        <v>1</v>
      </c>
      <c r="E238">
        <v>0</v>
      </c>
      <c r="F238" t="b">
        <v>0</v>
      </c>
      <c r="G238" t="b">
        <v>1</v>
      </c>
      <c r="H238" t="b">
        <v>0</v>
      </c>
      <c r="I238" t="b">
        <v>0</v>
      </c>
    </row>
    <row r="239" spans="1:9" x14ac:dyDescent="0.2">
      <c r="A239" t="s">
        <v>3868</v>
      </c>
      <c r="B239" t="s">
        <v>2481</v>
      </c>
      <c r="D239" t="b">
        <f>IFERROR(VLOOKUP(B239,PatData!$A$2:$A$2000,1,),"")&lt;&gt;""</f>
        <v>1</v>
      </c>
      <c r="E239">
        <v>0</v>
      </c>
      <c r="F239" t="b">
        <v>0</v>
      </c>
      <c r="G239" t="b">
        <v>1</v>
      </c>
      <c r="H239" t="b">
        <v>0</v>
      </c>
      <c r="I239" t="b">
        <v>0</v>
      </c>
    </row>
    <row r="240" spans="1:9" x14ac:dyDescent="0.2">
      <c r="A240" t="s">
        <v>3869</v>
      </c>
      <c r="B240" t="s">
        <v>2482</v>
      </c>
      <c r="D240" t="b">
        <f>IFERROR(VLOOKUP(B240,PatData!$A$2:$A$2000,1,),"")&lt;&gt;""</f>
        <v>1</v>
      </c>
      <c r="E240">
        <v>0</v>
      </c>
      <c r="F240" t="b">
        <v>0</v>
      </c>
      <c r="G240" t="b">
        <v>1</v>
      </c>
      <c r="H240" t="b">
        <v>0</v>
      </c>
      <c r="I240" t="b">
        <v>0</v>
      </c>
    </row>
    <row r="241" spans="1:9" x14ac:dyDescent="0.2">
      <c r="A241" t="s">
        <v>3870</v>
      </c>
      <c r="B241" t="s">
        <v>2483</v>
      </c>
      <c r="D241" t="b">
        <f>IFERROR(VLOOKUP(B241,PatData!$A$2:$A$2000,1,),"")&lt;&gt;""</f>
        <v>1</v>
      </c>
      <c r="E241">
        <v>0</v>
      </c>
      <c r="F241" t="b">
        <v>0</v>
      </c>
      <c r="G241" t="b">
        <v>1</v>
      </c>
      <c r="H241" t="b">
        <v>0</v>
      </c>
      <c r="I241" t="b">
        <v>0</v>
      </c>
    </row>
    <row r="242" spans="1:9" x14ac:dyDescent="0.2">
      <c r="A242" t="s">
        <v>3871</v>
      </c>
      <c r="B242" t="s">
        <v>2484</v>
      </c>
      <c r="D242" t="b">
        <f>IFERROR(VLOOKUP(B242,PatData!$A$2:$A$2000,1,),"")&lt;&gt;""</f>
        <v>1</v>
      </c>
      <c r="E242">
        <v>0</v>
      </c>
      <c r="F242" t="b">
        <v>0</v>
      </c>
      <c r="G242" t="b">
        <v>1</v>
      </c>
      <c r="H242" t="b">
        <v>0</v>
      </c>
      <c r="I242" t="b">
        <v>0</v>
      </c>
    </row>
    <row r="243" spans="1:9" x14ac:dyDescent="0.2">
      <c r="A243" t="s">
        <v>3872</v>
      </c>
      <c r="B243" t="s">
        <v>2485</v>
      </c>
      <c r="D243" t="b">
        <f>IFERROR(VLOOKUP(B243,PatData!$A$2:$A$2000,1,),"")&lt;&gt;""</f>
        <v>1</v>
      </c>
      <c r="E243">
        <v>0</v>
      </c>
      <c r="F243" t="b">
        <v>0</v>
      </c>
      <c r="G243" t="b">
        <v>1</v>
      </c>
      <c r="H243" t="b">
        <v>0</v>
      </c>
      <c r="I243" t="b">
        <v>0</v>
      </c>
    </row>
    <row r="244" spans="1:9" x14ac:dyDescent="0.2">
      <c r="A244" t="s">
        <v>3873</v>
      </c>
      <c r="B244" t="s">
        <v>2486</v>
      </c>
      <c r="D244" t="b">
        <f>IFERROR(VLOOKUP(B244,PatData!$A$2:$A$2000,1,),"")&lt;&gt;""</f>
        <v>1</v>
      </c>
      <c r="E244">
        <v>0</v>
      </c>
      <c r="F244" t="b">
        <v>0</v>
      </c>
      <c r="G244" t="b">
        <v>1</v>
      </c>
      <c r="H244" t="b">
        <v>0</v>
      </c>
      <c r="I244" t="b">
        <v>0</v>
      </c>
    </row>
    <row r="245" spans="1:9" x14ac:dyDescent="0.2">
      <c r="A245" t="s">
        <v>3874</v>
      </c>
      <c r="B245" t="s">
        <v>2487</v>
      </c>
      <c r="D245" t="b">
        <f>IFERROR(VLOOKUP(B245,PatData!$A$2:$A$2000,1,),"")&lt;&gt;""</f>
        <v>1</v>
      </c>
      <c r="E245">
        <v>0</v>
      </c>
      <c r="F245" t="b">
        <v>0</v>
      </c>
      <c r="G245" t="b">
        <v>1</v>
      </c>
      <c r="H245" t="b">
        <v>0</v>
      </c>
      <c r="I245" t="b">
        <v>0</v>
      </c>
    </row>
    <row r="246" spans="1:9" x14ac:dyDescent="0.2">
      <c r="A246" t="s">
        <v>3875</v>
      </c>
      <c r="B246" t="s">
        <v>2488</v>
      </c>
      <c r="D246" t="b">
        <f>IFERROR(VLOOKUP(B246,PatData!$A$2:$A$2000,1,),"")&lt;&gt;""</f>
        <v>1</v>
      </c>
      <c r="E246">
        <v>0</v>
      </c>
      <c r="F246" t="b">
        <v>0</v>
      </c>
      <c r="G246" t="b">
        <v>1</v>
      </c>
      <c r="H246" t="b">
        <v>0</v>
      </c>
      <c r="I246" t="b">
        <v>0</v>
      </c>
    </row>
    <row r="247" spans="1:9" x14ac:dyDescent="0.2">
      <c r="A247" t="s">
        <v>3876</v>
      </c>
      <c r="B247" t="s">
        <v>2489</v>
      </c>
      <c r="D247" t="b">
        <f>IFERROR(VLOOKUP(B247,PatData!$A$2:$A$2000,1,),"")&lt;&gt;""</f>
        <v>1</v>
      </c>
      <c r="E247">
        <v>0</v>
      </c>
      <c r="F247" t="b">
        <v>0</v>
      </c>
      <c r="G247" t="b">
        <v>1</v>
      </c>
      <c r="H247" t="b">
        <v>0</v>
      </c>
      <c r="I247" t="b">
        <v>0</v>
      </c>
    </row>
    <row r="248" spans="1:9" x14ac:dyDescent="0.2">
      <c r="A248" t="s">
        <v>3877</v>
      </c>
      <c r="B248" t="s">
        <v>2490</v>
      </c>
      <c r="D248" t="b">
        <f>IFERROR(VLOOKUP(B248,PatData!$A$2:$A$2000,1,),"")&lt;&gt;""</f>
        <v>1</v>
      </c>
      <c r="E248">
        <v>0</v>
      </c>
      <c r="F248" t="b">
        <v>0</v>
      </c>
      <c r="G248" t="b">
        <v>1</v>
      </c>
      <c r="H248" t="b">
        <v>0</v>
      </c>
      <c r="I248" t="b">
        <v>0</v>
      </c>
    </row>
    <row r="249" spans="1:9" x14ac:dyDescent="0.2">
      <c r="A249" t="s">
        <v>3878</v>
      </c>
      <c r="B249" t="s">
        <v>2491</v>
      </c>
      <c r="D249" t="b">
        <f>IFERROR(VLOOKUP(B249,PatData!$A$2:$A$2000,1,),"")&lt;&gt;""</f>
        <v>1</v>
      </c>
      <c r="E249">
        <v>0</v>
      </c>
      <c r="F249" t="b">
        <v>0</v>
      </c>
      <c r="G249" t="b">
        <v>1</v>
      </c>
      <c r="H249" t="b">
        <v>0</v>
      </c>
      <c r="I249" t="b">
        <v>0</v>
      </c>
    </row>
    <row r="250" spans="1:9" x14ac:dyDescent="0.2">
      <c r="A250" t="s">
        <v>3909</v>
      </c>
      <c r="B250" t="s">
        <v>2492</v>
      </c>
      <c r="D250" t="b">
        <f>IFERROR(VLOOKUP(B250,PatData!$A$2:$A$2000,1,),"")&lt;&gt;""</f>
        <v>1</v>
      </c>
      <c r="E250">
        <v>1</v>
      </c>
      <c r="F250" t="b">
        <v>0</v>
      </c>
      <c r="G250" t="b">
        <v>1</v>
      </c>
      <c r="H250" t="b">
        <v>0</v>
      </c>
      <c r="I250" t="b">
        <v>0</v>
      </c>
    </row>
    <row r="251" spans="1:9" x14ac:dyDescent="0.2">
      <c r="A251" t="s">
        <v>3910</v>
      </c>
      <c r="B251" t="s">
        <v>2493</v>
      </c>
      <c r="D251" t="b">
        <f>IFERROR(VLOOKUP(B251,PatData!$A$2:$A$2000,1,),"")&lt;&gt;""</f>
        <v>1</v>
      </c>
      <c r="E251">
        <v>1</v>
      </c>
      <c r="F251" t="b">
        <v>0</v>
      </c>
      <c r="G251" t="b">
        <v>1</v>
      </c>
      <c r="H251" t="b">
        <v>0</v>
      </c>
      <c r="I251" t="b">
        <v>0</v>
      </c>
    </row>
    <row r="252" spans="1:9" x14ac:dyDescent="0.2">
      <c r="A252" t="s">
        <v>3911</v>
      </c>
      <c r="B252" t="s">
        <v>2494</v>
      </c>
      <c r="D252" t="b">
        <f>IFERROR(VLOOKUP(B252,PatData!$A$2:$A$2000,1,),"")&lt;&gt;""</f>
        <v>1</v>
      </c>
      <c r="E252">
        <v>1</v>
      </c>
      <c r="F252" t="b">
        <v>0</v>
      </c>
      <c r="G252" t="b">
        <v>1</v>
      </c>
      <c r="H252" t="b">
        <v>0</v>
      </c>
      <c r="I252" t="b">
        <v>0</v>
      </c>
    </row>
    <row r="253" spans="1:9" x14ac:dyDescent="0.2">
      <c r="A253" t="s">
        <v>3912</v>
      </c>
      <c r="B253" t="s">
        <v>2495</v>
      </c>
      <c r="D253" t="b">
        <f>IFERROR(VLOOKUP(B253,PatData!$A$2:$A$2000,1,),"")&lt;&gt;""</f>
        <v>1</v>
      </c>
      <c r="E253">
        <v>1</v>
      </c>
      <c r="F253" t="b">
        <v>0</v>
      </c>
      <c r="G253" t="b">
        <v>1</v>
      </c>
      <c r="H253" t="b">
        <v>0</v>
      </c>
      <c r="I253" t="b">
        <v>0</v>
      </c>
    </row>
    <row r="254" spans="1:9" x14ac:dyDescent="0.2">
      <c r="A254" t="s">
        <v>3913</v>
      </c>
      <c r="B254" t="s">
        <v>2496</v>
      </c>
      <c r="D254" t="b">
        <f>IFERROR(VLOOKUP(B254,PatData!$A$2:$A$2000,1,),"")&lt;&gt;""</f>
        <v>1</v>
      </c>
      <c r="E254">
        <v>1</v>
      </c>
      <c r="F254" t="b">
        <v>0</v>
      </c>
      <c r="G254" t="b">
        <v>1</v>
      </c>
      <c r="H254" t="b">
        <v>0</v>
      </c>
      <c r="I254" t="b">
        <v>0</v>
      </c>
    </row>
    <row r="255" spans="1:9" x14ac:dyDescent="0.2">
      <c r="A255" t="s">
        <v>3914</v>
      </c>
      <c r="B255" t="s">
        <v>2497</v>
      </c>
      <c r="D255" t="b">
        <f>IFERROR(VLOOKUP(B255,PatData!$A$2:$A$2000,1,),"")&lt;&gt;""</f>
        <v>1</v>
      </c>
      <c r="E255">
        <v>1</v>
      </c>
      <c r="F255" t="b">
        <v>0</v>
      </c>
      <c r="G255" t="b">
        <v>1</v>
      </c>
      <c r="H255" t="b">
        <v>0</v>
      </c>
      <c r="I255" t="b">
        <v>0</v>
      </c>
    </row>
    <row r="256" spans="1:9" x14ac:dyDescent="0.2">
      <c r="A256" t="s">
        <v>3915</v>
      </c>
      <c r="B256" t="s">
        <v>2498</v>
      </c>
      <c r="D256" t="b">
        <f>IFERROR(VLOOKUP(B256,PatData!$A$2:$A$2000,1,),"")&lt;&gt;""</f>
        <v>1</v>
      </c>
      <c r="E256">
        <v>1</v>
      </c>
      <c r="F256" t="b">
        <v>0</v>
      </c>
      <c r="G256" t="b">
        <v>1</v>
      </c>
      <c r="H256" t="b">
        <v>0</v>
      </c>
      <c r="I256" t="b">
        <v>0</v>
      </c>
    </row>
    <row r="257" spans="1:9" x14ac:dyDescent="0.2">
      <c r="A257" t="s">
        <v>3916</v>
      </c>
      <c r="B257" t="s">
        <v>2499</v>
      </c>
      <c r="D257" t="b">
        <f>IFERROR(VLOOKUP(B257,PatData!$A$2:$A$2000,1,),"")&lt;&gt;""</f>
        <v>1</v>
      </c>
      <c r="E257">
        <v>1</v>
      </c>
      <c r="F257" t="b">
        <v>0</v>
      </c>
      <c r="G257" t="b">
        <v>1</v>
      </c>
      <c r="H257" t="b">
        <v>0</v>
      </c>
      <c r="I257" t="b">
        <v>0</v>
      </c>
    </row>
    <row r="258" spans="1:9" x14ac:dyDescent="0.2">
      <c r="A258" t="s">
        <v>3917</v>
      </c>
      <c r="B258" t="s">
        <v>2500</v>
      </c>
      <c r="D258" t="b">
        <f>IFERROR(VLOOKUP(B258,PatData!$A$2:$A$2000,1,),"")&lt;&gt;""</f>
        <v>1</v>
      </c>
      <c r="E258">
        <v>1</v>
      </c>
      <c r="F258" t="b">
        <v>0</v>
      </c>
      <c r="G258" t="b">
        <v>1</v>
      </c>
      <c r="H258" t="b">
        <v>0</v>
      </c>
      <c r="I258" t="b">
        <v>0</v>
      </c>
    </row>
    <row r="259" spans="1:9" x14ac:dyDescent="0.2">
      <c r="A259" t="s">
        <v>3918</v>
      </c>
      <c r="B259" t="s">
        <v>2501</v>
      </c>
      <c r="D259" t="b">
        <f>IFERROR(VLOOKUP(B259,PatData!$A$2:$A$2000,1,),"")&lt;&gt;""</f>
        <v>1</v>
      </c>
      <c r="E259">
        <v>1</v>
      </c>
      <c r="F259" t="b">
        <v>0</v>
      </c>
      <c r="G259" t="b">
        <v>1</v>
      </c>
      <c r="H259" t="b">
        <v>0</v>
      </c>
      <c r="I259" t="b">
        <v>0</v>
      </c>
    </row>
    <row r="260" spans="1:9" x14ac:dyDescent="0.2">
      <c r="A260" t="s">
        <v>3919</v>
      </c>
      <c r="B260" t="s">
        <v>2502</v>
      </c>
      <c r="D260" t="b">
        <f>IFERROR(VLOOKUP(B260,PatData!$A$2:$A$2000,1,),"")&lt;&gt;""</f>
        <v>1</v>
      </c>
      <c r="E260">
        <v>1</v>
      </c>
      <c r="F260" t="b">
        <v>0</v>
      </c>
      <c r="G260" t="b">
        <v>1</v>
      </c>
      <c r="H260" t="b">
        <v>0</v>
      </c>
      <c r="I260" t="b">
        <v>0</v>
      </c>
    </row>
    <row r="261" spans="1:9" x14ac:dyDescent="0.2">
      <c r="A261" t="s">
        <v>3920</v>
      </c>
      <c r="B261" t="s">
        <v>2503</v>
      </c>
      <c r="D261" t="b">
        <f>IFERROR(VLOOKUP(B261,PatData!$A$2:$A$2000,1,),"")&lt;&gt;""</f>
        <v>1</v>
      </c>
      <c r="E261">
        <v>1</v>
      </c>
      <c r="F261" t="b">
        <v>0</v>
      </c>
      <c r="G261" t="b">
        <v>1</v>
      </c>
      <c r="H261" t="b">
        <v>0</v>
      </c>
      <c r="I261" t="b">
        <v>0</v>
      </c>
    </row>
    <row r="262" spans="1:9" x14ac:dyDescent="0.2">
      <c r="A262" t="s">
        <v>3921</v>
      </c>
      <c r="B262" t="s">
        <v>2504</v>
      </c>
      <c r="D262" t="b">
        <f>IFERROR(VLOOKUP(B262,PatData!$A$2:$A$2000,1,),"")&lt;&gt;""</f>
        <v>1</v>
      </c>
      <c r="E262">
        <v>1</v>
      </c>
      <c r="F262" t="b">
        <v>0</v>
      </c>
      <c r="G262" t="b">
        <v>1</v>
      </c>
      <c r="H262" t="b">
        <v>0</v>
      </c>
      <c r="I262" t="b">
        <v>0</v>
      </c>
    </row>
    <row r="263" spans="1:9" x14ac:dyDescent="0.2">
      <c r="A263" t="s">
        <v>3922</v>
      </c>
      <c r="B263" t="s">
        <v>2505</v>
      </c>
      <c r="D263" t="b">
        <f>IFERROR(VLOOKUP(B263,PatData!$A$2:$A$2000,1,),"")&lt;&gt;""</f>
        <v>1</v>
      </c>
      <c r="E263">
        <v>1</v>
      </c>
      <c r="F263" t="b">
        <v>0</v>
      </c>
      <c r="G263" t="b">
        <v>1</v>
      </c>
      <c r="H263" t="b">
        <v>0</v>
      </c>
      <c r="I263" t="b">
        <v>0</v>
      </c>
    </row>
    <row r="264" spans="1:9" x14ac:dyDescent="0.2">
      <c r="A264" t="s">
        <v>3923</v>
      </c>
      <c r="B264" t="s">
        <v>2506</v>
      </c>
      <c r="D264" t="b">
        <f>IFERROR(VLOOKUP(B264,PatData!$A$2:$A$2000,1,),"")&lt;&gt;""</f>
        <v>1</v>
      </c>
      <c r="E264">
        <v>1</v>
      </c>
      <c r="F264" t="b">
        <v>0</v>
      </c>
      <c r="G264" t="b">
        <v>1</v>
      </c>
      <c r="H264" t="b">
        <v>0</v>
      </c>
      <c r="I264" t="b">
        <v>0</v>
      </c>
    </row>
    <row r="265" spans="1:9" x14ac:dyDescent="0.2">
      <c r="A265" t="s">
        <v>3924</v>
      </c>
      <c r="B265" t="s">
        <v>2507</v>
      </c>
      <c r="D265" t="b">
        <f>IFERROR(VLOOKUP(B265,PatData!$A$2:$A$2000,1,),"")&lt;&gt;""</f>
        <v>1</v>
      </c>
      <c r="E265">
        <v>1</v>
      </c>
      <c r="F265" t="b">
        <v>0</v>
      </c>
      <c r="G265" t="b">
        <v>1</v>
      </c>
      <c r="H265" t="b">
        <v>0</v>
      </c>
      <c r="I265" t="b">
        <v>0</v>
      </c>
    </row>
    <row r="266" spans="1:9" x14ac:dyDescent="0.2">
      <c r="A266" t="s">
        <v>3925</v>
      </c>
      <c r="B266" t="s">
        <v>2508</v>
      </c>
      <c r="D266" t="b">
        <f>IFERROR(VLOOKUP(B266,PatData!$A$2:$A$2000,1,),"")&lt;&gt;""</f>
        <v>1</v>
      </c>
      <c r="E266">
        <v>1</v>
      </c>
      <c r="F266" t="b">
        <v>0</v>
      </c>
      <c r="G266" t="b">
        <v>1</v>
      </c>
      <c r="H266" t="b">
        <v>0</v>
      </c>
      <c r="I266" t="b">
        <v>0</v>
      </c>
    </row>
    <row r="267" spans="1:9" x14ac:dyDescent="0.2">
      <c r="A267" t="s">
        <v>3926</v>
      </c>
      <c r="B267" t="s">
        <v>2509</v>
      </c>
      <c r="D267" t="b">
        <f>IFERROR(VLOOKUP(B267,PatData!$A$2:$A$2000,1,),"")&lt;&gt;""</f>
        <v>1</v>
      </c>
      <c r="E267">
        <v>1</v>
      </c>
      <c r="F267" t="b">
        <v>0</v>
      </c>
      <c r="G267" t="b">
        <v>1</v>
      </c>
      <c r="H267" t="b">
        <v>0</v>
      </c>
      <c r="I267" t="b">
        <v>0</v>
      </c>
    </row>
    <row r="268" spans="1:9" x14ac:dyDescent="0.2">
      <c r="A268" t="s">
        <v>3927</v>
      </c>
      <c r="B268" t="s">
        <v>2510</v>
      </c>
      <c r="D268" t="b">
        <f>IFERROR(VLOOKUP(B268,PatData!$A$2:$A$2000,1,),"")&lt;&gt;""</f>
        <v>1</v>
      </c>
      <c r="E268">
        <v>1</v>
      </c>
      <c r="F268" t="b">
        <v>0</v>
      </c>
      <c r="G268" t="b">
        <v>1</v>
      </c>
      <c r="H268" t="b">
        <v>0</v>
      </c>
      <c r="I268" t="b">
        <v>0</v>
      </c>
    </row>
    <row r="269" spans="1:9" x14ac:dyDescent="0.2">
      <c r="A269" t="s">
        <v>3928</v>
      </c>
      <c r="B269" t="s">
        <v>2511</v>
      </c>
      <c r="D269" t="b">
        <f>IFERROR(VLOOKUP(B269,PatData!$A$2:$A$2000,1,),"")&lt;&gt;""</f>
        <v>1</v>
      </c>
      <c r="E269">
        <v>1</v>
      </c>
      <c r="F269" t="b">
        <v>0</v>
      </c>
      <c r="G269" t="b">
        <v>1</v>
      </c>
      <c r="H269" t="b">
        <v>0</v>
      </c>
      <c r="I269" t="b">
        <v>0</v>
      </c>
    </row>
    <row r="270" spans="1:9" x14ac:dyDescent="0.2">
      <c r="A270" t="s">
        <v>3929</v>
      </c>
      <c r="B270" t="s">
        <v>2512</v>
      </c>
      <c r="D270" t="b">
        <f>IFERROR(VLOOKUP(B270,PatData!$A$2:$A$2000,1,),"")&lt;&gt;""</f>
        <v>1</v>
      </c>
      <c r="E270">
        <v>1</v>
      </c>
      <c r="F270" t="b">
        <v>0</v>
      </c>
      <c r="G270" t="b">
        <v>1</v>
      </c>
      <c r="H270" t="b">
        <v>0</v>
      </c>
      <c r="I270" t="b">
        <v>0</v>
      </c>
    </row>
    <row r="271" spans="1:9" x14ac:dyDescent="0.2">
      <c r="A271" t="s">
        <v>3930</v>
      </c>
      <c r="B271" t="s">
        <v>2513</v>
      </c>
      <c r="D271" t="b">
        <f>IFERROR(VLOOKUP(B271,PatData!$A$2:$A$2000,1,),"")&lt;&gt;""</f>
        <v>1</v>
      </c>
      <c r="E271">
        <v>1</v>
      </c>
      <c r="F271" t="b">
        <v>0</v>
      </c>
      <c r="G271" t="b">
        <v>1</v>
      </c>
      <c r="H271" t="b">
        <v>0</v>
      </c>
      <c r="I271" t="b">
        <v>0</v>
      </c>
    </row>
    <row r="272" spans="1:9" x14ac:dyDescent="0.2">
      <c r="A272" t="s">
        <v>3931</v>
      </c>
      <c r="B272" t="s">
        <v>2514</v>
      </c>
      <c r="D272" t="b">
        <f>IFERROR(VLOOKUP(B272,PatData!$A$2:$A$2000,1,),"")&lt;&gt;""</f>
        <v>1</v>
      </c>
      <c r="E272">
        <v>1</v>
      </c>
      <c r="F272" t="b">
        <v>0</v>
      </c>
      <c r="G272" t="b">
        <v>1</v>
      </c>
      <c r="H272" t="b">
        <v>0</v>
      </c>
      <c r="I272" t="b">
        <v>0</v>
      </c>
    </row>
    <row r="273" spans="1:9" x14ac:dyDescent="0.2">
      <c r="A273" t="s">
        <v>3932</v>
      </c>
      <c r="B273" t="s">
        <v>2515</v>
      </c>
      <c r="D273" t="b">
        <f>IFERROR(VLOOKUP(B273,PatData!$A$2:$A$2000,1,),"")&lt;&gt;""</f>
        <v>1</v>
      </c>
      <c r="E273">
        <v>1</v>
      </c>
      <c r="F273" t="b">
        <v>0</v>
      </c>
      <c r="G273" t="b">
        <v>1</v>
      </c>
      <c r="H273" t="b">
        <v>0</v>
      </c>
      <c r="I273" t="b">
        <v>0</v>
      </c>
    </row>
    <row r="274" spans="1:9" x14ac:dyDescent="0.2">
      <c r="A274" t="s">
        <v>3933</v>
      </c>
      <c r="B274" t="s">
        <v>2516</v>
      </c>
      <c r="D274" t="b">
        <f>IFERROR(VLOOKUP(B274,PatData!$A$2:$A$2000,1,),"")&lt;&gt;""</f>
        <v>1</v>
      </c>
      <c r="E274">
        <v>1</v>
      </c>
      <c r="F274" t="b">
        <v>0</v>
      </c>
      <c r="G274" t="b">
        <v>1</v>
      </c>
      <c r="H274" t="b">
        <v>0</v>
      </c>
      <c r="I274" t="b">
        <v>0</v>
      </c>
    </row>
    <row r="275" spans="1:9" x14ac:dyDescent="0.2">
      <c r="A275" t="s">
        <v>3934</v>
      </c>
      <c r="B275" t="s">
        <v>2517</v>
      </c>
      <c r="D275" t="b">
        <f>IFERROR(VLOOKUP(B275,PatData!$A$2:$A$2000,1,),"")&lt;&gt;""</f>
        <v>1</v>
      </c>
      <c r="E275">
        <v>1</v>
      </c>
      <c r="F275" t="b">
        <v>0</v>
      </c>
      <c r="G275" t="b">
        <v>1</v>
      </c>
      <c r="H275" t="b">
        <v>0</v>
      </c>
      <c r="I275" t="b">
        <v>0</v>
      </c>
    </row>
    <row r="276" spans="1:9" x14ac:dyDescent="0.2">
      <c r="A276" t="s">
        <v>3935</v>
      </c>
      <c r="B276" t="s">
        <v>2518</v>
      </c>
      <c r="D276" t="b">
        <f>IFERROR(VLOOKUP(B276,PatData!$A$2:$A$2000,1,),"")&lt;&gt;""</f>
        <v>1</v>
      </c>
      <c r="E276">
        <v>1</v>
      </c>
      <c r="F276" t="b">
        <v>0</v>
      </c>
      <c r="G276" t="b">
        <v>1</v>
      </c>
      <c r="H276" t="b">
        <v>0</v>
      </c>
      <c r="I276" t="b">
        <v>0</v>
      </c>
    </row>
    <row r="277" spans="1:9" x14ac:dyDescent="0.2">
      <c r="A277" t="s">
        <v>3936</v>
      </c>
      <c r="B277" t="s">
        <v>2519</v>
      </c>
      <c r="D277" t="b">
        <f>IFERROR(VLOOKUP(B277,PatData!$A$2:$A$2000,1,),"")&lt;&gt;""</f>
        <v>1</v>
      </c>
      <c r="E277">
        <v>1</v>
      </c>
      <c r="F277" t="b">
        <v>0</v>
      </c>
      <c r="G277" t="b">
        <v>1</v>
      </c>
      <c r="H277" t="b">
        <v>0</v>
      </c>
      <c r="I277" t="b">
        <v>0</v>
      </c>
    </row>
    <row r="278" spans="1:9" x14ac:dyDescent="0.2">
      <c r="A278" t="s">
        <v>3937</v>
      </c>
      <c r="B278" t="s">
        <v>2520</v>
      </c>
      <c r="D278" t="b">
        <f>IFERROR(VLOOKUP(B278,PatData!$A$2:$A$2000,1,),"")&lt;&gt;""</f>
        <v>1</v>
      </c>
      <c r="E278">
        <v>1</v>
      </c>
      <c r="F278" t="b">
        <v>0</v>
      </c>
      <c r="G278" t="b">
        <v>1</v>
      </c>
      <c r="H278" t="b">
        <v>0</v>
      </c>
      <c r="I278" t="b">
        <v>0</v>
      </c>
    </row>
    <row r="279" spans="1:9" x14ac:dyDescent="0.2">
      <c r="A279" t="s">
        <v>3938</v>
      </c>
      <c r="B279" t="s">
        <v>2521</v>
      </c>
      <c r="D279" t="b">
        <f>IFERROR(VLOOKUP(B279,PatData!$A$2:$A$2000,1,),"")&lt;&gt;""</f>
        <v>1</v>
      </c>
      <c r="E279">
        <v>1</v>
      </c>
      <c r="F279" t="b">
        <v>0</v>
      </c>
      <c r="G279" t="b">
        <v>1</v>
      </c>
      <c r="H279" t="b">
        <v>0</v>
      </c>
      <c r="I279" t="b">
        <v>0</v>
      </c>
    </row>
    <row r="280" spans="1:9" x14ac:dyDescent="0.2">
      <c r="A280" t="s">
        <v>3939</v>
      </c>
      <c r="B280" t="s">
        <v>2522</v>
      </c>
      <c r="D280" t="b">
        <f>IFERROR(VLOOKUP(B280,PatData!$A$2:$A$2000,1,),"")&lt;&gt;""</f>
        <v>1</v>
      </c>
      <c r="E280">
        <v>0</v>
      </c>
      <c r="F280" t="b">
        <v>0</v>
      </c>
      <c r="G280" t="b">
        <v>1</v>
      </c>
      <c r="H280" t="b">
        <v>0</v>
      </c>
      <c r="I280" t="b">
        <v>0</v>
      </c>
    </row>
    <row r="281" spans="1:9" x14ac:dyDescent="0.2">
      <c r="A281" t="s">
        <v>3940</v>
      </c>
      <c r="B281" t="s">
        <v>2523</v>
      </c>
      <c r="D281" t="b">
        <f>IFERROR(VLOOKUP(B281,PatData!$A$2:$A$2000,1,),"")&lt;&gt;""</f>
        <v>1</v>
      </c>
      <c r="E281">
        <v>0</v>
      </c>
      <c r="F281" t="b">
        <v>0</v>
      </c>
      <c r="G281" t="b">
        <v>1</v>
      </c>
      <c r="H281" t="b">
        <v>0</v>
      </c>
      <c r="I281" t="b">
        <v>0</v>
      </c>
    </row>
    <row r="282" spans="1:9" x14ac:dyDescent="0.2">
      <c r="A282" t="s">
        <v>3941</v>
      </c>
      <c r="B282" t="s">
        <v>2524</v>
      </c>
      <c r="D282" t="b">
        <f>IFERROR(VLOOKUP(B282,PatData!$A$2:$A$2000,1,),"")&lt;&gt;""</f>
        <v>1</v>
      </c>
      <c r="E282">
        <v>0</v>
      </c>
      <c r="F282" t="b">
        <v>0</v>
      </c>
      <c r="G282" t="b">
        <v>1</v>
      </c>
      <c r="H282" t="b">
        <v>0</v>
      </c>
      <c r="I282" t="b">
        <v>0</v>
      </c>
    </row>
    <row r="283" spans="1:9" x14ac:dyDescent="0.2">
      <c r="A283" t="s">
        <v>3942</v>
      </c>
      <c r="B283" t="s">
        <v>2525</v>
      </c>
      <c r="D283" t="b">
        <f>IFERROR(VLOOKUP(B283,PatData!$A$2:$A$2000,1,),"")&lt;&gt;""</f>
        <v>1</v>
      </c>
      <c r="E283">
        <v>0</v>
      </c>
      <c r="F283" t="b">
        <v>0</v>
      </c>
      <c r="G283" t="b">
        <v>1</v>
      </c>
      <c r="H283" t="b">
        <v>0</v>
      </c>
      <c r="I283" t="b">
        <v>0</v>
      </c>
    </row>
    <row r="284" spans="1:9" x14ac:dyDescent="0.2">
      <c r="A284" t="s">
        <v>3943</v>
      </c>
      <c r="B284" t="s">
        <v>2526</v>
      </c>
      <c r="D284" t="b">
        <f>IFERROR(VLOOKUP(B284,PatData!$A$2:$A$2000,1,),"")&lt;&gt;""</f>
        <v>1</v>
      </c>
      <c r="E284">
        <v>0</v>
      </c>
      <c r="F284" t="b">
        <v>0</v>
      </c>
      <c r="G284" t="b">
        <v>1</v>
      </c>
      <c r="H284" t="b">
        <v>0</v>
      </c>
      <c r="I284" t="b">
        <v>0</v>
      </c>
    </row>
    <row r="285" spans="1:9" x14ac:dyDescent="0.2">
      <c r="A285" t="s">
        <v>3944</v>
      </c>
      <c r="B285" t="s">
        <v>2527</v>
      </c>
      <c r="D285" t="b">
        <f>IFERROR(VLOOKUP(B285,PatData!$A$2:$A$2000,1,),"")&lt;&gt;""</f>
        <v>1</v>
      </c>
      <c r="E285">
        <v>0</v>
      </c>
      <c r="F285" t="b">
        <v>0</v>
      </c>
      <c r="G285" t="b">
        <v>1</v>
      </c>
      <c r="H285" t="b">
        <v>0</v>
      </c>
      <c r="I285" t="b">
        <v>0</v>
      </c>
    </row>
    <row r="286" spans="1:9" x14ac:dyDescent="0.2">
      <c r="A286" t="s">
        <v>3945</v>
      </c>
      <c r="B286" t="s">
        <v>2528</v>
      </c>
      <c r="D286" t="b">
        <f>IFERROR(VLOOKUP(B286,PatData!$A$2:$A$2000,1,),"")&lt;&gt;""</f>
        <v>1</v>
      </c>
      <c r="E286">
        <v>0</v>
      </c>
      <c r="F286" t="b">
        <v>0</v>
      </c>
      <c r="G286" t="b">
        <v>1</v>
      </c>
      <c r="H286" t="b">
        <v>0</v>
      </c>
      <c r="I286" t="b">
        <v>0</v>
      </c>
    </row>
    <row r="287" spans="1:9" x14ac:dyDescent="0.2">
      <c r="A287" t="s">
        <v>3946</v>
      </c>
      <c r="B287" t="s">
        <v>2529</v>
      </c>
      <c r="D287" t="b">
        <f>IFERROR(VLOOKUP(B287,PatData!$A$2:$A$2000,1,),"")&lt;&gt;""</f>
        <v>1</v>
      </c>
      <c r="E287">
        <v>0</v>
      </c>
      <c r="F287" t="b">
        <v>0</v>
      </c>
      <c r="G287" t="b">
        <v>1</v>
      </c>
      <c r="H287" t="b">
        <v>0</v>
      </c>
      <c r="I287" t="b">
        <v>0</v>
      </c>
    </row>
    <row r="288" spans="1:9" x14ac:dyDescent="0.2">
      <c r="A288" t="s">
        <v>3947</v>
      </c>
      <c r="B288" t="s">
        <v>2530</v>
      </c>
      <c r="D288" t="b">
        <f>IFERROR(VLOOKUP(B288,PatData!$A$2:$A$2000,1,),"")&lt;&gt;""</f>
        <v>1</v>
      </c>
      <c r="E288">
        <v>0</v>
      </c>
      <c r="F288" t="b">
        <v>0</v>
      </c>
      <c r="G288" t="b">
        <v>1</v>
      </c>
      <c r="H288" t="b">
        <v>0</v>
      </c>
      <c r="I288" t="b">
        <v>0</v>
      </c>
    </row>
    <row r="289" spans="1:9" x14ac:dyDescent="0.2">
      <c r="A289" t="s">
        <v>3948</v>
      </c>
      <c r="B289" t="s">
        <v>2531</v>
      </c>
      <c r="D289" t="b">
        <f>IFERROR(VLOOKUP(B289,PatData!$A$2:$A$2000,1,),"")&lt;&gt;""</f>
        <v>1</v>
      </c>
      <c r="E289">
        <v>0</v>
      </c>
      <c r="F289" t="b">
        <v>0</v>
      </c>
      <c r="G289" t="b">
        <v>1</v>
      </c>
      <c r="H289" t="b">
        <v>0</v>
      </c>
      <c r="I289" t="b">
        <v>0</v>
      </c>
    </row>
    <row r="290" spans="1:9" x14ac:dyDescent="0.2">
      <c r="A290" t="s">
        <v>3949</v>
      </c>
      <c r="B290" t="s">
        <v>2532</v>
      </c>
      <c r="D290" t="b">
        <f>IFERROR(VLOOKUP(B290,PatData!$A$2:$A$2000,1,),"")&lt;&gt;""</f>
        <v>1</v>
      </c>
      <c r="E290">
        <v>0</v>
      </c>
      <c r="F290" t="b">
        <v>0</v>
      </c>
      <c r="G290" t="b">
        <v>1</v>
      </c>
      <c r="H290" t="b">
        <v>0</v>
      </c>
      <c r="I290" t="b">
        <v>0</v>
      </c>
    </row>
    <row r="291" spans="1:9" x14ac:dyDescent="0.2">
      <c r="A291" t="s">
        <v>3950</v>
      </c>
      <c r="B291" t="s">
        <v>2533</v>
      </c>
      <c r="D291" t="b">
        <f>IFERROR(VLOOKUP(B291,PatData!$A$2:$A$2000,1,),"")&lt;&gt;""</f>
        <v>1</v>
      </c>
      <c r="E291">
        <v>0</v>
      </c>
      <c r="F291" t="b">
        <v>0</v>
      </c>
      <c r="G291" t="b">
        <v>1</v>
      </c>
      <c r="H291" t="b">
        <v>0</v>
      </c>
      <c r="I291" t="b">
        <v>0</v>
      </c>
    </row>
    <row r="292" spans="1:9" x14ac:dyDescent="0.2">
      <c r="A292" t="s">
        <v>3951</v>
      </c>
      <c r="B292" t="s">
        <v>2534</v>
      </c>
      <c r="D292" t="b">
        <f>IFERROR(VLOOKUP(B292,PatData!$A$2:$A$2000,1,),"")&lt;&gt;""</f>
        <v>1</v>
      </c>
      <c r="E292">
        <v>0</v>
      </c>
      <c r="F292" t="b">
        <v>0</v>
      </c>
      <c r="G292" t="b">
        <v>1</v>
      </c>
      <c r="H292" t="b">
        <v>0</v>
      </c>
      <c r="I292" t="b">
        <v>0</v>
      </c>
    </row>
    <row r="293" spans="1:9" x14ac:dyDescent="0.2">
      <c r="A293" t="s">
        <v>3952</v>
      </c>
      <c r="B293" t="s">
        <v>2535</v>
      </c>
      <c r="D293" t="b">
        <f>IFERROR(VLOOKUP(B293,PatData!$A$2:$A$2000,1,),"")&lt;&gt;""</f>
        <v>1</v>
      </c>
      <c r="E293">
        <v>0</v>
      </c>
      <c r="F293" t="b">
        <v>0</v>
      </c>
      <c r="G293" t="b">
        <v>1</v>
      </c>
      <c r="H293" t="b">
        <v>0</v>
      </c>
      <c r="I293" t="b">
        <v>0</v>
      </c>
    </row>
    <row r="294" spans="1:9" x14ac:dyDescent="0.2">
      <c r="A294" t="s">
        <v>3953</v>
      </c>
      <c r="B294" t="s">
        <v>2536</v>
      </c>
      <c r="D294" t="b">
        <f>IFERROR(VLOOKUP(B294,PatData!$A$2:$A$2000,1,),"")&lt;&gt;""</f>
        <v>1</v>
      </c>
      <c r="E294">
        <v>0</v>
      </c>
      <c r="F294" t="b">
        <v>0</v>
      </c>
      <c r="G294" t="b">
        <v>1</v>
      </c>
      <c r="H294" t="b">
        <v>0</v>
      </c>
      <c r="I294" t="b">
        <v>0</v>
      </c>
    </row>
    <row r="295" spans="1:9" x14ac:dyDescent="0.2">
      <c r="A295" t="s">
        <v>3954</v>
      </c>
      <c r="B295" t="s">
        <v>2537</v>
      </c>
      <c r="D295" t="b">
        <f>IFERROR(VLOOKUP(B295,PatData!$A$2:$A$2000,1,),"")&lt;&gt;""</f>
        <v>1</v>
      </c>
      <c r="E295">
        <v>0</v>
      </c>
      <c r="F295" t="b">
        <v>0</v>
      </c>
      <c r="G295" t="b">
        <v>1</v>
      </c>
      <c r="H295" t="b">
        <v>0</v>
      </c>
      <c r="I295" t="b">
        <v>0</v>
      </c>
    </row>
    <row r="296" spans="1:9" x14ac:dyDescent="0.2">
      <c r="A296" t="s">
        <v>3955</v>
      </c>
      <c r="B296" t="s">
        <v>2538</v>
      </c>
      <c r="D296" t="b">
        <f>IFERROR(VLOOKUP(B296,PatData!$A$2:$A$2000,1,),"")&lt;&gt;""</f>
        <v>1</v>
      </c>
      <c r="E296">
        <v>0</v>
      </c>
      <c r="F296" t="b">
        <v>0</v>
      </c>
      <c r="G296" t="b">
        <v>1</v>
      </c>
      <c r="H296" t="b">
        <v>0</v>
      </c>
      <c r="I296" t="b">
        <v>0</v>
      </c>
    </row>
    <row r="297" spans="1:9" x14ac:dyDescent="0.2">
      <c r="A297" t="s">
        <v>3956</v>
      </c>
      <c r="B297" t="s">
        <v>2539</v>
      </c>
      <c r="D297" t="b">
        <f>IFERROR(VLOOKUP(B297,PatData!$A$2:$A$2000,1,),"")&lt;&gt;""</f>
        <v>1</v>
      </c>
      <c r="E297">
        <v>0</v>
      </c>
      <c r="F297" t="b">
        <v>0</v>
      </c>
      <c r="G297" t="b">
        <v>1</v>
      </c>
      <c r="H297" t="b">
        <v>0</v>
      </c>
      <c r="I297" t="b">
        <v>0</v>
      </c>
    </row>
    <row r="298" spans="1:9" x14ac:dyDescent="0.2">
      <c r="A298" t="s">
        <v>3957</v>
      </c>
      <c r="B298" t="s">
        <v>2540</v>
      </c>
      <c r="D298" t="b">
        <f>IFERROR(VLOOKUP(B298,PatData!$A$2:$A$2000,1,),"")&lt;&gt;""</f>
        <v>1</v>
      </c>
      <c r="E298">
        <v>0</v>
      </c>
      <c r="F298" t="b">
        <v>0</v>
      </c>
      <c r="G298" t="b">
        <v>1</v>
      </c>
      <c r="H298" t="b">
        <v>0</v>
      </c>
      <c r="I298" t="b">
        <v>0</v>
      </c>
    </row>
    <row r="299" spans="1:9" x14ac:dyDescent="0.2">
      <c r="A299" t="s">
        <v>3958</v>
      </c>
      <c r="B299" t="s">
        <v>2541</v>
      </c>
      <c r="D299" t="b">
        <f>IFERROR(VLOOKUP(B299,PatData!$A$2:$A$2000,1,),"")&lt;&gt;""</f>
        <v>1</v>
      </c>
      <c r="E299">
        <v>0</v>
      </c>
      <c r="F299" t="b">
        <v>0</v>
      </c>
      <c r="G299" t="b">
        <v>1</v>
      </c>
      <c r="H299" t="b">
        <v>0</v>
      </c>
      <c r="I299" t="b">
        <v>0</v>
      </c>
    </row>
    <row r="300" spans="1:9" x14ac:dyDescent="0.2">
      <c r="A300" t="s">
        <v>3959</v>
      </c>
      <c r="B300" t="s">
        <v>2542</v>
      </c>
      <c r="D300" t="b">
        <f>IFERROR(VLOOKUP(B300,PatData!$A$2:$A$2000,1,),"")&lt;&gt;""</f>
        <v>1</v>
      </c>
      <c r="E300">
        <v>0</v>
      </c>
      <c r="F300" t="b">
        <v>0</v>
      </c>
      <c r="G300" t="b">
        <v>1</v>
      </c>
      <c r="H300" t="b">
        <v>0</v>
      </c>
      <c r="I300" t="b">
        <v>0</v>
      </c>
    </row>
    <row r="301" spans="1:9" x14ac:dyDescent="0.2">
      <c r="A301" t="s">
        <v>3960</v>
      </c>
      <c r="B301" t="s">
        <v>2543</v>
      </c>
      <c r="D301" t="b">
        <f>IFERROR(VLOOKUP(B301,PatData!$A$2:$A$2000,1,),"")&lt;&gt;""</f>
        <v>1</v>
      </c>
      <c r="E301">
        <v>0</v>
      </c>
      <c r="F301" t="b">
        <v>0</v>
      </c>
      <c r="G301" t="b">
        <v>1</v>
      </c>
      <c r="H301" t="b">
        <v>0</v>
      </c>
      <c r="I301" t="b">
        <v>0</v>
      </c>
    </row>
    <row r="302" spans="1:9" x14ac:dyDescent="0.2">
      <c r="A302" t="s">
        <v>3961</v>
      </c>
      <c r="B302" t="s">
        <v>2544</v>
      </c>
      <c r="D302" t="b">
        <f>IFERROR(VLOOKUP(B302,PatData!$A$2:$A$2000,1,),"")&lt;&gt;""</f>
        <v>1</v>
      </c>
      <c r="E302">
        <v>0</v>
      </c>
      <c r="F302" t="b">
        <v>0</v>
      </c>
      <c r="G302" t="b">
        <v>1</v>
      </c>
      <c r="H302" t="b">
        <v>0</v>
      </c>
      <c r="I302" t="b">
        <v>0</v>
      </c>
    </row>
    <row r="303" spans="1:9" x14ac:dyDescent="0.2">
      <c r="A303" t="s">
        <v>3962</v>
      </c>
      <c r="B303" t="s">
        <v>2545</v>
      </c>
      <c r="D303" t="b">
        <f>IFERROR(VLOOKUP(B303,PatData!$A$2:$A$2000,1,),"")&lt;&gt;""</f>
        <v>1</v>
      </c>
      <c r="E303">
        <v>0</v>
      </c>
      <c r="F303" t="b">
        <v>0</v>
      </c>
      <c r="G303" t="b">
        <v>1</v>
      </c>
      <c r="H303" t="b">
        <v>0</v>
      </c>
      <c r="I303" t="b">
        <v>0</v>
      </c>
    </row>
    <row r="304" spans="1:9" x14ac:dyDescent="0.2">
      <c r="A304" t="s">
        <v>3963</v>
      </c>
      <c r="B304" t="s">
        <v>2546</v>
      </c>
      <c r="D304" t="b">
        <f>IFERROR(VLOOKUP(B304,PatData!$A$2:$A$2000,1,),"")&lt;&gt;""</f>
        <v>1</v>
      </c>
      <c r="E304">
        <v>0</v>
      </c>
      <c r="F304" t="b">
        <v>0</v>
      </c>
      <c r="G304" t="b">
        <v>1</v>
      </c>
      <c r="H304" t="b">
        <v>0</v>
      </c>
      <c r="I304" t="b">
        <v>0</v>
      </c>
    </row>
    <row r="305" spans="1:9" x14ac:dyDescent="0.2">
      <c r="A305" t="s">
        <v>3964</v>
      </c>
      <c r="B305" t="s">
        <v>2547</v>
      </c>
      <c r="D305" t="b">
        <f>IFERROR(VLOOKUP(B305,PatData!$A$2:$A$2000,1,),"")&lt;&gt;""</f>
        <v>1</v>
      </c>
      <c r="E305">
        <v>0</v>
      </c>
      <c r="F305" t="b">
        <v>0</v>
      </c>
      <c r="G305" t="b">
        <v>1</v>
      </c>
      <c r="H305" t="b">
        <v>0</v>
      </c>
      <c r="I305" t="b">
        <v>0</v>
      </c>
    </row>
    <row r="306" spans="1:9" x14ac:dyDescent="0.2">
      <c r="A306" t="s">
        <v>3965</v>
      </c>
      <c r="B306" t="s">
        <v>2548</v>
      </c>
      <c r="D306" t="b">
        <f>IFERROR(VLOOKUP(B306,PatData!$A$2:$A$2000,1,),"")&lt;&gt;""</f>
        <v>1</v>
      </c>
      <c r="E306">
        <v>0</v>
      </c>
      <c r="F306" t="b">
        <v>0</v>
      </c>
      <c r="G306" t="b">
        <v>1</v>
      </c>
      <c r="H306" t="b">
        <v>0</v>
      </c>
      <c r="I306" t="b">
        <v>0</v>
      </c>
    </row>
    <row r="307" spans="1:9" x14ac:dyDescent="0.2">
      <c r="A307" t="s">
        <v>3966</v>
      </c>
      <c r="B307" t="s">
        <v>2549</v>
      </c>
      <c r="D307" t="b">
        <f>IFERROR(VLOOKUP(B307,PatData!$A$2:$A$2000,1,),"")&lt;&gt;""</f>
        <v>1</v>
      </c>
      <c r="E307">
        <v>0</v>
      </c>
      <c r="F307" t="b">
        <v>0</v>
      </c>
      <c r="G307" t="b">
        <v>1</v>
      </c>
      <c r="H307" t="b">
        <v>0</v>
      </c>
      <c r="I307" t="b">
        <v>0</v>
      </c>
    </row>
    <row r="308" spans="1:9" x14ac:dyDescent="0.2">
      <c r="A308" t="s">
        <v>3967</v>
      </c>
      <c r="B308" t="s">
        <v>2550</v>
      </c>
      <c r="D308" t="b">
        <f>IFERROR(VLOOKUP(B308,PatData!$A$2:$A$2000,1,),"")&lt;&gt;""</f>
        <v>1</v>
      </c>
      <c r="E308">
        <v>0</v>
      </c>
      <c r="F308" t="b">
        <v>0</v>
      </c>
      <c r="G308" t="b">
        <v>1</v>
      </c>
      <c r="H308" t="b">
        <v>0</v>
      </c>
      <c r="I308" t="b">
        <v>0</v>
      </c>
    </row>
    <row r="309" spans="1:9" x14ac:dyDescent="0.2">
      <c r="A309" t="s">
        <v>3968</v>
      </c>
      <c r="B309" t="s">
        <v>2551</v>
      </c>
      <c r="D309" t="b">
        <f>IFERROR(VLOOKUP(B309,PatData!$A$2:$A$2000,1,),"")&lt;&gt;""</f>
        <v>1</v>
      </c>
      <c r="E309">
        <v>0</v>
      </c>
      <c r="F309" t="b">
        <v>0</v>
      </c>
      <c r="G309" t="b">
        <v>1</v>
      </c>
      <c r="H309" t="b">
        <v>0</v>
      </c>
      <c r="I309" t="b">
        <v>0</v>
      </c>
    </row>
    <row r="310" spans="1:9" x14ac:dyDescent="0.2">
      <c r="A310" t="s">
        <v>4511</v>
      </c>
      <c r="B310" t="s">
        <v>2552</v>
      </c>
      <c r="D310" t="b">
        <f>IFERROR(VLOOKUP(B310,PatData!$A$2:$A$2000,1,),"")&lt;&gt;""</f>
        <v>1</v>
      </c>
      <c r="E310"/>
      <c r="F310" t="b">
        <v>0</v>
      </c>
      <c r="G310" t="b">
        <v>1</v>
      </c>
      <c r="H310" t="b">
        <v>0</v>
      </c>
      <c r="I310" t="b">
        <v>0</v>
      </c>
    </row>
    <row r="311" spans="1:9" x14ac:dyDescent="0.2">
      <c r="A311" t="s">
        <v>4512</v>
      </c>
      <c r="B311" t="s">
        <v>2553</v>
      </c>
      <c r="D311" t="b">
        <f>IFERROR(VLOOKUP(B311,PatData!$A$2:$A$2000,1,),"")&lt;&gt;""</f>
        <v>1</v>
      </c>
      <c r="E311"/>
      <c r="F311" t="b">
        <v>0</v>
      </c>
      <c r="G311" t="b">
        <v>1</v>
      </c>
      <c r="H311" t="b">
        <v>0</v>
      </c>
      <c r="I311" t="b">
        <v>0</v>
      </c>
    </row>
    <row r="312" spans="1:9" x14ac:dyDescent="0.2">
      <c r="A312" t="s">
        <v>4513</v>
      </c>
      <c r="B312" t="s">
        <v>2554</v>
      </c>
      <c r="D312" t="b">
        <f>IFERROR(VLOOKUP(B312,PatData!$A$2:$A$2000,1,),"")&lt;&gt;""</f>
        <v>1</v>
      </c>
      <c r="E312"/>
      <c r="F312" t="b">
        <v>0</v>
      </c>
      <c r="G312" t="b">
        <v>1</v>
      </c>
      <c r="H312" t="b">
        <v>0</v>
      </c>
      <c r="I312" t="b">
        <v>0</v>
      </c>
    </row>
    <row r="313" spans="1:9" x14ac:dyDescent="0.2">
      <c r="A313" t="s">
        <v>4514</v>
      </c>
      <c r="B313" t="s">
        <v>2555</v>
      </c>
      <c r="D313" t="b">
        <f>IFERROR(VLOOKUP(B313,PatData!$A$2:$A$2000,1,),"")&lt;&gt;""</f>
        <v>1</v>
      </c>
      <c r="E313"/>
      <c r="F313" t="b">
        <v>0</v>
      </c>
      <c r="G313" t="b">
        <v>1</v>
      </c>
      <c r="H313" t="b">
        <v>0</v>
      </c>
      <c r="I313" t="b">
        <v>0</v>
      </c>
    </row>
    <row r="314" spans="1:9" x14ac:dyDescent="0.2">
      <c r="A314" t="s">
        <v>4515</v>
      </c>
      <c r="B314" t="s">
        <v>2556</v>
      </c>
      <c r="D314" t="b">
        <f>IFERROR(VLOOKUP(B314,PatData!$A$2:$A$2000,1,),"")&lt;&gt;""</f>
        <v>1</v>
      </c>
      <c r="E314"/>
      <c r="F314" t="b">
        <v>0</v>
      </c>
      <c r="G314" t="b">
        <v>1</v>
      </c>
      <c r="H314" t="b">
        <v>0</v>
      </c>
      <c r="I314" t="b">
        <v>0</v>
      </c>
    </row>
    <row r="315" spans="1:9" x14ac:dyDescent="0.2">
      <c r="A315" t="s">
        <v>4516</v>
      </c>
      <c r="B315" t="s">
        <v>2557</v>
      </c>
      <c r="D315" t="b">
        <f>IFERROR(VLOOKUP(B315,PatData!$A$2:$A$2000,1,),"")&lt;&gt;""</f>
        <v>1</v>
      </c>
      <c r="E315"/>
      <c r="F315" t="b">
        <v>0</v>
      </c>
      <c r="G315" t="b">
        <v>1</v>
      </c>
      <c r="H315" t="b">
        <v>0</v>
      </c>
      <c r="I315" t="b">
        <v>0</v>
      </c>
    </row>
    <row r="316" spans="1:9" x14ac:dyDescent="0.2">
      <c r="A316" t="s">
        <v>4517</v>
      </c>
      <c r="B316" t="s">
        <v>2558</v>
      </c>
      <c r="D316" t="b">
        <f>IFERROR(VLOOKUP(B316,PatData!$A$2:$A$2000,1,),"")&lt;&gt;""</f>
        <v>1</v>
      </c>
      <c r="E316"/>
      <c r="F316" t="b">
        <v>0</v>
      </c>
      <c r="G316" t="b">
        <v>1</v>
      </c>
      <c r="H316" t="b">
        <v>0</v>
      </c>
      <c r="I316" t="b">
        <v>0</v>
      </c>
    </row>
    <row r="317" spans="1:9" x14ac:dyDescent="0.2">
      <c r="A317" t="s">
        <v>4518</v>
      </c>
      <c r="B317" t="s">
        <v>2559</v>
      </c>
      <c r="D317" t="b">
        <f>IFERROR(VLOOKUP(B317,PatData!$A$2:$A$2000,1,),"")&lt;&gt;""</f>
        <v>1</v>
      </c>
      <c r="E317"/>
      <c r="F317" t="b">
        <v>0</v>
      </c>
      <c r="G317" t="b">
        <v>1</v>
      </c>
      <c r="H317" t="b">
        <v>0</v>
      </c>
      <c r="I317" t="b">
        <v>0</v>
      </c>
    </row>
    <row r="318" spans="1:9" x14ac:dyDescent="0.2">
      <c r="A318" t="s">
        <v>4519</v>
      </c>
      <c r="B318" t="s">
        <v>2560</v>
      </c>
      <c r="D318" t="b">
        <f>IFERROR(VLOOKUP(B318,PatData!$A$2:$A$2000,1,),"")&lt;&gt;""</f>
        <v>1</v>
      </c>
      <c r="E318"/>
      <c r="F318" t="b">
        <v>0</v>
      </c>
      <c r="G318" t="b">
        <v>1</v>
      </c>
      <c r="H318" t="b">
        <v>0</v>
      </c>
      <c r="I318" t="b">
        <v>0</v>
      </c>
    </row>
    <row r="319" spans="1:9" x14ac:dyDescent="0.2">
      <c r="A319" t="s">
        <v>4520</v>
      </c>
      <c r="B319" t="s">
        <v>2561</v>
      </c>
      <c r="D319" t="b">
        <f>IFERROR(VLOOKUP(B319,PatData!$A$2:$A$2000,1,),"")&lt;&gt;""</f>
        <v>1</v>
      </c>
      <c r="E319"/>
      <c r="F319" t="b">
        <v>0</v>
      </c>
      <c r="G319" t="b">
        <v>1</v>
      </c>
      <c r="H319" t="b">
        <v>0</v>
      </c>
      <c r="I319" t="b">
        <v>0</v>
      </c>
    </row>
    <row r="320" spans="1:9" x14ac:dyDescent="0.2">
      <c r="A320" t="s">
        <v>4521</v>
      </c>
      <c r="B320" t="s">
        <v>2562</v>
      </c>
      <c r="D320" t="b">
        <f>IFERROR(VLOOKUP(B320,PatData!$A$2:$A$2000,1,),"")&lt;&gt;""</f>
        <v>1</v>
      </c>
      <c r="E320"/>
      <c r="F320" t="b">
        <v>0</v>
      </c>
      <c r="G320" t="b">
        <v>1</v>
      </c>
      <c r="H320" t="b">
        <v>0</v>
      </c>
      <c r="I320" t="b">
        <v>0</v>
      </c>
    </row>
    <row r="321" spans="1:9" x14ac:dyDescent="0.2">
      <c r="A321" t="s">
        <v>4522</v>
      </c>
      <c r="B321" t="s">
        <v>2563</v>
      </c>
      <c r="D321" t="b">
        <f>IFERROR(VLOOKUP(B321,PatData!$A$2:$A$2000,1,),"")&lt;&gt;""</f>
        <v>1</v>
      </c>
      <c r="E321"/>
      <c r="F321" t="b">
        <v>0</v>
      </c>
      <c r="G321" t="b">
        <v>1</v>
      </c>
      <c r="H321" t="b">
        <v>0</v>
      </c>
      <c r="I321" t="b">
        <v>0</v>
      </c>
    </row>
    <row r="322" spans="1:9" x14ac:dyDescent="0.2">
      <c r="A322" t="s">
        <v>4523</v>
      </c>
      <c r="B322" t="s">
        <v>2564</v>
      </c>
      <c r="D322" t="b">
        <f>IFERROR(VLOOKUP(B322,PatData!$A$2:$A$2000,1,),"")&lt;&gt;""</f>
        <v>1</v>
      </c>
      <c r="E322"/>
      <c r="F322" t="b">
        <v>0</v>
      </c>
      <c r="G322" t="b">
        <v>1</v>
      </c>
      <c r="H322" t="b">
        <v>0</v>
      </c>
      <c r="I322" t="b">
        <v>0</v>
      </c>
    </row>
    <row r="323" spans="1:9" x14ac:dyDescent="0.2">
      <c r="A323" t="s">
        <v>4524</v>
      </c>
      <c r="B323" t="s">
        <v>2565</v>
      </c>
      <c r="D323" t="b">
        <f>IFERROR(VLOOKUP(B323,PatData!$A$2:$A$2000,1,),"")&lt;&gt;""</f>
        <v>1</v>
      </c>
      <c r="E323"/>
      <c r="F323" t="b">
        <v>0</v>
      </c>
      <c r="G323" t="b">
        <v>1</v>
      </c>
      <c r="H323" t="b">
        <v>0</v>
      </c>
      <c r="I323" t="b">
        <v>0</v>
      </c>
    </row>
    <row r="324" spans="1:9" x14ac:dyDescent="0.2">
      <c r="A324" t="s">
        <v>4525</v>
      </c>
      <c r="B324" t="s">
        <v>2566</v>
      </c>
      <c r="D324" t="b">
        <f>IFERROR(VLOOKUP(B324,PatData!$A$2:$A$2000,1,),"")&lt;&gt;""</f>
        <v>1</v>
      </c>
      <c r="E324"/>
      <c r="F324" t="b">
        <v>0</v>
      </c>
      <c r="G324" t="b">
        <v>1</v>
      </c>
      <c r="H324" t="b">
        <v>0</v>
      </c>
      <c r="I324" t="b">
        <v>0</v>
      </c>
    </row>
    <row r="325" spans="1:9" x14ac:dyDescent="0.2">
      <c r="A325" t="s">
        <v>4526</v>
      </c>
      <c r="B325" t="s">
        <v>2567</v>
      </c>
      <c r="D325" t="b">
        <f>IFERROR(VLOOKUP(B325,PatData!$A$2:$A$2000,1,),"")&lt;&gt;""</f>
        <v>1</v>
      </c>
      <c r="E325"/>
      <c r="F325" t="b">
        <v>0</v>
      </c>
      <c r="G325" t="b">
        <v>1</v>
      </c>
      <c r="H325" t="b">
        <v>0</v>
      </c>
      <c r="I325" t="b">
        <v>0</v>
      </c>
    </row>
    <row r="326" spans="1:9" x14ac:dyDescent="0.2">
      <c r="A326" t="s">
        <v>4527</v>
      </c>
      <c r="B326" t="s">
        <v>2568</v>
      </c>
      <c r="D326" t="b">
        <f>IFERROR(VLOOKUP(B326,PatData!$A$2:$A$2000,1,),"")&lt;&gt;""</f>
        <v>1</v>
      </c>
      <c r="E326"/>
      <c r="F326" t="b">
        <v>0</v>
      </c>
      <c r="G326" t="b">
        <v>1</v>
      </c>
      <c r="H326" t="b">
        <v>0</v>
      </c>
      <c r="I326" t="b">
        <v>0</v>
      </c>
    </row>
    <row r="327" spans="1:9" x14ac:dyDescent="0.2">
      <c r="A327" t="s">
        <v>4528</v>
      </c>
      <c r="B327" t="s">
        <v>2569</v>
      </c>
      <c r="D327" t="b">
        <f>IFERROR(VLOOKUP(B327,PatData!$A$2:$A$2000,1,),"")&lt;&gt;""</f>
        <v>1</v>
      </c>
      <c r="E327"/>
      <c r="F327" t="b">
        <v>0</v>
      </c>
      <c r="G327" t="b">
        <v>1</v>
      </c>
      <c r="H327" t="b">
        <v>0</v>
      </c>
      <c r="I327" t="b">
        <v>0</v>
      </c>
    </row>
    <row r="328" spans="1:9" x14ac:dyDescent="0.2">
      <c r="A328" t="s">
        <v>4529</v>
      </c>
      <c r="B328" t="s">
        <v>2570</v>
      </c>
      <c r="D328" t="b">
        <f>IFERROR(VLOOKUP(B328,PatData!$A$2:$A$2000,1,),"")&lt;&gt;""</f>
        <v>1</v>
      </c>
      <c r="E328"/>
      <c r="F328" t="b">
        <v>0</v>
      </c>
      <c r="G328" t="b">
        <v>1</v>
      </c>
      <c r="H328" t="b">
        <v>0</v>
      </c>
      <c r="I328" t="b">
        <v>0</v>
      </c>
    </row>
    <row r="329" spans="1:9" x14ac:dyDescent="0.2">
      <c r="A329" t="s">
        <v>4530</v>
      </c>
      <c r="B329" t="s">
        <v>2571</v>
      </c>
      <c r="D329" t="b">
        <f>IFERROR(VLOOKUP(B329,PatData!$A$2:$A$2000,1,),"")&lt;&gt;""</f>
        <v>1</v>
      </c>
      <c r="E329"/>
      <c r="F329" t="b">
        <v>0</v>
      </c>
      <c r="G329" t="b">
        <v>1</v>
      </c>
      <c r="H329" t="b">
        <v>0</v>
      </c>
      <c r="I329" t="b">
        <v>0</v>
      </c>
    </row>
    <row r="330" spans="1:9" x14ac:dyDescent="0.2">
      <c r="A330" t="s">
        <v>4531</v>
      </c>
      <c r="B330" t="s">
        <v>2572</v>
      </c>
      <c r="D330" t="b">
        <f>IFERROR(VLOOKUP(B330,PatData!$A$2:$A$2000,1,),"")&lt;&gt;""</f>
        <v>1</v>
      </c>
      <c r="E330"/>
      <c r="F330" t="b">
        <v>0</v>
      </c>
      <c r="G330" t="b">
        <v>1</v>
      </c>
      <c r="H330" t="b">
        <v>0</v>
      </c>
      <c r="I330" t="b">
        <v>0</v>
      </c>
    </row>
    <row r="331" spans="1:9" x14ac:dyDescent="0.2">
      <c r="A331" t="s">
        <v>4532</v>
      </c>
      <c r="B331" t="s">
        <v>2573</v>
      </c>
      <c r="D331" t="b">
        <f>IFERROR(VLOOKUP(B331,PatData!$A$2:$A$2000,1,),"")&lt;&gt;""</f>
        <v>1</v>
      </c>
      <c r="E331"/>
      <c r="F331" t="b">
        <v>0</v>
      </c>
      <c r="G331" t="b">
        <v>1</v>
      </c>
      <c r="H331" t="b">
        <v>0</v>
      </c>
      <c r="I331" t="b">
        <v>0</v>
      </c>
    </row>
    <row r="332" spans="1:9" x14ac:dyDescent="0.2">
      <c r="A332" t="s">
        <v>4533</v>
      </c>
      <c r="B332" t="s">
        <v>2574</v>
      </c>
      <c r="D332" t="b">
        <f>IFERROR(VLOOKUP(B332,PatData!$A$2:$A$2000,1,),"")&lt;&gt;""</f>
        <v>1</v>
      </c>
      <c r="E332"/>
      <c r="F332" t="b">
        <v>0</v>
      </c>
      <c r="G332" t="b">
        <v>1</v>
      </c>
      <c r="H332" t="b">
        <v>0</v>
      </c>
      <c r="I332" t="b">
        <v>0</v>
      </c>
    </row>
    <row r="333" spans="1:9" x14ac:dyDescent="0.2">
      <c r="A333" t="s">
        <v>4534</v>
      </c>
      <c r="B333" t="s">
        <v>2575</v>
      </c>
      <c r="D333" t="b">
        <f>IFERROR(VLOOKUP(B333,PatData!$A$2:$A$2000,1,),"")&lt;&gt;""</f>
        <v>1</v>
      </c>
      <c r="E333"/>
      <c r="F333" t="b">
        <v>0</v>
      </c>
      <c r="G333" t="b">
        <v>1</v>
      </c>
      <c r="H333" t="b">
        <v>0</v>
      </c>
      <c r="I333" t="b">
        <v>0</v>
      </c>
    </row>
    <row r="334" spans="1:9" x14ac:dyDescent="0.2">
      <c r="A334" t="s">
        <v>4535</v>
      </c>
      <c r="B334" t="s">
        <v>2576</v>
      </c>
      <c r="D334" t="b">
        <f>IFERROR(VLOOKUP(B334,PatData!$A$2:$A$2000,1,),"")&lt;&gt;""</f>
        <v>1</v>
      </c>
      <c r="E334"/>
      <c r="F334" t="b">
        <v>0</v>
      </c>
      <c r="G334" t="b">
        <v>1</v>
      </c>
      <c r="H334" t="b">
        <v>0</v>
      </c>
      <c r="I334" t="b">
        <v>0</v>
      </c>
    </row>
    <row r="335" spans="1:9" x14ac:dyDescent="0.2">
      <c r="A335" t="s">
        <v>4536</v>
      </c>
      <c r="B335" t="s">
        <v>2577</v>
      </c>
      <c r="D335" t="b">
        <f>IFERROR(VLOOKUP(B335,PatData!$A$2:$A$2000,1,),"")&lt;&gt;""</f>
        <v>1</v>
      </c>
      <c r="E335"/>
      <c r="F335" t="b">
        <v>0</v>
      </c>
      <c r="G335" t="b">
        <v>1</v>
      </c>
      <c r="H335" t="b">
        <v>0</v>
      </c>
      <c r="I335" t="b">
        <v>0</v>
      </c>
    </row>
    <row r="336" spans="1:9" x14ac:dyDescent="0.2">
      <c r="A336" t="s">
        <v>4537</v>
      </c>
      <c r="B336" t="s">
        <v>2578</v>
      </c>
      <c r="D336" t="b">
        <f>IFERROR(VLOOKUP(B336,PatData!$A$2:$A$2000,1,),"")&lt;&gt;""</f>
        <v>1</v>
      </c>
      <c r="E336"/>
      <c r="F336" t="b">
        <v>0</v>
      </c>
      <c r="G336" t="b">
        <v>1</v>
      </c>
      <c r="H336" t="b">
        <v>0</v>
      </c>
      <c r="I336" t="b">
        <v>0</v>
      </c>
    </row>
    <row r="337" spans="1:9" x14ac:dyDescent="0.2">
      <c r="A337" t="s">
        <v>4538</v>
      </c>
      <c r="B337" t="s">
        <v>2579</v>
      </c>
      <c r="D337" t="b">
        <f>IFERROR(VLOOKUP(B337,PatData!$A$2:$A$2000,1,),"")&lt;&gt;""</f>
        <v>1</v>
      </c>
      <c r="E337"/>
      <c r="F337" t="b">
        <v>0</v>
      </c>
      <c r="G337" t="b">
        <v>1</v>
      </c>
      <c r="H337" t="b">
        <v>0</v>
      </c>
      <c r="I337" t="b">
        <v>0</v>
      </c>
    </row>
    <row r="338" spans="1:9" x14ac:dyDescent="0.2">
      <c r="A338" t="s">
        <v>4539</v>
      </c>
      <c r="B338" t="s">
        <v>2580</v>
      </c>
      <c r="D338" t="b">
        <f>IFERROR(VLOOKUP(B338,PatData!$A$2:$A$2000,1,),"")&lt;&gt;""</f>
        <v>1</v>
      </c>
      <c r="E338"/>
      <c r="F338" t="b">
        <v>0</v>
      </c>
      <c r="G338" t="b">
        <v>1</v>
      </c>
      <c r="H338" t="b">
        <v>0</v>
      </c>
      <c r="I338" t="b">
        <v>0</v>
      </c>
    </row>
    <row r="339" spans="1:9" x14ac:dyDescent="0.2">
      <c r="A339" t="s">
        <v>4540</v>
      </c>
      <c r="B339" t="s">
        <v>2581</v>
      </c>
      <c r="D339" t="b">
        <f>IFERROR(VLOOKUP(B339,PatData!$A$2:$A$2000,1,),"")&lt;&gt;""</f>
        <v>1</v>
      </c>
      <c r="E339"/>
      <c r="F339" t="b">
        <v>0</v>
      </c>
      <c r="G339" t="b">
        <v>1</v>
      </c>
      <c r="H339" t="b">
        <v>0</v>
      </c>
      <c r="I339" t="b">
        <v>0</v>
      </c>
    </row>
    <row r="340" spans="1:9" x14ac:dyDescent="0.2">
      <c r="A340" t="s">
        <v>3639</v>
      </c>
      <c r="B340" t="s">
        <v>4541</v>
      </c>
      <c r="D340" t="b">
        <f>IFERROR(VLOOKUP(B340,PatData!$A$2:$A$2000,1,),"")&lt;&gt;""</f>
        <v>1</v>
      </c>
      <c r="E340" t="b">
        <v>0</v>
      </c>
      <c r="F340" t="b">
        <v>0</v>
      </c>
      <c r="G340" t="b">
        <v>1</v>
      </c>
      <c r="H340" t="b">
        <v>0</v>
      </c>
      <c r="I340" t="b">
        <v>0</v>
      </c>
    </row>
    <row r="341" spans="1:9" x14ac:dyDescent="0.2">
      <c r="A341" t="s">
        <v>3640</v>
      </c>
      <c r="B341" t="s">
        <v>4542</v>
      </c>
      <c r="D341" t="b">
        <f>IFERROR(VLOOKUP(B341,PatData!$A$2:$A$2000,1,),"")&lt;&gt;""</f>
        <v>1</v>
      </c>
      <c r="E341" t="b">
        <v>0</v>
      </c>
      <c r="F341" t="b">
        <v>0</v>
      </c>
      <c r="G341" t="b">
        <v>1</v>
      </c>
      <c r="H341" t="b">
        <v>0</v>
      </c>
      <c r="I341" t="b">
        <v>0</v>
      </c>
    </row>
    <row r="342" spans="1:9" x14ac:dyDescent="0.2">
      <c r="A342" t="s">
        <v>3641</v>
      </c>
      <c r="B342" t="s">
        <v>4543</v>
      </c>
      <c r="D342" t="b">
        <f>IFERROR(VLOOKUP(B342,PatData!$A$2:$A$2000,1,),"")&lt;&gt;""</f>
        <v>1</v>
      </c>
      <c r="E342" t="b">
        <v>0</v>
      </c>
      <c r="F342" t="b">
        <v>0</v>
      </c>
      <c r="G342" t="b">
        <v>1</v>
      </c>
      <c r="H342" t="b">
        <v>0</v>
      </c>
      <c r="I342" t="b">
        <v>0</v>
      </c>
    </row>
    <row r="343" spans="1:9" x14ac:dyDescent="0.2">
      <c r="A343" t="s">
        <v>3642</v>
      </c>
      <c r="B343" t="s">
        <v>4544</v>
      </c>
      <c r="D343" t="b">
        <f>IFERROR(VLOOKUP(B343,PatData!$A$2:$A$2000,1,),"")&lt;&gt;""</f>
        <v>1</v>
      </c>
      <c r="E343" t="b">
        <v>0</v>
      </c>
      <c r="F343" t="b">
        <v>0</v>
      </c>
      <c r="G343" t="b">
        <v>1</v>
      </c>
      <c r="H343" t="b">
        <v>0</v>
      </c>
      <c r="I343" t="b">
        <v>0</v>
      </c>
    </row>
    <row r="344" spans="1:9" x14ac:dyDescent="0.2">
      <c r="A344" t="s">
        <v>3643</v>
      </c>
      <c r="B344" t="s">
        <v>4545</v>
      </c>
      <c r="D344" t="b">
        <f>IFERROR(VLOOKUP(B344,PatData!$A$2:$A$2000,1,),"")&lt;&gt;""</f>
        <v>1</v>
      </c>
      <c r="E344" t="b">
        <v>0</v>
      </c>
      <c r="F344" t="b">
        <v>0</v>
      </c>
      <c r="G344" t="b">
        <v>1</v>
      </c>
      <c r="H344" t="b">
        <v>0</v>
      </c>
      <c r="I344" t="b">
        <v>0</v>
      </c>
    </row>
    <row r="345" spans="1:9" x14ac:dyDescent="0.2">
      <c r="A345" t="s">
        <v>3644</v>
      </c>
      <c r="B345" t="s">
        <v>4546</v>
      </c>
      <c r="D345" t="b">
        <f>IFERROR(VLOOKUP(B345,PatData!$A$2:$A$2000,1,),"")&lt;&gt;""</f>
        <v>1</v>
      </c>
      <c r="E345" t="b">
        <v>0</v>
      </c>
      <c r="F345" t="b">
        <v>0</v>
      </c>
      <c r="G345" t="b">
        <v>1</v>
      </c>
      <c r="H345" t="b">
        <v>0</v>
      </c>
      <c r="I345" t="b">
        <v>0</v>
      </c>
    </row>
    <row r="346" spans="1:9" x14ac:dyDescent="0.2">
      <c r="A346" t="s">
        <v>3645</v>
      </c>
      <c r="B346" t="s">
        <v>4547</v>
      </c>
      <c r="D346" t="b">
        <f>IFERROR(VLOOKUP(B346,PatData!$A$2:$A$2000,1,),"")&lt;&gt;""</f>
        <v>1</v>
      </c>
      <c r="E346" t="b">
        <v>0</v>
      </c>
      <c r="F346" t="b">
        <v>0</v>
      </c>
      <c r="G346" t="b">
        <v>1</v>
      </c>
      <c r="H346" t="b">
        <v>0</v>
      </c>
      <c r="I346" t="b">
        <v>0</v>
      </c>
    </row>
    <row r="347" spans="1:9" x14ac:dyDescent="0.2">
      <c r="A347" t="s">
        <v>3646</v>
      </c>
      <c r="B347" t="s">
        <v>4548</v>
      </c>
      <c r="D347" t="b">
        <f>IFERROR(VLOOKUP(B347,PatData!$A$2:$A$2000,1,),"")&lt;&gt;""</f>
        <v>1</v>
      </c>
      <c r="E347" t="b">
        <v>0</v>
      </c>
      <c r="F347" t="b">
        <v>0</v>
      </c>
      <c r="G347" t="b">
        <v>1</v>
      </c>
      <c r="H347" t="b">
        <v>0</v>
      </c>
      <c r="I347" t="b">
        <v>0</v>
      </c>
    </row>
    <row r="348" spans="1:9" x14ac:dyDescent="0.2">
      <c r="A348" t="s">
        <v>3647</v>
      </c>
      <c r="B348" t="s">
        <v>4549</v>
      </c>
      <c r="D348" t="b">
        <f>IFERROR(VLOOKUP(B348,PatData!$A$2:$A$2000,1,),"")&lt;&gt;""</f>
        <v>1</v>
      </c>
      <c r="E348" t="b">
        <v>0</v>
      </c>
      <c r="F348" t="b">
        <v>0</v>
      </c>
      <c r="G348" t="b">
        <v>1</v>
      </c>
      <c r="H348" t="b">
        <v>0</v>
      </c>
      <c r="I348" t="b">
        <v>0</v>
      </c>
    </row>
    <row r="349" spans="1:9" x14ac:dyDescent="0.2">
      <c r="A349" t="s">
        <v>3648</v>
      </c>
      <c r="B349" t="s">
        <v>4550</v>
      </c>
      <c r="D349" t="b">
        <f>IFERROR(VLOOKUP(B349,PatData!$A$2:$A$2000,1,),"")&lt;&gt;""</f>
        <v>1</v>
      </c>
      <c r="E349" t="b">
        <v>0</v>
      </c>
      <c r="F349" t="b">
        <v>0</v>
      </c>
      <c r="G349" t="b">
        <v>1</v>
      </c>
      <c r="H349" t="b">
        <v>0</v>
      </c>
      <c r="I349" t="b">
        <v>0</v>
      </c>
    </row>
    <row r="350" spans="1:9" x14ac:dyDescent="0.2">
      <c r="A350" t="s">
        <v>3649</v>
      </c>
      <c r="B350" t="s">
        <v>4551</v>
      </c>
      <c r="D350" t="b">
        <f>IFERROR(VLOOKUP(B350,PatData!$A$2:$A$2000,1,),"")&lt;&gt;""</f>
        <v>1</v>
      </c>
      <c r="E350" t="b">
        <v>0</v>
      </c>
      <c r="F350" t="b">
        <v>0</v>
      </c>
      <c r="G350" t="b">
        <v>1</v>
      </c>
      <c r="H350" t="b">
        <v>0</v>
      </c>
      <c r="I350" t="b">
        <v>0</v>
      </c>
    </row>
    <row r="351" spans="1:9" x14ac:dyDescent="0.2">
      <c r="A351" t="s">
        <v>3650</v>
      </c>
      <c r="B351" t="s">
        <v>4552</v>
      </c>
      <c r="D351" t="b">
        <f>IFERROR(VLOOKUP(B351,PatData!$A$2:$A$2000,1,),"")&lt;&gt;""</f>
        <v>1</v>
      </c>
      <c r="E351" t="b">
        <v>0</v>
      </c>
      <c r="F351" t="b">
        <v>0</v>
      </c>
      <c r="G351" t="b">
        <v>1</v>
      </c>
      <c r="H351" t="b">
        <v>0</v>
      </c>
      <c r="I351" t="b">
        <v>0</v>
      </c>
    </row>
    <row r="352" spans="1:9" x14ac:dyDescent="0.2">
      <c r="A352" t="s">
        <v>3651</v>
      </c>
      <c r="B352" t="s">
        <v>4553</v>
      </c>
      <c r="D352" t="b">
        <f>IFERROR(VLOOKUP(B352,PatData!$A$2:$A$2000,1,),"")&lt;&gt;""</f>
        <v>1</v>
      </c>
      <c r="E352" t="b">
        <v>0</v>
      </c>
      <c r="F352" t="b">
        <v>0</v>
      </c>
      <c r="G352" t="b">
        <v>1</v>
      </c>
      <c r="H352" t="b">
        <v>0</v>
      </c>
      <c r="I352" t="b">
        <v>0</v>
      </c>
    </row>
    <row r="353" spans="1:9" x14ac:dyDescent="0.2">
      <c r="A353" t="s">
        <v>3652</v>
      </c>
      <c r="B353" t="s">
        <v>4554</v>
      </c>
      <c r="D353" t="b">
        <f>IFERROR(VLOOKUP(B353,PatData!$A$2:$A$2000,1,),"")&lt;&gt;""</f>
        <v>1</v>
      </c>
      <c r="E353" t="b">
        <v>0</v>
      </c>
      <c r="F353" t="b">
        <v>0</v>
      </c>
      <c r="G353" t="b">
        <v>1</v>
      </c>
      <c r="H353" t="b">
        <v>0</v>
      </c>
      <c r="I353" t="b">
        <v>0</v>
      </c>
    </row>
    <row r="354" spans="1:9" x14ac:dyDescent="0.2">
      <c r="A354" t="s">
        <v>3653</v>
      </c>
      <c r="B354" t="s">
        <v>4555</v>
      </c>
      <c r="D354" t="b">
        <f>IFERROR(VLOOKUP(B354,PatData!$A$2:$A$2000,1,),"")&lt;&gt;""</f>
        <v>1</v>
      </c>
      <c r="E354" t="b">
        <v>0</v>
      </c>
      <c r="F354" t="b">
        <v>0</v>
      </c>
      <c r="G354" t="b">
        <v>1</v>
      </c>
      <c r="H354" t="b">
        <v>0</v>
      </c>
      <c r="I354" t="b">
        <v>0</v>
      </c>
    </row>
    <row r="355" spans="1:9" x14ac:dyDescent="0.2">
      <c r="A355" t="s">
        <v>3654</v>
      </c>
      <c r="B355" t="s">
        <v>4556</v>
      </c>
      <c r="D355" t="b">
        <f>IFERROR(VLOOKUP(B355,PatData!$A$2:$A$2000,1,),"")&lt;&gt;""</f>
        <v>1</v>
      </c>
      <c r="E355" t="b">
        <v>0</v>
      </c>
      <c r="F355" t="b">
        <v>0</v>
      </c>
      <c r="G355" t="b">
        <v>1</v>
      </c>
      <c r="H355" t="b">
        <v>0</v>
      </c>
      <c r="I355" t="b">
        <v>0</v>
      </c>
    </row>
    <row r="356" spans="1:9" x14ac:dyDescent="0.2">
      <c r="A356" t="s">
        <v>3655</v>
      </c>
      <c r="B356" t="s">
        <v>4557</v>
      </c>
      <c r="D356" t="b">
        <f>IFERROR(VLOOKUP(B356,PatData!$A$2:$A$2000,1,),"")&lt;&gt;""</f>
        <v>1</v>
      </c>
      <c r="E356" t="b">
        <v>0</v>
      </c>
      <c r="F356" t="b">
        <v>0</v>
      </c>
      <c r="G356" t="b">
        <v>1</v>
      </c>
      <c r="H356" t="b">
        <v>0</v>
      </c>
      <c r="I356" t="b">
        <v>0</v>
      </c>
    </row>
    <row r="357" spans="1:9" x14ac:dyDescent="0.2">
      <c r="A357" t="s">
        <v>3656</v>
      </c>
      <c r="B357" t="s">
        <v>4558</v>
      </c>
      <c r="D357" t="b">
        <f>IFERROR(VLOOKUP(B357,PatData!$A$2:$A$2000,1,),"")&lt;&gt;""</f>
        <v>1</v>
      </c>
      <c r="E357" t="b">
        <v>0</v>
      </c>
      <c r="F357" t="b">
        <v>0</v>
      </c>
      <c r="G357" t="b">
        <v>1</v>
      </c>
      <c r="H357" t="b">
        <v>0</v>
      </c>
      <c r="I357" t="b">
        <v>0</v>
      </c>
    </row>
    <row r="358" spans="1:9" x14ac:dyDescent="0.2">
      <c r="A358" t="s">
        <v>3657</v>
      </c>
      <c r="B358" t="s">
        <v>4559</v>
      </c>
      <c r="D358" t="b">
        <f>IFERROR(VLOOKUP(B358,PatData!$A$2:$A$2000,1,),"")&lt;&gt;""</f>
        <v>1</v>
      </c>
      <c r="E358" t="b">
        <v>0</v>
      </c>
      <c r="F358" t="b">
        <v>0</v>
      </c>
      <c r="G358" t="b">
        <v>1</v>
      </c>
      <c r="H358" t="b">
        <v>0</v>
      </c>
      <c r="I358" t="b">
        <v>0</v>
      </c>
    </row>
    <row r="359" spans="1:9" x14ac:dyDescent="0.2">
      <c r="A359" t="s">
        <v>3658</v>
      </c>
      <c r="B359" t="s">
        <v>4560</v>
      </c>
      <c r="D359" t="b">
        <f>IFERROR(VLOOKUP(B359,PatData!$A$2:$A$2000,1,),"")&lt;&gt;""</f>
        <v>1</v>
      </c>
      <c r="E359" t="b">
        <v>0</v>
      </c>
      <c r="F359" t="b">
        <v>0</v>
      </c>
      <c r="G359" t="b">
        <v>1</v>
      </c>
      <c r="H359" t="b">
        <v>0</v>
      </c>
      <c r="I359" t="b">
        <v>0</v>
      </c>
    </row>
    <row r="360" spans="1:9" x14ac:dyDescent="0.2">
      <c r="A360" t="s">
        <v>3659</v>
      </c>
      <c r="B360" t="s">
        <v>4561</v>
      </c>
      <c r="D360" t="b">
        <f>IFERROR(VLOOKUP(B360,PatData!$A$2:$A$2000,1,),"")&lt;&gt;""</f>
        <v>1</v>
      </c>
      <c r="E360" t="b">
        <v>0</v>
      </c>
      <c r="F360" t="b">
        <v>0</v>
      </c>
      <c r="G360" t="b">
        <v>1</v>
      </c>
      <c r="H360" t="b">
        <v>0</v>
      </c>
      <c r="I360" t="b">
        <v>0</v>
      </c>
    </row>
    <row r="361" spans="1:9" x14ac:dyDescent="0.2">
      <c r="A361" t="s">
        <v>3660</v>
      </c>
      <c r="B361" t="s">
        <v>4562</v>
      </c>
      <c r="D361" t="b">
        <f>IFERROR(VLOOKUP(B361,PatData!$A$2:$A$2000,1,),"")&lt;&gt;""</f>
        <v>1</v>
      </c>
      <c r="E361" t="b">
        <v>0</v>
      </c>
      <c r="F361" t="b">
        <v>0</v>
      </c>
      <c r="G361" t="b">
        <v>1</v>
      </c>
      <c r="H361" t="b">
        <v>0</v>
      </c>
      <c r="I361" t="b">
        <v>0</v>
      </c>
    </row>
    <row r="362" spans="1:9" x14ac:dyDescent="0.2">
      <c r="A362" t="s">
        <v>3661</v>
      </c>
      <c r="B362" t="s">
        <v>4563</v>
      </c>
      <c r="D362" t="b">
        <f>IFERROR(VLOOKUP(B362,PatData!$A$2:$A$2000,1,),"")&lt;&gt;""</f>
        <v>1</v>
      </c>
      <c r="E362" t="b">
        <v>0</v>
      </c>
      <c r="F362" t="b">
        <v>0</v>
      </c>
      <c r="G362" t="b">
        <v>1</v>
      </c>
      <c r="H362" t="b">
        <v>0</v>
      </c>
      <c r="I362" t="b">
        <v>0</v>
      </c>
    </row>
    <row r="363" spans="1:9" x14ac:dyDescent="0.2">
      <c r="A363" t="s">
        <v>3662</v>
      </c>
      <c r="B363" t="s">
        <v>4564</v>
      </c>
      <c r="D363" t="b">
        <f>IFERROR(VLOOKUP(B363,PatData!$A$2:$A$2000,1,),"")&lt;&gt;""</f>
        <v>1</v>
      </c>
      <c r="E363" t="b">
        <v>0</v>
      </c>
      <c r="F363" t="b">
        <v>0</v>
      </c>
      <c r="G363" t="b">
        <v>1</v>
      </c>
      <c r="H363" t="b">
        <v>0</v>
      </c>
      <c r="I363" t="b">
        <v>0</v>
      </c>
    </row>
    <row r="364" spans="1:9" x14ac:dyDescent="0.2">
      <c r="A364" t="s">
        <v>3663</v>
      </c>
      <c r="B364" t="s">
        <v>4565</v>
      </c>
      <c r="D364" t="b">
        <f>IFERROR(VLOOKUP(B364,PatData!$A$2:$A$2000,1,),"")&lt;&gt;""</f>
        <v>1</v>
      </c>
      <c r="E364" t="b">
        <v>0</v>
      </c>
      <c r="F364" t="b">
        <v>0</v>
      </c>
      <c r="G364" t="b">
        <v>1</v>
      </c>
      <c r="H364" t="b">
        <v>0</v>
      </c>
      <c r="I364" t="b">
        <v>0</v>
      </c>
    </row>
    <row r="365" spans="1:9" x14ac:dyDescent="0.2">
      <c r="A365" t="s">
        <v>3664</v>
      </c>
      <c r="B365" t="s">
        <v>4566</v>
      </c>
      <c r="D365" t="b">
        <f>IFERROR(VLOOKUP(B365,PatData!$A$2:$A$2000,1,),"")&lt;&gt;""</f>
        <v>1</v>
      </c>
      <c r="E365" t="b">
        <v>0</v>
      </c>
      <c r="F365" t="b">
        <v>0</v>
      </c>
      <c r="G365" t="b">
        <v>1</v>
      </c>
      <c r="H365" t="b">
        <v>0</v>
      </c>
      <c r="I365" t="b">
        <v>0</v>
      </c>
    </row>
    <row r="366" spans="1:9" x14ac:dyDescent="0.2">
      <c r="A366" t="s">
        <v>3665</v>
      </c>
      <c r="B366" t="s">
        <v>4567</v>
      </c>
      <c r="D366" t="b">
        <f>IFERROR(VLOOKUP(B366,PatData!$A$2:$A$2000,1,),"")&lt;&gt;""</f>
        <v>1</v>
      </c>
      <c r="E366" t="b">
        <v>0</v>
      </c>
      <c r="F366" t="b">
        <v>0</v>
      </c>
      <c r="G366" t="b">
        <v>1</v>
      </c>
      <c r="H366" t="b">
        <v>0</v>
      </c>
      <c r="I366" t="b">
        <v>0</v>
      </c>
    </row>
    <row r="367" spans="1:9" x14ac:dyDescent="0.2">
      <c r="A367" t="s">
        <v>3666</v>
      </c>
      <c r="B367" t="s">
        <v>4568</v>
      </c>
      <c r="D367" t="b">
        <f>IFERROR(VLOOKUP(B367,PatData!$A$2:$A$2000,1,),"")&lt;&gt;""</f>
        <v>1</v>
      </c>
      <c r="E367" t="b">
        <v>0</v>
      </c>
      <c r="F367" t="b">
        <v>0</v>
      </c>
      <c r="G367" t="b">
        <v>1</v>
      </c>
      <c r="H367" t="b">
        <v>0</v>
      </c>
      <c r="I367" t="b">
        <v>0</v>
      </c>
    </row>
    <row r="368" spans="1:9" x14ac:dyDescent="0.2">
      <c r="A368" t="s">
        <v>3667</v>
      </c>
      <c r="B368" t="s">
        <v>4569</v>
      </c>
      <c r="D368" t="b">
        <f>IFERROR(VLOOKUP(B368,PatData!$A$2:$A$2000,1,),"")&lt;&gt;""</f>
        <v>1</v>
      </c>
      <c r="E368" t="b">
        <v>0</v>
      </c>
      <c r="F368" t="b">
        <v>0</v>
      </c>
      <c r="G368" t="b">
        <v>1</v>
      </c>
      <c r="H368" t="b">
        <v>0</v>
      </c>
      <c r="I368" t="b">
        <v>0</v>
      </c>
    </row>
    <row r="369" spans="1:9" x14ac:dyDescent="0.2">
      <c r="A369" t="s">
        <v>3668</v>
      </c>
      <c r="B369" t="s">
        <v>4570</v>
      </c>
      <c r="D369" t="b">
        <f>IFERROR(VLOOKUP(B369,PatData!$A$2:$A$2000,1,),"")&lt;&gt;""</f>
        <v>1</v>
      </c>
      <c r="E369" t="b">
        <v>0</v>
      </c>
      <c r="F369" t="b">
        <v>0</v>
      </c>
      <c r="G369" t="b">
        <v>1</v>
      </c>
      <c r="H369" t="b">
        <v>0</v>
      </c>
      <c r="I369" t="b">
        <v>0</v>
      </c>
    </row>
    <row r="370" spans="1:9" x14ac:dyDescent="0.2">
      <c r="A370" t="s">
        <v>3999</v>
      </c>
      <c r="B370" t="s">
        <v>4571</v>
      </c>
      <c r="D370" t="b">
        <f>IFERROR(VLOOKUP(B370,PatData!$A$2:$A$2000,1,),"")&lt;&gt;""</f>
        <v>1</v>
      </c>
      <c r="E370"/>
      <c r="F370" t="b">
        <v>0</v>
      </c>
      <c r="G370" t="b">
        <v>1</v>
      </c>
      <c r="H370" t="b">
        <v>0</v>
      </c>
      <c r="I370" t="b">
        <v>0</v>
      </c>
    </row>
    <row r="371" spans="1:9" x14ac:dyDescent="0.2">
      <c r="A371" t="s">
        <v>4000</v>
      </c>
      <c r="B371" t="s">
        <v>4572</v>
      </c>
      <c r="D371" t="b">
        <f>IFERROR(VLOOKUP(B371,PatData!$A$2:$A$2000,1,),"")&lt;&gt;""</f>
        <v>1</v>
      </c>
      <c r="E371"/>
      <c r="F371" t="b">
        <v>0</v>
      </c>
      <c r="G371" t="b">
        <v>1</v>
      </c>
      <c r="H371" t="b">
        <v>0</v>
      </c>
      <c r="I371" t="b">
        <v>0</v>
      </c>
    </row>
    <row r="372" spans="1:9" x14ac:dyDescent="0.2">
      <c r="A372" t="s">
        <v>4001</v>
      </c>
      <c r="B372" t="s">
        <v>4573</v>
      </c>
      <c r="D372" t="b">
        <f>IFERROR(VLOOKUP(B372,PatData!$A$2:$A$2000,1,),"")&lt;&gt;""</f>
        <v>1</v>
      </c>
      <c r="E372"/>
      <c r="F372" t="b">
        <v>0</v>
      </c>
      <c r="G372" t="b">
        <v>1</v>
      </c>
      <c r="H372" t="b">
        <v>0</v>
      </c>
      <c r="I372" t="b">
        <v>0</v>
      </c>
    </row>
    <row r="373" spans="1:9" x14ac:dyDescent="0.2">
      <c r="A373" t="s">
        <v>4002</v>
      </c>
      <c r="B373" t="s">
        <v>4574</v>
      </c>
      <c r="D373" t="b">
        <f>IFERROR(VLOOKUP(B373,PatData!$A$2:$A$2000,1,),"")&lt;&gt;""</f>
        <v>1</v>
      </c>
      <c r="E373"/>
      <c r="F373" t="b">
        <v>0</v>
      </c>
      <c r="G373" t="b">
        <v>1</v>
      </c>
      <c r="H373" t="b">
        <v>0</v>
      </c>
      <c r="I373" t="b">
        <v>0</v>
      </c>
    </row>
    <row r="374" spans="1:9" x14ac:dyDescent="0.2">
      <c r="A374" t="s">
        <v>4003</v>
      </c>
      <c r="B374" t="s">
        <v>4575</v>
      </c>
      <c r="D374" t="b">
        <f>IFERROR(VLOOKUP(B374,PatData!$A$2:$A$2000,1,),"")&lt;&gt;""</f>
        <v>1</v>
      </c>
      <c r="E374"/>
      <c r="F374" t="b">
        <v>0</v>
      </c>
      <c r="G374" t="b">
        <v>1</v>
      </c>
      <c r="H374" t="b">
        <v>0</v>
      </c>
      <c r="I374" t="b">
        <v>0</v>
      </c>
    </row>
    <row r="375" spans="1:9" x14ac:dyDescent="0.2">
      <c r="A375" t="s">
        <v>4004</v>
      </c>
      <c r="B375" t="s">
        <v>4576</v>
      </c>
      <c r="D375" t="b">
        <f>IFERROR(VLOOKUP(B375,PatData!$A$2:$A$2000,1,),"")&lt;&gt;""</f>
        <v>1</v>
      </c>
      <c r="E375"/>
      <c r="F375" t="b">
        <v>0</v>
      </c>
      <c r="G375" t="b">
        <v>1</v>
      </c>
      <c r="H375" t="b">
        <v>0</v>
      </c>
      <c r="I375" t="b">
        <v>0</v>
      </c>
    </row>
    <row r="376" spans="1:9" x14ac:dyDescent="0.2">
      <c r="A376" t="s">
        <v>4005</v>
      </c>
      <c r="B376" t="s">
        <v>4577</v>
      </c>
      <c r="D376" t="b">
        <f>IFERROR(VLOOKUP(B376,PatData!$A$2:$A$2000,1,),"")&lt;&gt;""</f>
        <v>1</v>
      </c>
      <c r="E376"/>
      <c r="F376" t="b">
        <v>0</v>
      </c>
      <c r="G376" t="b">
        <v>1</v>
      </c>
      <c r="H376" t="b">
        <v>0</v>
      </c>
      <c r="I376" t="b">
        <v>0</v>
      </c>
    </row>
    <row r="377" spans="1:9" x14ac:dyDescent="0.2">
      <c r="A377" t="s">
        <v>4006</v>
      </c>
      <c r="B377" t="s">
        <v>4578</v>
      </c>
      <c r="D377" t="b">
        <f>IFERROR(VLOOKUP(B377,PatData!$A$2:$A$2000,1,),"")&lt;&gt;""</f>
        <v>1</v>
      </c>
      <c r="E377"/>
      <c r="F377" t="b">
        <v>0</v>
      </c>
      <c r="G377" t="b">
        <v>1</v>
      </c>
      <c r="H377" t="b">
        <v>0</v>
      </c>
      <c r="I377" t="b">
        <v>0</v>
      </c>
    </row>
    <row r="378" spans="1:9" x14ac:dyDescent="0.2">
      <c r="A378" t="s">
        <v>4007</v>
      </c>
      <c r="B378" t="s">
        <v>4579</v>
      </c>
      <c r="D378" t="b">
        <f>IFERROR(VLOOKUP(B378,PatData!$A$2:$A$2000,1,),"")&lt;&gt;""</f>
        <v>1</v>
      </c>
      <c r="E378"/>
      <c r="F378" t="b">
        <v>0</v>
      </c>
      <c r="G378" t="b">
        <v>1</v>
      </c>
      <c r="H378" t="b">
        <v>0</v>
      </c>
      <c r="I378" t="b">
        <v>0</v>
      </c>
    </row>
    <row r="379" spans="1:9" x14ac:dyDescent="0.2">
      <c r="A379" t="s">
        <v>4008</v>
      </c>
      <c r="B379" t="s">
        <v>4580</v>
      </c>
      <c r="D379" t="b">
        <f>IFERROR(VLOOKUP(B379,PatData!$A$2:$A$2000,1,),"")&lt;&gt;""</f>
        <v>1</v>
      </c>
      <c r="E379"/>
      <c r="F379" t="b">
        <v>0</v>
      </c>
      <c r="G379" t="b">
        <v>1</v>
      </c>
      <c r="H379" t="b">
        <v>0</v>
      </c>
      <c r="I379" t="b">
        <v>0</v>
      </c>
    </row>
    <row r="380" spans="1:9" x14ac:dyDescent="0.2">
      <c r="A380" t="s">
        <v>4009</v>
      </c>
      <c r="B380" t="s">
        <v>4581</v>
      </c>
      <c r="D380" t="b">
        <f>IFERROR(VLOOKUP(B380,PatData!$A$2:$A$2000,1,),"")&lt;&gt;""</f>
        <v>1</v>
      </c>
      <c r="E380"/>
      <c r="F380" t="b">
        <v>0</v>
      </c>
      <c r="G380" t="b">
        <v>1</v>
      </c>
      <c r="H380" t="b">
        <v>0</v>
      </c>
      <c r="I380" t="b">
        <v>0</v>
      </c>
    </row>
    <row r="381" spans="1:9" x14ac:dyDescent="0.2">
      <c r="A381" t="s">
        <v>4010</v>
      </c>
      <c r="B381" t="s">
        <v>4582</v>
      </c>
      <c r="D381" t="b">
        <f>IFERROR(VLOOKUP(B381,PatData!$A$2:$A$2000,1,),"")&lt;&gt;""</f>
        <v>1</v>
      </c>
      <c r="E381"/>
      <c r="F381" t="b">
        <v>0</v>
      </c>
      <c r="G381" t="b">
        <v>1</v>
      </c>
      <c r="H381" t="b">
        <v>0</v>
      </c>
      <c r="I381" t="b">
        <v>0</v>
      </c>
    </row>
    <row r="382" spans="1:9" x14ac:dyDescent="0.2">
      <c r="A382" t="s">
        <v>4011</v>
      </c>
      <c r="B382" t="s">
        <v>4583</v>
      </c>
      <c r="D382" t="b">
        <f>IFERROR(VLOOKUP(B382,PatData!$A$2:$A$2000,1,),"")&lt;&gt;""</f>
        <v>1</v>
      </c>
      <c r="E382"/>
      <c r="F382" t="b">
        <v>0</v>
      </c>
      <c r="G382" t="b">
        <v>1</v>
      </c>
      <c r="H382" t="b">
        <v>0</v>
      </c>
      <c r="I382" t="b">
        <v>0</v>
      </c>
    </row>
    <row r="383" spans="1:9" x14ac:dyDescent="0.2">
      <c r="A383" t="s">
        <v>4012</v>
      </c>
      <c r="B383" t="s">
        <v>4584</v>
      </c>
      <c r="D383" t="b">
        <f>IFERROR(VLOOKUP(B383,PatData!$A$2:$A$2000,1,),"")&lt;&gt;""</f>
        <v>1</v>
      </c>
      <c r="E383"/>
      <c r="F383" t="b">
        <v>0</v>
      </c>
      <c r="G383" t="b">
        <v>1</v>
      </c>
      <c r="H383" t="b">
        <v>0</v>
      </c>
      <c r="I383" t="b">
        <v>0</v>
      </c>
    </row>
    <row r="384" spans="1:9" x14ac:dyDescent="0.2">
      <c r="A384" t="s">
        <v>4013</v>
      </c>
      <c r="B384" t="s">
        <v>4585</v>
      </c>
      <c r="D384" t="b">
        <f>IFERROR(VLOOKUP(B384,PatData!$A$2:$A$2000,1,),"")&lt;&gt;""</f>
        <v>1</v>
      </c>
      <c r="E384"/>
      <c r="F384" t="b">
        <v>0</v>
      </c>
      <c r="G384" t="b">
        <v>1</v>
      </c>
      <c r="H384" t="b">
        <v>0</v>
      </c>
      <c r="I384" t="b">
        <v>0</v>
      </c>
    </row>
    <row r="385" spans="1:9" x14ac:dyDescent="0.2">
      <c r="A385" t="s">
        <v>4014</v>
      </c>
      <c r="B385" t="s">
        <v>4586</v>
      </c>
      <c r="D385" t="b">
        <f>IFERROR(VLOOKUP(B385,PatData!$A$2:$A$2000,1,),"")&lt;&gt;""</f>
        <v>1</v>
      </c>
      <c r="E385"/>
      <c r="F385" t="b">
        <v>0</v>
      </c>
      <c r="G385" t="b">
        <v>1</v>
      </c>
      <c r="H385" t="b">
        <v>0</v>
      </c>
      <c r="I385" t="b">
        <v>0</v>
      </c>
    </row>
    <row r="386" spans="1:9" x14ac:dyDescent="0.2">
      <c r="A386" t="s">
        <v>4015</v>
      </c>
      <c r="B386" t="s">
        <v>4587</v>
      </c>
      <c r="D386" t="b">
        <f>IFERROR(VLOOKUP(B386,PatData!$A$2:$A$2000,1,),"")&lt;&gt;""</f>
        <v>1</v>
      </c>
      <c r="E386"/>
      <c r="F386" t="b">
        <v>0</v>
      </c>
      <c r="G386" t="b">
        <v>1</v>
      </c>
      <c r="H386" t="b">
        <v>0</v>
      </c>
      <c r="I386" t="b">
        <v>0</v>
      </c>
    </row>
    <row r="387" spans="1:9" x14ac:dyDescent="0.2">
      <c r="A387" t="s">
        <v>4016</v>
      </c>
      <c r="B387" t="s">
        <v>4588</v>
      </c>
      <c r="D387" t="b">
        <f>IFERROR(VLOOKUP(B387,PatData!$A$2:$A$2000,1,),"")&lt;&gt;""</f>
        <v>1</v>
      </c>
      <c r="E387"/>
      <c r="F387" t="b">
        <v>0</v>
      </c>
      <c r="G387" t="b">
        <v>1</v>
      </c>
      <c r="H387" t="b">
        <v>0</v>
      </c>
      <c r="I387" t="b">
        <v>0</v>
      </c>
    </row>
    <row r="388" spans="1:9" x14ac:dyDescent="0.2">
      <c r="A388" t="s">
        <v>4017</v>
      </c>
      <c r="B388" t="s">
        <v>4589</v>
      </c>
      <c r="D388" t="b">
        <f>IFERROR(VLOOKUP(B388,PatData!$A$2:$A$2000,1,),"")&lt;&gt;""</f>
        <v>1</v>
      </c>
      <c r="E388"/>
      <c r="F388" t="b">
        <v>0</v>
      </c>
      <c r="G388" t="b">
        <v>1</v>
      </c>
      <c r="H388" t="b">
        <v>0</v>
      </c>
      <c r="I388" t="b">
        <v>0</v>
      </c>
    </row>
    <row r="389" spans="1:9" x14ac:dyDescent="0.2">
      <c r="A389" t="s">
        <v>4018</v>
      </c>
      <c r="B389" t="s">
        <v>4590</v>
      </c>
      <c r="D389" t="b">
        <f>IFERROR(VLOOKUP(B389,PatData!$A$2:$A$2000,1,),"")&lt;&gt;""</f>
        <v>1</v>
      </c>
      <c r="E389"/>
      <c r="F389" t="b">
        <v>0</v>
      </c>
      <c r="G389" t="b">
        <v>1</v>
      </c>
      <c r="H389" t="b">
        <v>0</v>
      </c>
      <c r="I389" t="b">
        <v>0</v>
      </c>
    </row>
    <row r="390" spans="1:9" x14ac:dyDescent="0.2">
      <c r="A390" t="s">
        <v>4019</v>
      </c>
      <c r="B390" t="s">
        <v>4591</v>
      </c>
      <c r="D390" t="b">
        <f>IFERROR(VLOOKUP(B390,PatData!$A$2:$A$2000,1,),"")&lt;&gt;""</f>
        <v>1</v>
      </c>
      <c r="E390"/>
      <c r="F390" t="b">
        <v>0</v>
      </c>
      <c r="G390" t="b">
        <v>1</v>
      </c>
      <c r="H390" t="b">
        <v>0</v>
      </c>
      <c r="I390" t="b">
        <v>0</v>
      </c>
    </row>
    <row r="391" spans="1:9" x14ac:dyDescent="0.2">
      <c r="A391" t="s">
        <v>4020</v>
      </c>
      <c r="B391" t="s">
        <v>4592</v>
      </c>
      <c r="D391" t="b">
        <f>IFERROR(VLOOKUP(B391,PatData!$A$2:$A$2000,1,),"")&lt;&gt;""</f>
        <v>1</v>
      </c>
      <c r="E391"/>
      <c r="F391" t="b">
        <v>0</v>
      </c>
      <c r="G391" t="b">
        <v>1</v>
      </c>
      <c r="H391" t="b">
        <v>0</v>
      </c>
      <c r="I391" t="b">
        <v>0</v>
      </c>
    </row>
    <row r="392" spans="1:9" x14ac:dyDescent="0.2">
      <c r="A392" t="s">
        <v>4021</v>
      </c>
      <c r="B392" t="s">
        <v>4593</v>
      </c>
      <c r="D392" t="b">
        <f>IFERROR(VLOOKUP(B392,PatData!$A$2:$A$2000,1,),"")&lt;&gt;""</f>
        <v>1</v>
      </c>
      <c r="E392"/>
      <c r="F392" t="b">
        <v>0</v>
      </c>
      <c r="G392" t="b">
        <v>1</v>
      </c>
      <c r="H392" t="b">
        <v>0</v>
      </c>
      <c r="I392" t="b">
        <v>0</v>
      </c>
    </row>
    <row r="393" spans="1:9" x14ac:dyDescent="0.2">
      <c r="A393" t="s">
        <v>4022</v>
      </c>
      <c r="B393" t="s">
        <v>4594</v>
      </c>
      <c r="D393" t="b">
        <f>IFERROR(VLOOKUP(B393,PatData!$A$2:$A$2000,1,),"")&lt;&gt;""</f>
        <v>1</v>
      </c>
      <c r="E393"/>
      <c r="F393" t="b">
        <v>0</v>
      </c>
      <c r="G393" t="b">
        <v>1</v>
      </c>
      <c r="H393" t="b">
        <v>0</v>
      </c>
      <c r="I393" t="b">
        <v>0</v>
      </c>
    </row>
    <row r="394" spans="1:9" x14ac:dyDescent="0.2">
      <c r="A394" t="s">
        <v>4023</v>
      </c>
      <c r="B394" t="s">
        <v>4595</v>
      </c>
      <c r="D394" t="b">
        <f>IFERROR(VLOOKUP(B394,PatData!$A$2:$A$2000,1,),"")&lt;&gt;""</f>
        <v>1</v>
      </c>
      <c r="E394"/>
      <c r="F394" t="b">
        <v>0</v>
      </c>
      <c r="G394" t="b">
        <v>1</v>
      </c>
      <c r="H394" t="b">
        <v>0</v>
      </c>
      <c r="I394" t="b">
        <v>0</v>
      </c>
    </row>
    <row r="395" spans="1:9" x14ac:dyDescent="0.2">
      <c r="A395" t="s">
        <v>4024</v>
      </c>
      <c r="B395" t="s">
        <v>4596</v>
      </c>
      <c r="D395" t="b">
        <f>IFERROR(VLOOKUP(B395,PatData!$A$2:$A$2000,1,),"")&lt;&gt;""</f>
        <v>1</v>
      </c>
      <c r="E395"/>
      <c r="F395" t="b">
        <v>0</v>
      </c>
      <c r="G395" t="b">
        <v>1</v>
      </c>
      <c r="H395" t="b">
        <v>0</v>
      </c>
      <c r="I395" t="b">
        <v>0</v>
      </c>
    </row>
    <row r="396" spans="1:9" x14ac:dyDescent="0.2">
      <c r="A396" t="s">
        <v>4025</v>
      </c>
      <c r="B396" t="s">
        <v>4597</v>
      </c>
      <c r="D396" t="b">
        <f>IFERROR(VLOOKUP(B396,PatData!$A$2:$A$2000,1,),"")&lt;&gt;""</f>
        <v>1</v>
      </c>
      <c r="E396"/>
      <c r="F396" t="b">
        <v>0</v>
      </c>
      <c r="G396" t="b">
        <v>1</v>
      </c>
      <c r="H396" t="b">
        <v>0</v>
      </c>
      <c r="I396" t="b">
        <v>0</v>
      </c>
    </row>
    <row r="397" spans="1:9" x14ac:dyDescent="0.2">
      <c r="A397" t="s">
        <v>4026</v>
      </c>
      <c r="B397" t="s">
        <v>4598</v>
      </c>
      <c r="D397" t="b">
        <f>IFERROR(VLOOKUP(B397,PatData!$A$2:$A$2000,1,),"")&lt;&gt;""</f>
        <v>1</v>
      </c>
      <c r="E397"/>
      <c r="F397" t="b">
        <v>0</v>
      </c>
      <c r="G397" t="b">
        <v>1</v>
      </c>
      <c r="H397" t="b">
        <v>0</v>
      </c>
      <c r="I397" t="b">
        <v>0</v>
      </c>
    </row>
    <row r="398" spans="1:9" x14ac:dyDescent="0.2">
      <c r="A398" t="s">
        <v>4027</v>
      </c>
      <c r="B398" t="s">
        <v>4599</v>
      </c>
      <c r="D398" t="b">
        <f>IFERROR(VLOOKUP(B398,PatData!$A$2:$A$2000,1,),"")&lt;&gt;""</f>
        <v>1</v>
      </c>
      <c r="E398"/>
      <c r="F398" t="b">
        <v>0</v>
      </c>
      <c r="G398" t="b">
        <v>1</v>
      </c>
      <c r="H398" t="b">
        <v>0</v>
      </c>
      <c r="I398" t="b">
        <v>0</v>
      </c>
    </row>
    <row r="399" spans="1:9" x14ac:dyDescent="0.2">
      <c r="A399" t="s">
        <v>4028</v>
      </c>
      <c r="B399" t="s">
        <v>4600</v>
      </c>
      <c r="D399" t="b">
        <f>IFERROR(VLOOKUP(B399,PatData!$A$2:$A$2000,1,),"")&lt;&gt;""</f>
        <v>1</v>
      </c>
      <c r="E399"/>
      <c r="F399" t="b">
        <v>0</v>
      </c>
      <c r="G399" t="b">
        <v>1</v>
      </c>
      <c r="H399" t="b">
        <v>0</v>
      </c>
      <c r="I399" t="b">
        <v>0</v>
      </c>
    </row>
    <row r="400" spans="1:9" x14ac:dyDescent="0.2">
      <c r="A400" t="s">
        <v>3969</v>
      </c>
      <c r="B400" t="s">
        <v>2582</v>
      </c>
      <c r="D400" t="b">
        <f>IFERROR(VLOOKUP(B400,PatData!$A$2:$A$2000,1,),"")&lt;&gt;""</f>
        <v>1</v>
      </c>
      <c r="E400">
        <v>0</v>
      </c>
      <c r="F400" t="b">
        <v>0</v>
      </c>
      <c r="G400" t="b">
        <v>1</v>
      </c>
      <c r="H400" t="b">
        <v>0</v>
      </c>
      <c r="I400" t="b">
        <v>0</v>
      </c>
    </row>
    <row r="401" spans="1:9" x14ac:dyDescent="0.2">
      <c r="A401" t="s">
        <v>3970</v>
      </c>
      <c r="B401" t="s">
        <v>2583</v>
      </c>
      <c r="D401" t="b">
        <f>IFERROR(VLOOKUP(B401,PatData!$A$2:$A$2000,1,),"")&lt;&gt;""</f>
        <v>1</v>
      </c>
      <c r="E401">
        <v>0</v>
      </c>
      <c r="F401" t="b">
        <v>0</v>
      </c>
      <c r="G401" t="b">
        <v>1</v>
      </c>
      <c r="H401" t="b">
        <v>0</v>
      </c>
      <c r="I401" t="b">
        <v>0</v>
      </c>
    </row>
    <row r="402" spans="1:9" x14ac:dyDescent="0.2">
      <c r="A402" t="s">
        <v>3971</v>
      </c>
      <c r="B402" t="s">
        <v>2584</v>
      </c>
      <c r="D402" t="b">
        <f>IFERROR(VLOOKUP(B402,PatData!$A$2:$A$2000,1,),"")&lt;&gt;""</f>
        <v>1</v>
      </c>
      <c r="E402">
        <v>0</v>
      </c>
      <c r="F402" t="b">
        <v>0</v>
      </c>
      <c r="G402" t="b">
        <v>1</v>
      </c>
      <c r="H402" t="b">
        <v>0</v>
      </c>
      <c r="I402" t="b">
        <v>0</v>
      </c>
    </row>
    <row r="403" spans="1:9" x14ac:dyDescent="0.2">
      <c r="A403" t="s">
        <v>3972</v>
      </c>
      <c r="B403" t="s">
        <v>2585</v>
      </c>
      <c r="D403" t="b">
        <f>IFERROR(VLOOKUP(B403,PatData!$A$2:$A$2000,1,),"")&lt;&gt;""</f>
        <v>1</v>
      </c>
      <c r="E403">
        <v>0</v>
      </c>
      <c r="F403" t="b">
        <v>0</v>
      </c>
      <c r="G403" t="b">
        <v>1</v>
      </c>
      <c r="H403" t="b">
        <v>0</v>
      </c>
      <c r="I403" t="b">
        <v>0</v>
      </c>
    </row>
    <row r="404" spans="1:9" x14ac:dyDescent="0.2">
      <c r="A404" t="s">
        <v>3973</v>
      </c>
      <c r="B404" t="s">
        <v>2586</v>
      </c>
      <c r="D404" t="b">
        <f>IFERROR(VLOOKUP(B404,PatData!$A$2:$A$2000,1,),"")&lt;&gt;""</f>
        <v>1</v>
      </c>
      <c r="E404">
        <v>0</v>
      </c>
      <c r="F404" t="b">
        <v>0</v>
      </c>
      <c r="G404" t="b">
        <v>1</v>
      </c>
      <c r="H404" t="b">
        <v>0</v>
      </c>
      <c r="I404" t="b">
        <v>0</v>
      </c>
    </row>
    <row r="405" spans="1:9" x14ac:dyDescent="0.2">
      <c r="A405" t="s">
        <v>3974</v>
      </c>
      <c r="B405" t="s">
        <v>2587</v>
      </c>
      <c r="D405" t="b">
        <f>IFERROR(VLOOKUP(B405,PatData!$A$2:$A$2000,1,),"")&lt;&gt;""</f>
        <v>1</v>
      </c>
      <c r="E405">
        <v>0</v>
      </c>
      <c r="F405" t="b">
        <v>0</v>
      </c>
      <c r="G405" t="b">
        <v>1</v>
      </c>
      <c r="H405" t="b">
        <v>0</v>
      </c>
      <c r="I405" t="b">
        <v>0</v>
      </c>
    </row>
    <row r="406" spans="1:9" x14ac:dyDescent="0.2">
      <c r="A406" t="s">
        <v>3975</v>
      </c>
      <c r="B406" t="s">
        <v>2588</v>
      </c>
      <c r="D406" t="b">
        <f>IFERROR(VLOOKUP(B406,PatData!$A$2:$A$2000,1,),"")&lt;&gt;""</f>
        <v>1</v>
      </c>
      <c r="E406">
        <v>0</v>
      </c>
      <c r="F406" t="b">
        <v>0</v>
      </c>
      <c r="G406" t="b">
        <v>1</v>
      </c>
      <c r="H406" t="b">
        <v>0</v>
      </c>
      <c r="I406" t="b">
        <v>0</v>
      </c>
    </row>
    <row r="407" spans="1:9" x14ac:dyDescent="0.2">
      <c r="A407" t="s">
        <v>3976</v>
      </c>
      <c r="B407" t="s">
        <v>2589</v>
      </c>
      <c r="D407" t="b">
        <f>IFERROR(VLOOKUP(B407,PatData!$A$2:$A$2000,1,),"")&lt;&gt;""</f>
        <v>1</v>
      </c>
      <c r="E407">
        <v>0</v>
      </c>
      <c r="F407" t="b">
        <v>0</v>
      </c>
      <c r="G407" t="b">
        <v>1</v>
      </c>
      <c r="H407" t="b">
        <v>0</v>
      </c>
      <c r="I407" t="b">
        <v>0</v>
      </c>
    </row>
    <row r="408" spans="1:9" x14ac:dyDescent="0.2">
      <c r="A408" t="s">
        <v>3977</v>
      </c>
      <c r="B408" t="s">
        <v>2590</v>
      </c>
      <c r="D408" t="b">
        <f>IFERROR(VLOOKUP(B408,PatData!$A$2:$A$2000,1,),"")&lt;&gt;""</f>
        <v>1</v>
      </c>
      <c r="E408">
        <v>0</v>
      </c>
      <c r="F408" t="b">
        <v>0</v>
      </c>
      <c r="G408" t="b">
        <v>1</v>
      </c>
      <c r="H408" t="b">
        <v>0</v>
      </c>
      <c r="I408" t="b">
        <v>0</v>
      </c>
    </row>
    <row r="409" spans="1:9" x14ac:dyDescent="0.2">
      <c r="A409" t="s">
        <v>3978</v>
      </c>
      <c r="B409" t="s">
        <v>2591</v>
      </c>
      <c r="D409" t="b">
        <f>IFERROR(VLOOKUP(B409,PatData!$A$2:$A$2000,1,),"")&lt;&gt;""</f>
        <v>1</v>
      </c>
      <c r="E409">
        <v>0</v>
      </c>
      <c r="F409" t="b">
        <v>0</v>
      </c>
      <c r="G409" t="b">
        <v>1</v>
      </c>
      <c r="H409" t="b">
        <v>0</v>
      </c>
      <c r="I409" t="b">
        <v>0</v>
      </c>
    </row>
    <row r="410" spans="1:9" x14ac:dyDescent="0.2">
      <c r="A410" t="s">
        <v>3979</v>
      </c>
      <c r="B410" t="s">
        <v>2592</v>
      </c>
      <c r="D410" t="b">
        <f>IFERROR(VLOOKUP(B410,PatData!$A$2:$A$2000,1,),"")&lt;&gt;""</f>
        <v>1</v>
      </c>
      <c r="E410">
        <v>0</v>
      </c>
      <c r="F410" t="b">
        <v>0</v>
      </c>
      <c r="G410" t="b">
        <v>1</v>
      </c>
      <c r="H410" t="b">
        <v>0</v>
      </c>
      <c r="I410" t="b">
        <v>0</v>
      </c>
    </row>
    <row r="411" spans="1:9" x14ac:dyDescent="0.2">
      <c r="A411" t="s">
        <v>3980</v>
      </c>
      <c r="B411" t="s">
        <v>2593</v>
      </c>
      <c r="D411" t="b">
        <f>IFERROR(VLOOKUP(B411,PatData!$A$2:$A$2000,1,),"")&lt;&gt;""</f>
        <v>1</v>
      </c>
      <c r="E411">
        <v>0</v>
      </c>
      <c r="F411" t="b">
        <v>0</v>
      </c>
      <c r="G411" t="b">
        <v>1</v>
      </c>
      <c r="H411" t="b">
        <v>0</v>
      </c>
      <c r="I411" t="b">
        <v>0</v>
      </c>
    </row>
    <row r="412" spans="1:9" x14ac:dyDescent="0.2">
      <c r="A412" t="s">
        <v>3981</v>
      </c>
      <c r="B412" t="s">
        <v>2594</v>
      </c>
      <c r="D412" t="b">
        <f>IFERROR(VLOOKUP(B412,PatData!$A$2:$A$2000,1,),"")&lt;&gt;""</f>
        <v>1</v>
      </c>
      <c r="E412">
        <v>0</v>
      </c>
      <c r="F412" t="b">
        <v>0</v>
      </c>
      <c r="G412" t="b">
        <v>1</v>
      </c>
      <c r="H412" t="b">
        <v>0</v>
      </c>
      <c r="I412" t="b">
        <v>0</v>
      </c>
    </row>
    <row r="413" spans="1:9" x14ac:dyDescent="0.2">
      <c r="A413" t="s">
        <v>3982</v>
      </c>
      <c r="B413" t="s">
        <v>2595</v>
      </c>
      <c r="D413" t="b">
        <f>IFERROR(VLOOKUP(B413,PatData!$A$2:$A$2000,1,),"")&lt;&gt;""</f>
        <v>1</v>
      </c>
      <c r="E413">
        <v>0</v>
      </c>
      <c r="F413" t="b">
        <v>0</v>
      </c>
      <c r="G413" t="b">
        <v>1</v>
      </c>
      <c r="H413" t="b">
        <v>0</v>
      </c>
      <c r="I413" t="b">
        <v>0</v>
      </c>
    </row>
    <row r="414" spans="1:9" x14ac:dyDescent="0.2">
      <c r="A414" t="s">
        <v>3983</v>
      </c>
      <c r="B414" t="s">
        <v>2596</v>
      </c>
      <c r="D414" t="b">
        <f>IFERROR(VLOOKUP(B414,PatData!$A$2:$A$2000,1,),"")&lt;&gt;""</f>
        <v>1</v>
      </c>
      <c r="E414">
        <v>0</v>
      </c>
      <c r="F414" t="b">
        <v>0</v>
      </c>
      <c r="G414" t="b">
        <v>1</v>
      </c>
      <c r="H414" t="b">
        <v>0</v>
      </c>
      <c r="I414" t="b">
        <v>0</v>
      </c>
    </row>
    <row r="415" spans="1:9" x14ac:dyDescent="0.2">
      <c r="A415" t="s">
        <v>3984</v>
      </c>
      <c r="B415" t="s">
        <v>2597</v>
      </c>
      <c r="D415" t="b">
        <f>IFERROR(VLOOKUP(B415,PatData!$A$2:$A$2000,1,),"")&lt;&gt;""</f>
        <v>1</v>
      </c>
      <c r="E415">
        <v>0</v>
      </c>
      <c r="F415" t="b">
        <v>0</v>
      </c>
      <c r="G415" t="b">
        <v>1</v>
      </c>
      <c r="H415" t="b">
        <v>0</v>
      </c>
      <c r="I415" t="b">
        <v>0</v>
      </c>
    </row>
    <row r="416" spans="1:9" x14ac:dyDescent="0.2">
      <c r="A416" t="s">
        <v>3985</v>
      </c>
      <c r="B416" t="s">
        <v>2598</v>
      </c>
      <c r="D416" t="b">
        <f>IFERROR(VLOOKUP(B416,PatData!$A$2:$A$2000,1,),"")&lt;&gt;""</f>
        <v>1</v>
      </c>
      <c r="E416">
        <v>0</v>
      </c>
      <c r="F416" t="b">
        <v>0</v>
      </c>
      <c r="G416" t="b">
        <v>1</v>
      </c>
      <c r="H416" t="b">
        <v>0</v>
      </c>
      <c r="I416" t="b">
        <v>0</v>
      </c>
    </row>
    <row r="417" spans="1:9" x14ac:dyDescent="0.2">
      <c r="A417" t="s">
        <v>3986</v>
      </c>
      <c r="B417" t="s">
        <v>2599</v>
      </c>
      <c r="D417" t="b">
        <f>IFERROR(VLOOKUP(B417,PatData!$A$2:$A$2000,1,),"")&lt;&gt;""</f>
        <v>1</v>
      </c>
      <c r="E417">
        <v>0</v>
      </c>
      <c r="F417" t="b">
        <v>0</v>
      </c>
      <c r="G417" t="b">
        <v>1</v>
      </c>
      <c r="H417" t="b">
        <v>0</v>
      </c>
      <c r="I417" t="b">
        <v>0</v>
      </c>
    </row>
    <row r="418" spans="1:9" x14ac:dyDescent="0.2">
      <c r="A418" t="s">
        <v>3987</v>
      </c>
      <c r="B418" t="s">
        <v>2600</v>
      </c>
      <c r="D418" t="b">
        <f>IFERROR(VLOOKUP(B418,PatData!$A$2:$A$2000,1,),"")&lt;&gt;""</f>
        <v>1</v>
      </c>
      <c r="E418">
        <v>0</v>
      </c>
      <c r="F418" t="b">
        <v>0</v>
      </c>
      <c r="G418" t="b">
        <v>1</v>
      </c>
      <c r="H418" t="b">
        <v>0</v>
      </c>
      <c r="I418" t="b">
        <v>0</v>
      </c>
    </row>
    <row r="419" spans="1:9" x14ac:dyDescent="0.2">
      <c r="A419" t="s">
        <v>3988</v>
      </c>
      <c r="B419" t="s">
        <v>2601</v>
      </c>
      <c r="D419" t="b">
        <f>IFERROR(VLOOKUP(B419,PatData!$A$2:$A$2000,1,),"")&lt;&gt;""</f>
        <v>1</v>
      </c>
      <c r="E419">
        <v>0</v>
      </c>
      <c r="F419" t="b">
        <v>0</v>
      </c>
      <c r="G419" t="b">
        <v>1</v>
      </c>
      <c r="H419" t="b">
        <v>0</v>
      </c>
      <c r="I419" t="b">
        <v>0</v>
      </c>
    </row>
    <row r="420" spans="1:9" x14ac:dyDescent="0.2">
      <c r="A420" t="s">
        <v>3989</v>
      </c>
      <c r="B420" t="s">
        <v>2602</v>
      </c>
      <c r="D420" t="b">
        <f>IFERROR(VLOOKUP(B420,PatData!$A$2:$A$2000,1,),"")&lt;&gt;""</f>
        <v>1</v>
      </c>
      <c r="E420">
        <v>0</v>
      </c>
      <c r="F420" t="b">
        <v>0</v>
      </c>
      <c r="G420" t="b">
        <v>1</v>
      </c>
      <c r="H420" t="b">
        <v>0</v>
      </c>
      <c r="I420" t="b">
        <v>0</v>
      </c>
    </row>
    <row r="421" spans="1:9" x14ac:dyDescent="0.2">
      <c r="A421" t="s">
        <v>3990</v>
      </c>
      <c r="B421" t="s">
        <v>2603</v>
      </c>
      <c r="D421" t="b">
        <f>IFERROR(VLOOKUP(B421,PatData!$A$2:$A$2000,1,),"")&lt;&gt;""</f>
        <v>1</v>
      </c>
      <c r="E421">
        <v>0</v>
      </c>
      <c r="F421" t="b">
        <v>0</v>
      </c>
      <c r="G421" t="b">
        <v>1</v>
      </c>
      <c r="H421" t="b">
        <v>0</v>
      </c>
      <c r="I421" t="b">
        <v>0</v>
      </c>
    </row>
    <row r="422" spans="1:9" x14ac:dyDescent="0.2">
      <c r="A422" t="s">
        <v>3991</v>
      </c>
      <c r="B422" t="s">
        <v>2604</v>
      </c>
      <c r="D422" t="b">
        <f>IFERROR(VLOOKUP(B422,PatData!$A$2:$A$2000,1,),"")&lt;&gt;""</f>
        <v>1</v>
      </c>
      <c r="E422">
        <v>0</v>
      </c>
      <c r="F422" t="b">
        <v>0</v>
      </c>
      <c r="G422" t="b">
        <v>1</v>
      </c>
      <c r="H422" t="b">
        <v>0</v>
      </c>
      <c r="I422" t="b">
        <v>0</v>
      </c>
    </row>
    <row r="423" spans="1:9" x14ac:dyDescent="0.2">
      <c r="A423" t="s">
        <v>3992</v>
      </c>
      <c r="B423" t="s">
        <v>2605</v>
      </c>
      <c r="D423" t="b">
        <f>IFERROR(VLOOKUP(B423,PatData!$A$2:$A$2000,1,),"")&lt;&gt;""</f>
        <v>1</v>
      </c>
      <c r="E423">
        <v>0</v>
      </c>
      <c r="F423" t="b">
        <v>0</v>
      </c>
      <c r="G423" t="b">
        <v>1</v>
      </c>
      <c r="H423" t="b">
        <v>0</v>
      </c>
      <c r="I423" t="b">
        <v>0</v>
      </c>
    </row>
    <row r="424" spans="1:9" x14ac:dyDescent="0.2">
      <c r="A424" t="s">
        <v>3993</v>
      </c>
      <c r="B424" t="s">
        <v>2606</v>
      </c>
      <c r="D424" t="b">
        <f>IFERROR(VLOOKUP(B424,PatData!$A$2:$A$2000,1,),"")&lt;&gt;""</f>
        <v>1</v>
      </c>
      <c r="E424">
        <v>0</v>
      </c>
      <c r="F424" t="b">
        <v>0</v>
      </c>
      <c r="G424" t="b">
        <v>1</v>
      </c>
      <c r="H424" t="b">
        <v>0</v>
      </c>
      <c r="I424" t="b">
        <v>0</v>
      </c>
    </row>
    <row r="425" spans="1:9" x14ac:dyDescent="0.2">
      <c r="A425" t="s">
        <v>3994</v>
      </c>
      <c r="B425" t="s">
        <v>2607</v>
      </c>
      <c r="D425" t="b">
        <f>IFERROR(VLOOKUP(B425,PatData!$A$2:$A$2000,1,),"")&lt;&gt;""</f>
        <v>1</v>
      </c>
      <c r="E425">
        <v>0</v>
      </c>
      <c r="F425" t="b">
        <v>0</v>
      </c>
      <c r="G425" t="b">
        <v>1</v>
      </c>
      <c r="H425" t="b">
        <v>0</v>
      </c>
      <c r="I425" t="b">
        <v>0</v>
      </c>
    </row>
    <row r="426" spans="1:9" x14ac:dyDescent="0.2">
      <c r="A426" t="s">
        <v>3995</v>
      </c>
      <c r="B426" t="s">
        <v>2608</v>
      </c>
      <c r="D426" t="b">
        <f>IFERROR(VLOOKUP(B426,PatData!$A$2:$A$2000,1,),"")&lt;&gt;""</f>
        <v>1</v>
      </c>
      <c r="E426">
        <v>0</v>
      </c>
      <c r="F426" t="b">
        <v>0</v>
      </c>
      <c r="G426" t="b">
        <v>1</v>
      </c>
      <c r="H426" t="b">
        <v>0</v>
      </c>
      <c r="I426" t="b">
        <v>0</v>
      </c>
    </row>
    <row r="427" spans="1:9" x14ac:dyDescent="0.2">
      <c r="A427" t="s">
        <v>3996</v>
      </c>
      <c r="B427" t="s">
        <v>2609</v>
      </c>
      <c r="D427" t="b">
        <f>IFERROR(VLOOKUP(B427,PatData!$A$2:$A$2000,1,),"")&lt;&gt;""</f>
        <v>1</v>
      </c>
      <c r="E427">
        <v>0</v>
      </c>
      <c r="F427" t="b">
        <v>0</v>
      </c>
      <c r="G427" t="b">
        <v>1</v>
      </c>
      <c r="H427" t="b">
        <v>0</v>
      </c>
      <c r="I427" t="b">
        <v>0</v>
      </c>
    </row>
    <row r="428" spans="1:9" x14ac:dyDescent="0.2">
      <c r="A428" t="s">
        <v>3997</v>
      </c>
      <c r="B428" t="s">
        <v>2610</v>
      </c>
      <c r="D428" t="b">
        <f>IFERROR(VLOOKUP(B428,PatData!$A$2:$A$2000,1,),"")&lt;&gt;""</f>
        <v>1</v>
      </c>
      <c r="E428">
        <v>0</v>
      </c>
      <c r="F428" t="b">
        <v>0</v>
      </c>
      <c r="G428" t="b">
        <v>1</v>
      </c>
      <c r="H428" t="b">
        <v>0</v>
      </c>
      <c r="I428" t="b">
        <v>0</v>
      </c>
    </row>
    <row r="429" spans="1:9" x14ac:dyDescent="0.2">
      <c r="A429" t="s">
        <v>3998</v>
      </c>
      <c r="B429" t="s">
        <v>2611</v>
      </c>
      <c r="D429" t="b">
        <f>IFERROR(VLOOKUP(B429,PatData!$A$2:$A$2000,1,),"")&lt;&gt;""</f>
        <v>1</v>
      </c>
      <c r="E429">
        <v>0</v>
      </c>
      <c r="F429" t="b">
        <v>0</v>
      </c>
      <c r="G429" t="b">
        <v>1</v>
      </c>
      <c r="H429" t="b">
        <v>0</v>
      </c>
      <c r="I429" t="b">
        <v>0</v>
      </c>
    </row>
    <row r="430" spans="1:9" x14ac:dyDescent="0.2">
      <c r="A430" t="s">
        <v>3729</v>
      </c>
      <c r="B430" t="s">
        <v>2612</v>
      </c>
      <c r="D430" t="b">
        <f>IFERROR(VLOOKUP(B430,PatData!$A$2:$A$2000,1,),"")&lt;&gt;""</f>
        <v>1</v>
      </c>
      <c r="E430">
        <v>0</v>
      </c>
      <c r="F430" t="b">
        <v>0</v>
      </c>
      <c r="G430" t="b">
        <v>1</v>
      </c>
      <c r="H430" t="b">
        <v>0</v>
      </c>
      <c r="I430" t="b">
        <v>0</v>
      </c>
    </row>
    <row r="431" spans="1:9" x14ac:dyDescent="0.2">
      <c r="A431" t="s">
        <v>3730</v>
      </c>
      <c r="B431" t="s">
        <v>2613</v>
      </c>
      <c r="D431" t="b">
        <f>IFERROR(VLOOKUP(B431,PatData!$A$2:$A$2000,1,),"")&lt;&gt;""</f>
        <v>1</v>
      </c>
      <c r="E431">
        <v>0</v>
      </c>
      <c r="F431" t="b">
        <v>0</v>
      </c>
      <c r="G431" t="b">
        <v>1</v>
      </c>
      <c r="H431" t="b">
        <v>0</v>
      </c>
      <c r="I431" t="b">
        <v>0</v>
      </c>
    </row>
    <row r="432" spans="1:9" x14ac:dyDescent="0.2">
      <c r="A432" t="s">
        <v>3731</v>
      </c>
      <c r="B432" t="s">
        <v>2614</v>
      </c>
      <c r="D432" t="b">
        <f>IFERROR(VLOOKUP(B432,PatData!$A$2:$A$2000,1,),"")&lt;&gt;""</f>
        <v>1</v>
      </c>
      <c r="E432">
        <v>0</v>
      </c>
      <c r="F432" t="b">
        <v>0</v>
      </c>
      <c r="G432" t="b">
        <v>1</v>
      </c>
      <c r="H432" t="b">
        <v>0</v>
      </c>
      <c r="I432" t="b">
        <v>0</v>
      </c>
    </row>
    <row r="433" spans="1:9" x14ac:dyDescent="0.2">
      <c r="A433" t="s">
        <v>3732</v>
      </c>
      <c r="B433" t="s">
        <v>2615</v>
      </c>
      <c r="D433" t="b">
        <f>IFERROR(VLOOKUP(B433,PatData!$A$2:$A$2000,1,),"")&lt;&gt;""</f>
        <v>1</v>
      </c>
      <c r="E433">
        <v>0</v>
      </c>
      <c r="F433" t="b">
        <v>0</v>
      </c>
      <c r="G433" t="b">
        <v>1</v>
      </c>
      <c r="H433" t="b">
        <v>0</v>
      </c>
      <c r="I433" t="b">
        <v>0</v>
      </c>
    </row>
    <row r="434" spans="1:9" x14ac:dyDescent="0.2">
      <c r="A434" t="s">
        <v>3733</v>
      </c>
      <c r="B434" t="s">
        <v>2616</v>
      </c>
      <c r="D434" t="b">
        <f>IFERROR(VLOOKUP(B434,PatData!$A$2:$A$2000,1,),"")&lt;&gt;""</f>
        <v>1</v>
      </c>
      <c r="E434">
        <v>0</v>
      </c>
      <c r="F434" t="b">
        <v>0</v>
      </c>
      <c r="G434" t="b">
        <v>1</v>
      </c>
      <c r="H434" t="b">
        <v>0</v>
      </c>
      <c r="I434" t="b">
        <v>0</v>
      </c>
    </row>
    <row r="435" spans="1:9" x14ac:dyDescent="0.2">
      <c r="A435" t="s">
        <v>3734</v>
      </c>
      <c r="B435" t="s">
        <v>2617</v>
      </c>
      <c r="D435" t="b">
        <f>IFERROR(VLOOKUP(B435,PatData!$A$2:$A$2000,1,),"")&lt;&gt;""</f>
        <v>1</v>
      </c>
      <c r="E435">
        <v>0</v>
      </c>
      <c r="F435" t="b">
        <v>0</v>
      </c>
      <c r="G435" t="b">
        <v>1</v>
      </c>
      <c r="H435" t="b">
        <v>0</v>
      </c>
      <c r="I435" t="b">
        <v>0</v>
      </c>
    </row>
    <row r="436" spans="1:9" x14ac:dyDescent="0.2">
      <c r="A436" t="s">
        <v>3735</v>
      </c>
      <c r="B436" t="s">
        <v>2618</v>
      </c>
      <c r="D436" t="b">
        <f>IFERROR(VLOOKUP(B436,PatData!$A$2:$A$2000,1,),"")&lt;&gt;""</f>
        <v>1</v>
      </c>
      <c r="E436">
        <v>0</v>
      </c>
      <c r="F436" t="b">
        <v>0</v>
      </c>
      <c r="G436" t="b">
        <v>1</v>
      </c>
      <c r="H436" t="b">
        <v>0</v>
      </c>
      <c r="I436" t="b">
        <v>0</v>
      </c>
    </row>
    <row r="437" spans="1:9" x14ac:dyDescent="0.2">
      <c r="A437" t="s">
        <v>3736</v>
      </c>
      <c r="B437" t="s">
        <v>2619</v>
      </c>
      <c r="D437" t="b">
        <f>IFERROR(VLOOKUP(B437,PatData!$A$2:$A$2000,1,),"")&lt;&gt;""</f>
        <v>1</v>
      </c>
      <c r="E437">
        <v>0</v>
      </c>
      <c r="F437" t="b">
        <v>0</v>
      </c>
      <c r="G437" t="b">
        <v>1</v>
      </c>
      <c r="H437" t="b">
        <v>0</v>
      </c>
      <c r="I437" t="b">
        <v>0</v>
      </c>
    </row>
    <row r="438" spans="1:9" x14ac:dyDescent="0.2">
      <c r="A438" t="s">
        <v>3737</v>
      </c>
      <c r="B438" t="s">
        <v>2620</v>
      </c>
      <c r="D438" t="b">
        <f>IFERROR(VLOOKUP(B438,PatData!$A$2:$A$2000,1,),"")&lt;&gt;""</f>
        <v>1</v>
      </c>
      <c r="E438">
        <v>0</v>
      </c>
      <c r="F438" t="b">
        <v>0</v>
      </c>
      <c r="G438" t="b">
        <v>1</v>
      </c>
      <c r="H438" t="b">
        <v>0</v>
      </c>
      <c r="I438" t="b">
        <v>0</v>
      </c>
    </row>
    <row r="439" spans="1:9" x14ac:dyDescent="0.2">
      <c r="A439" t="s">
        <v>3738</v>
      </c>
      <c r="B439" t="s">
        <v>2621</v>
      </c>
      <c r="D439" t="b">
        <f>IFERROR(VLOOKUP(B439,PatData!$A$2:$A$2000,1,),"")&lt;&gt;""</f>
        <v>1</v>
      </c>
      <c r="E439">
        <v>0</v>
      </c>
      <c r="F439" t="b">
        <v>0</v>
      </c>
      <c r="G439" t="b">
        <v>1</v>
      </c>
      <c r="H439" t="b">
        <v>0</v>
      </c>
      <c r="I439" t="b">
        <v>0</v>
      </c>
    </row>
    <row r="440" spans="1:9" x14ac:dyDescent="0.2">
      <c r="A440" t="s">
        <v>3739</v>
      </c>
      <c r="B440" t="s">
        <v>2622</v>
      </c>
      <c r="D440" t="b">
        <f>IFERROR(VLOOKUP(B440,PatData!$A$2:$A$2000,1,),"")&lt;&gt;""</f>
        <v>1</v>
      </c>
      <c r="E440">
        <v>0</v>
      </c>
      <c r="F440" t="b">
        <v>0</v>
      </c>
      <c r="G440" t="b">
        <v>1</v>
      </c>
      <c r="H440" t="b">
        <v>0</v>
      </c>
      <c r="I440" t="b">
        <v>0</v>
      </c>
    </row>
    <row r="441" spans="1:9" x14ac:dyDescent="0.2">
      <c r="A441" t="s">
        <v>3740</v>
      </c>
      <c r="B441" t="s">
        <v>2623</v>
      </c>
      <c r="D441" t="b">
        <f>IFERROR(VLOOKUP(B441,PatData!$A$2:$A$2000,1,),"")&lt;&gt;""</f>
        <v>1</v>
      </c>
      <c r="E441">
        <v>0</v>
      </c>
      <c r="F441" t="b">
        <v>0</v>
      </c>
      <c r="G441" t="b">
        <v>1</v>
      </c>
      <c r="H441" t="b">
        <v>0</v>
      </c>
      <c r="I441" t="b">
        <v>0</v>
      </c>
    </row>
    <row r="442" spans="1:9" x14ac:dyDescent="0.2">
      <c r="A442" t="s">
        <v>3741</v>
      </c>
      <c r="B442" t="s">
        <v>2624</v>
      </c>
      <c r="D442" t="b">
        <f>IFERROR(VLOOKUP(B442,PatData!$A$2:$A$2000,1,),"")&lt;&gt;""</f>
        <v>1</v>
      </c>
      <c r="E442">
        <v>0</v>
      </c>
      <c r="F442" t="b">
        <v>0</v>
      </c>
      <c r="G442" t="b">
        <v>1</v>
      </c>
      <c r="H442" t="b">
        <v>0</v>
      </c>
      <c r="I442" t="b">
        <v>0</v>
      </c>
    </row>
    <row r="443" spans="1:9" x14ac:dyDescent="0.2">
      <c r="A443" t="s">
        <v>3742</v>
      </c>
      <c r="B443" t="s">
        <v>2625</v>
      </c>
      <c r="D443" t="b">
        <f>IFERROR(VLOOKUP(B443,PatData!$A$2:$A$2000,1,),"")&lt;&gt;""</f>
        <v>1</v>
      </c>
      <c r="E443">
        <v>0</v>
      </c>
      <c r="F443" t="b">
        <v>0</v>
      </c>
      <c r="G443" t="b">
        <v>1</v>
      </c>
      <c r="H443" t="b">
        <v>0</v>
      </c>
      <c r="I443" t="b">
        <v>0</v>
      </c>
    </row>
    <row r="444" spans="1:9" x14ac:dyDescent="0.2">
      <c r="A444" t="s">
        <v>3743</v>
      </c>
      <c r="B444" t="s">
        <v>2626</v>
      </c>
      <c r="D444" t="b">
        <f>IFERROR(VLOOKUP(B444,PatData!$A$2:$A$2000,1,),"")&lt;&gt;""</f>
        <v>1</v>
      </c>
      <c r="E444">
        <v>0</v>
      </c>
      <c r="F444" t="b">
        <v>0</v>
      </c>
      <c r="G444" t="b">
        <v>1</v>
      </c>
      <c r="H444" t="b">
        <v>0</v>
      </c>
      <c r="I444" t="b">
        <v>0</v>
      </c>
    </row>
    <row r="445" spans="1:9" x14ac:dyDescent="0.2">
      <c r="A445" t="s">
        <v>3744</v>
      </c>
      <c r="B445" t="s">
        <v>2627</v>
      </c>
      <c r="D445" t="b">
        <f>IFERROR(VLOOKUP(B445,PatData!$A$2:$A$2000,1,),"")&lt;&gt;""</f>
        <v>1</v>
      </c>
      <c r="E445">
        <v>0</v>
      </c>
      <c r="F445" t="b">
        <v>0</v>
      </c>
      <c r="G445" t="b">
        <v>1</v>
      </c>
      <c r="H445" t="b">
        <v>0</v>
      </c>
      <c r="I445" t="b">
        <v>0</v>
      </c>
    </row>
    <row r="446" spans="1:9" x14ac:dyDescent="0.2">
      <c r="A446" t="s">
        <v>3745</v>
      </c>
      <c r="B446" t="s">
        <v>2628</v>
      </c>
      <c r="D446" t="b">
        <f>IFERROR(VLOOKUP(B446,PatData!$A$2:$A$2000,1,),"")&lt;&gt;""</f>
        <v>1</v>
      </c>
      <c r="E446">
        <v>0</v>
      </c>
      <c r="F446" t="b">
        <v>0</v>
      </c>
      <c r="G446" t="b">
        <v>1</v>
      </c>
      <c r="H446" t="b">
        <v>0</v>
      </c>
      <c r="I446" t="b">
        <v>0</v>
      </c>
    </row>
    <row r="447" spans="1:9" x14ac:dyDescent="0.2">
      <c r="A447" t="s">
        <v>3746</v>
      </c>
      <c r="B447" t="s">
        <v>2629</v>
      </c>
      <c r="D447" t="b">
        <f>IFERROR(VLOOKUP(B447,PatData!$A$2:$A$2000,1,),"")&lt;&gt;""</f>
        <v>1</v>
      </c>
      <c r="E447">
        <v>0</v>
      </c>
      <c r="F447" t="b">
        <v>0</v>
      </c>
      <c r="G447" t="b">
        <v>1</v>
      </c>
      <c r="H447" t="b">
        <v>0</v>
      </c>
      <c r="I447" t="b">
        <v>0</v>
      </c>
    </row>
    <row r="448" spans="1:9" x14ac:dyDescent="0.2">
      <c r="A448" t="s">
        <v>3747</v>
      </c>
      <c r="B448" t="s">
        <v>2630</v>
      </c>
      <c r="D448" t="b">
        <f>IFERROR(VLOOKUP(B448,PatData!$A$2:$A$2000,1,),"")&lt;&gt;""</f>
        <v>1</v>
      </c>
      <c r="E448">
        <v>0</v>
      </c>
      <c r="F448" t="b">
        <v>0</v>
      </c>
      <c r="G448" t="b">
        <v>1</v>
      </c>
      <c r="H448" t="b">
        <v>0</v>
      </c>
      <c r="I448" t="b">
        <v>0</v>
      </c>
    </row>
    <row r="449" spans="1:9" x14ac:dyDescent="0.2">
      <c r="A449" t="s">
        <v>3748</v>
      </c>
      <c r="B449" t="s">
        <v>2631</v>
      </c>
      <c r="D449" t="b">
        <f>IFERROR(VLOOKUP(B449,PatData!$A$2:$A$2000,1,),"")&lt;&gt;""</f>
        <v>1</v>
      </c>
      <c r="E449">
        <v>0</v>
      </c>
      <c r="F449" t="b">
        <v>0</v>
      </c>
      <c r="G449" t="b">
        <v>1</v>
      </c>
      <c r="H449" t="b">
        <v>0</v>
      </c>
      <c r="I449" t="b">
        <v>0</v>
      </c>
    </row>
    <row r="450" spans="1:9" x14ac:dyDescent="0.2">
      <c r="A450" t="s">
        <v>3749</v>
      </c>
      <c r="B450" t="s">
        <v>2632</v>
      </c>
      <c r="D450" t="b">
        <f>IFERROR(VLOOKUP(B450,PatData!$A$2:$A$2000,1,),"")&lt;&gt;""</f>
        <v>1</v>
      </c>
      <c r="E450">
        <v>0</v>
      </c>
      <c r="F450" t="b">
        <v>0</v>
      </c>
      <c r="G450" t="b">
        <v>1</v>
      </c>
      <c r="H450" t="b">
        <v>0</v>
      </c>
      <c r="I450" t="b">
        <v>0</v>
      </c>
    </row>
    <row r="451" spans="1:9" x14ac:dyDescent="0.2">
      <c r="A451" t="s">
        <v>3750</v>
      </c>
      <c r="B451" t="s">
        <v>2633</v>
      </c>
      <c r="D451" t="b">
        <f>IFERROR(VLOOKUP(B451,PatData!$A$2:$A$2000,1,),"")&lt;&gt;""</f>
        <v>1</v>
      </c>
      <c r="E451">
        <v>0</v>
      </c>
      <c r="F451" t="b">
        <v>0</v>
      </c>
      <c r="G451" t="b">
        <v>1</v>
      </c>
      <c r="H451" t="b">
        <v>0</v>
      </c>
      <c r="I451" t="b">
        <v>0</v>
      </c>
    </row>
    <row r="452" spans="1:9" x14ac:dyDescent="0.2">
      <c r="A452" t="s">
        <v>3751</v>
      </c>
      <c r="B452" t="s">
        <v>2634</v>
      </c>
      <c r="D452" t="b">
        <f>IFERROR(VLOOKUP(B452,PatData!$A$2:$A$2000,1,),"")&lt;&gt;""</f>
        <v>1</v>
      </c>
      <c r="E452">
        <v>0</v>
      </c>
      <c r="F452" t="b">
        <v>0</v>
      </c>
      <c r="G452" t="b">
        <v>1</v>
      </c>
      <c r="H452" t="b">
        <v>0</v>
      </c>
      <c r="I452" t="b">
        <v>0</v>
      </c>
    </row>
    <row r="453" spans="1:9" x14ac:dyDescent="0.2">
      <c r="A453" t="s">
        <v>3752</v>
      </c>
      <c r="B453" t="s">
        <v>2635</v>
      </c>
      <c r="D453" t="b">
        <f>IFERROR(VLOOKUP(B453,PatData!$A$2:$A$2000,1,),"")&lt;&gt;""</f>
        <v>1</v>
      </c>
      <c r="E453">
        <v>0</v>
      </c>
      <c r="F453" t="b">
        <v>0</v>
      </c>
      <c r="G453" t="b">
        <v>1</v>
      </c>
      <c r="H453" t="b">
        <v>0</v>
      </c>
      <c r="I453" t="b">
        <v>0</v>
      </c>
    </row>
    <row r="454" spans="1:9" x14ac:dyDescent="0.2">
      <c r="A454" t="s">
        <v>3753</v>
      </c>
      <c r="B454" t="s">
        <v>2636</v>
      </c>
      <c r="D454" t="b">
        <f>IFERROR(VLOOKUP(B454,PatData!$A$2:$A$2000,1,),"")&lt;&gt;""</f>
        <v>1</v>
      </c>
      <c r="E454">
        <v>0</v>
      </c>
      <c r="F454" t="b">
        <v>0</v>
      </c>
      <c r="G454" t="b">
        <v>1</v>
      </c>
      <c r="H454" t="b">
        <v>0</v>
      </c>
      <c r="I454" t="b">
        <v>0</v>
      </c>
    </row>
    <row r="455" spans="1:9" x14ac:dyDescent="0.2">
      <c r="A455" t="s">
        <v>3754</v>
      </c>
      <c r="B455" t="s">
        <v>2637</v>
      </c>
      <c r="D455" t="b">
        <f>IFERROR(VLOOKUP(B455,PatData!$A$2:$A$2000,1,),"")&lt;&gt;""</f>
        <v>1</v>
      </c>
      <c r="E455">
        <v>0</v>
      </c>
      <c r="F455" t="b">
        <v>0</v>
      </c>
      <c r="G455" t="b">
        <v>1</v>
      </c>
      <c r="H455" t="b">
        <v>0</v>
      </c>
      <c r="I455" t="b">
        <v>0</v>
      </c>
    </row>
    <row r="456" spans="1:9" x14ac:dyDescent="0.2">
      <c r="A456" t="s">
        <v>3755</v>
      </c>
      <c r="B456" t="s">
        <v>2638</v>
      </c>
      <c r="D456" t="b">
        <f>IFERROR(VLOOKUP(B456,PatData!$A$2:$A$2000,1,),"")&lt;&gt;""</f>
        <v>1</v>
      </c>
      <c r="E456">
        <v>0</v>
      </c>
      <c r="F456" t="b">
        <v>0</v>
      </c>
      <c r="G456" t="b">
        <v>1</v>
      </c>
      <c r="H456" t="b">
        <v>0</v>
      </c>
      <c r="I456" t="b">
        <v>0</v>
      </c>
    </row>
    <row r="457" spans="1:9" x14ac:dyDescent="0.2">
      <c r="A457" t="s">
        <v>3756</v>
      </c>
      <c r="B457" t="s">
        <v>2639</v>
      </c>
      <c r="D457" t="b">
        <f>IFERROR(VLOOKUP(B457,PatData!$A$2:$A$2000,1,),"")&lt;&gt;""</f>
        <v>1</v>
      </c>
      <c r="E457">
        <v>0</v>
      </c>
      <c r="F457" t="b">
        <v>0</v>
      </c>
      <c r="G457" t="b">
        <v>1</v>
      </c>
      <c r="H457" t="b">
        <v>0</v>
      </c>
      <c r="I457" t="b">
        <v>0</v>
      </c>
    </row>
    <row r="458" spans="1:9" x14ac:dyDescent="0.2">
      <c r="A458" t="s">
        <v>3757</v>
      </c>
      <c r="B458" t="s">
        <v>2640</v>
      </c>
      <c r="D458" t="b">
        <f>IFERROR(VLOOKUP(B458,PatData!$A$2:$A$2000,1,),"")&lt;&gt;""</f>
        <v>1</v>
      </c>
      <c r="E458">
        <v>0</v>
      </c>
      <c r="F458" t="b">
        <v>0</v>
      </c>
      <c r="G458" t="b">
        <v>1</v>
      </c>
      <c r="H458" t="b">
        <v>0</v>
      </c>
      <c r="I458" t="b">
        <v>0</v>
      </c>
    </row>
    <row r="459" spans="1:9" x14ac:dyDescent="0.2">
      <c r="A459" t="s">
        <v>3758</v>
      </c>
      <c r="B459" t="s">
        <v>2641</v>
      </c>
      <c r="D459" t="b">
        <f>IFERROR(VLOOKUP(B459,PatData!$A$2:$A$2000,1,),"")&lt;&gt;""</f>
        <v>1</v>
      </c>
      <c r="E459">
        <v>0</v>
      </c>
      <c r="F459" t="b">
        <v>0</v>
      </c>
      <c r="G459" t="b">
        <v>1</v>
      </c>
      <c r="H459" t="b">
        <v>0</v>
      </c>
      <c r="I459" t="b">
        <v>0</v>
      </c>
    </row>
    <row r="460" spans="1:9" x14ac:dyDescent="0.2">
      <c r="A460" t="s">
        <v>4601</v>
      </c>
      <c r="B460" t="s">
        <v>2642</v>
      </c>
      <c r="D460" t="b">
        <f>IFERROR(VLOOKUP(B460,PatData!$A$2:$A$2000,1,),"")&lt;&gt;""</f>
        <v>1</v>
      </c>
      <c r="E460"/>
      <c r="F460" t="b">
        <v>0</v>
      </c>
      <c r="G460" t="b">
        <v>1</v>
      </c>
      <c r="H460" t="b">
        <v>0</v>
      </c>
      <c r="I460" t="b">
        <v>0</v>
      </c>
    </row>
    <row r="461" spans="1:9" x14ac:dyDescent="0.2">
      <c r="A461" t="s">
        <v>4602</v>
      </c>
      <c r="B461" t="s">
        <v>2643</v>
      </c>
      <c r="D461" t="b">
        <f>IFERROR(VLOOKUP(B461,PatData!$A$2:$A$2000,1,),"")&lt;&gt;""</f>
        <v>1</v>
      </c>
      <c r="E461"/>
      <c r="F461" t="b">
        <v>0</v>
      </c>
      <c r="G461" t="b">
        <v>1</v>
      </c>
      <c r="H461" t="b">
        <v>0</v>
      </c>
      <c r="I461" t="b">
        <v>0</v>
      </c>
    </row>
    <row r="462" spans="1:9" x14ac:dyDescent="0.2">
      <c r="A462" t="s">
        <v>4603</v>
      </c>
      <c r="B462" t="s">
        <v>2644</v>
      </c>
      <c r="D462" t="b">
        <f>IFERROR(VLOOKUP(B462,PatData!$A$2:$A$2000,1,),"")&lt;&gt;""</f>
        <v>1</v>
      </c>
      <c r="E462"/>
      <c r="F462" t="b">
        <v>0</v>
      </c>
      <c r="G462" t="b">
        <v>1</v>
      </c>
      <c r="H462" t="b">
        <v>0</v>
      </c>
      <c r="I462" t="b">
        <v>0</v>
      </c>
    </row>
    <row r="463" spans="1:9" x14ac:dyDescent="0.2">
      <c r="A463" t="s">
        <v>4604</v>
      </c>
      <c r="B463" t="s">
        <v>2645</v>
      </c>
      <c r="D463" t="b">
        <f>IFERROR(VLOOKUP(B463,PatData!$A$2:$A$2000,1,),"")&lt;&gt;""</f>
        <v>1</v>
      </c>
      <c r="E463"/>
      <c r="F463" t="b">
        <v>0</v>
      </c>
      <c r="G463" t="b">
        <v>1</v>
      </c>
      <c r="H463" t="b">
        <v>0</v>
      </c>
      <c r="I463" t="b">
        <v>0</v>
      </c>
    </row>
    <row r="464" spans="1:9" x14ac:dyDescent="0.2">
      <c r="A464" t="s">
        <v>4605</v>
      </c>
      <c r="B464" t="s">
        <v>2646</v>
      </c>
      <c r="D464" t="b">
        <f>IFERROR(VLOOKUP(B464,PatData!$A$2:$A$2000,1,),"")&lt;&gt;""</f>
        <v>1</v>
      </c>
      <c r="E464"/>
      <c r="F464" t="b">
        <v>0</v>
      </c>
      <c r="G464" t="b">
        <v>1</v>
      </c>
      <c r="H464" t="b">
        <v>0</v>
      </c>
      <c r="I464" t="b">
        <v>0</v>
      </c>
    </row>
    <row r="465" spans="1:9" x14ac:dyDescent="0.2">
      <c r="A465" t="s">
        <v>4606</v>
      </c>
      <c r="B465" t="s">
        <v>2647</v>
      </c>
      <c r="D465" t="b">
        <f>IFERROR(VLOOKUP(B465,PatData!$A$2:$A$2000,1,),"")&lt;&gt;""</f>
        <v>1</v>
      </c>
      <c r="E465"/>
      <c r="F465" t="b">
        <v>0</v>
      </c>
      <c r="G465" t="b">
        <v>1</v>
      </c>
      <c r="H465" t="b">
        <v>0</v>
      </c>
      <c r="I465" t="b">
        <v>0</v>
      </c>
    </row>
    <row r="466" spans="1:9" x14ac:dyDescent="0.2">
      <c r="A466" t="s">
        <v>4607</v>
      </c>
      <c r="B466" t="s">
        <v>2648</v>
      </c>
      <c r="D466" t="b">
        <f>IFERROR(VLOOKUP(B466,PatData!$A$2:$A$2000,1,),"")&lt;&gt;""</f>
        <v>1</v>
      </c>
      <c r="E466"/>
      <c r="F466" t="b">
        <v>0</v>
      </c>
      <c r="G466" t="b">
        <v>1</v>
      </c>
      <c r="H466" t="b">
        <v>0</v>
      </c>
      <c r="I466" t="b">
        <v>0</v>
      </c>
    </row>
    <row r="467" spans="1:9" x14ac:dyDescent="0.2">
      <c r="A467" t="s">
        <v>4608</v>
      </c>
      <c r="B467" t="s">
        <v>2649</v>
      </c>
      <c r="D467" t="b">
        <f>IFERROR(VLOOKUP(B467,PatData!$A$2:$A$2000,1,),"")&lt;&gt;""</f>
        <v>1</v>
      </c>
      <c r="E467"/>
      <c r="F467" t="b">
        <v>0</v>
      </c>
      <c r="G467" t="b">
        <v>1</v>
      </c>
      <c r="H467" t="b">
        <v>0</v>
      </c>
      <c r="I467" t="b">
        <v>0</v>
      </c>
    </row>
    <row r="468" spans="1:9" x14ac:dyDescent="0.2">
      <c r="A468" t="s">
        <v>4609</v>
      </c>
      <c r="B468" t="s">
        <v>2650</v>
      </c>
      <c r="D468" t="b">
        <f>IFERROR(VLOOKUP(B468,PatData!$A$2:$A$2000,1,),"")&lt;&gt;""</f>
        <v>1</v>
      </c>
      <c r="E468"/>
      <c r="F468" t="b">
        <v>0</v>
      </c>
      <c r="G468" t="b">
        <v>1</v>
      </c>
      <c r="H468" t="b">
        <v>0</v>
      </c>
      <c r="I468" t="b">
        <v>0</v>
      </c>
    </row>
    <row r="469" spans="1:9" x14ac:dyDescent="0.2">
      <c r="A469" t="s">
        <v>4610</v>
      </c>
      <c r="B469" t="s">
        <v>2651</v>
      </c>
      <c r="D469" t="b">
        <f>IFERROR(VLOOKUP(B469,PatData!$A$2:$A$2000,1,),"")&lt;&gt;""</f>
        <v>1</v>
      </c>
      <c r="E469"/>
      <c r="F469" t="b">
        <v>0</v>
      </c>
      <c r="G469" t="b">
        <v>1</v>
      </c>
      <c r="H469" t="b">
        <v>0</v>
      </c>
      <c r="I469" t="b">
        <v>0</v>
      </c>
    </row>
    <row r="470" spans="1:9" x14ac:dyDescent="0.2">
      <c r="A470" t="s">
        <v>4611</v>
      </c>
      <c r="B470" t="s">
        <v>2652</v>
      </c>
      <c r="D470" t="b">
        <f>IFERROR(VLOOKUP(B470,PatData!$A$2:$A$2000,1,),"")&lt;&gt;""</f>
        <v>1</v>
      </c>
      <c r="E470"/>
      <c r="F470" t="b">
        <v>0</v>
      </c>
      <c r="G470" t="b">
        <v>1</v>
      </c>
      <c r="H470" t="b">
        <v>0</v>
      </c>
      <c r="I470" t="b">
        <v>0</v>
      </c>
    </row>
    <row r="471" spans="1:9" x14ac:dyDescent="0.2">
      <c r="A471" t="s">
        <v>4612</v>
      </c>
      <c r="B471" t="s">
        <v>2653</v>
      </c>
      <c r="D471" t="b">
        <f>IFERROR(VLOOKUP(B471,PatData!$A$2:$A$2000,1,),"")&lt;&gt;""</f>
        <v>1</v>
      </c>
      <c r="E471"/>
      <c r="F471" t="b">
        <v>0</v>
      </c>
      <c r="G471" t="b">
        <v>1</v>
      </c>
      <c r="H471" t="b">
        <v>0</v>
      </c>
      <c r="I471" t="b">
        <v>0</v>
      </c>
    </row>
    <row r="472" spans="1:9" x14ac:dyDescent="0.2">
      <c r="A472" t="s">
        <v>4613</v>
      </c>
      <c r="B472" t="s">
        <v>2654</v>
      </c>
      <c r="D472" t="b">
        <f>IFERROR(VLOOKUP(B472,PatData!$A$2:$A$2000,1,),"")&lt;&gt;""</f>
        <v>1</v>
      </c>
      <c r="E472"/>
      <c r="F472" t="b">
        <v>0</v>
      </c>
      <c r="G472" t="b">
        <v>1</v>
      </c>
      <c r="H472" t="b">
        <v>0</v>
      </c>
      <c r="I472" t="b">
        <v>0</v>
      </c>
    </row>
    <row r="473" spans="1:9" x14ac:dyDescent="0.2">
      <c r="A473" t="s">
        <v>4614</v>
      </c>
      <c r="B473" t="s">
        <v>2655</v>
      </c>
      <c r="D473" t="b">
        <f>IFERROR(VLOOKUP(B473,PatData!$A$2:$A$2000,1,),"")&lt;&gt;""</f>
        <v>1</v>
      </c>
      <c r="E473"/>
      <c r="F473" t="b">
        <v>0</v>
      </c>
      <c r="G473" t="b">
        <v>1</v>
      </c>
      <c r="H473" t="b">
        <v>0</v>
      </c>
      <c r="I473" t="b">
        <v>0</v>
      </c>
    </row>
    <row r="474" spans="1:9" x14ac:dyDescent="0.2">
      <c r="A474" t="s">
        <v>4615</v>
      </c>
      <c r="B474" t="s">
        <v>2656</v>
      </c>
      <c r="D474" t="b">
        <f>IFERROR(VLOOKUP(B474,PatData!$A$2:$A$2000,1,),"")&lt;&gt;""</f>
        <v>1</v>
      </c>
      <c r="E474"/>
      <c r="F474" t="b">
        <v>0</v>
      </c>
      <c r="G474" t="b">
        <v>1</v>
      </c>
      <c r="H474" t="b">
        <v>0</v>
      </c>
      <c r="I474" t="b">
        <v>0</v>
      </c>
    </row>
    <row r="475" spans="1:9" x14ac:dyDescent="0.2">
      <c r="A475" t="s">
        <v>4616</v>
      </c>
      <c r="B475" t="s">
        <v>2657</v>
      </c>
      <c r="D475" t="b">
        <f>IFERROR(VLOOKUP(B475,PatData!$A$2:$A$2000,1,),"")&lt;&gt;""</f>
        <v>1</v>
      </c>
      <c r="E475"/>
      <c r="F475" t="b">
        <v>0</v>
      </c>
      <c r="G475" t="b">
        <v>1</v>
      </c>
      <c r="H475" t="b">
        <v>0</v>
      </c>
      <c r="I475" t="b">
        <v>0</v>
      </c>
    </row>
    <row r="476" spans="1:9" x14ac:dyDescent="0.2">
      <c r="A476" t="s">
        <v>4617</v>
      </c>
      <c r="B476" t="s">
        <v>2658</v>
      </c>
      <c r="D476" t="b">
        <f>IFERROR(VLOOKUP(B476,PatData!$A$2:$A$2000,1,),"")&lt;&gt;""</f>
        <v>1</v>
      </c>
      <c r="E476"/>
      <c r="F476" t="b">
        <v>0</v>
      </c>
      <c r="G476" t="b">
        <v>1</v>
      </c>
      <c r="H476" t="b">
        <v>0</v>
      </c>
      <c r="I476" t="b">
        <v>0</v>
      </c>
    </row>
    <row r="477" spans="1:9" x14ac:dyDescent="0.2">
      <c r="A477" t="s">
        <v>4618</v>
      </c>
      <c r="B477" t="s">
        <v>2659</v>
      </c>
      <c r="D477" t="b">
        <f>IFERROR(VLOOKUP(B477,PatData!$A$2:$A$2000,1,),"")&lt;&gt;""</f>
        <v>1</v>
      </c>
      <c r="E477"/>
      <c r="F477" t="b">
        <v>0</v>
      </c>
      <c r="G477" t="b">
        <v>1</v>
      </c>
      <c r="H477" t="b">
        <v>0</v>
      </c>
      <c r="I477" t="b">
        <v>0</v>
      </c>
    </row>
    <row r="478" spans="1:9" x14ac:dyDescent="0.2">
      <c r="A478" t="s">
        <v>4619</v>
      </c>
      <c r="B478" t="s">
        <v>2660</v>
      </c>
      <c r="D478" t="b">
        <f>IFERROR(VLOOKUP(B478,PatData!$A$2:$A$2000,1,),"")&lt;&gt;""</f>
        <v>1</v>
      </c>
      <c r="E478"/>
      <c r="F478" t="b">
        <v>0</v>
      </c>
      <c r="G478" t="b">
        <v>1</v>
      </c>
      <c r="H478" t="b">
        <v>0</v>
      </c>
      <c r="I478" t="b">
        <v>0</v>
      </c>
    </row>
    <row r="479" spans="1:9" x14ac:dyDescent="0.2">
      <c r="A479" t="s">
        <v>4620</v>
      </c>
      <c r="B479" t="s">
        <v>2661</v>
      </c>
      <c r="D479" t="b">
        <f>IFERROR(VLOOKUP(B479,PatData!$A$2:$A$2000,1,),"")&lt;&gt;""</f>
        <v>1</v>
      </c>
      <c r="E479"/>
      <c r="F479" t="b">
        <v>0</v>
      </c>
      <c r="G479" t="b">
        <v>1</v>
      </c>
      <c r="H479" t="b">
        <v>0</v>
      </c>
      <c r="I479" t="b">
        <v>0</v>
      </c>
    </row>
    <row r="480" spans="1:9" x14ac:dyDescent="0.2">
      <c r="A480" t="s">
        <v>4621</v>
      </c>
      <c r="B480" t="s">
        <v>2662</v>
      </c>
      <c r="D480" t="b">
        <f>IFERROR(VLOOKUP(B480,PatData!$A$2:$A$2000,1,),"")&lt;&gt;""</f>
        <v>1</v>
      </c>
      <c r="E480"/>
      <c r="F480" t="b">
        <v>0</v>
      </c>
      <c r="G480" t="b">
        <v>1</v>
      </c>
      <c r="H480" t="b">
        <v>0</v>
      </c>
      <c r="I480" t="b">
        <v>0</v>
      </c>
    </row>
    <row r="481" spans="1:9" x14ac:dyDescent="0.2">
      <c r="A481" t="s">
        <v>4622</v>
      </c>
      <c r="B481" t="s">
        <v>2663</v>
      </c>
      <c r="D481" t="b">
        <f>IFERROR(VLOOKUP(B481,PatData!$A$2:$A$2000,1,),"")&lt;&gt;""</f>
        <v>1</v>
      </c>
      <c r="E481"/>
      <c r="F481" t="b">
        <v>0</v>
      </c>
      <c r="G481" t="b">
        <v>1</v>
      </c>
      <c r="H481" t="b">
        <v>0</v>
      </c>
      <c r="I481" t="b">
        <v>0</v>
      </c>
    </row>
    <row r="482" spans="1:9" x14ac:dyDescent="0.2">
      <c r="A482" t="s">
        <v>4623</v>
      </c>
      <c r="B482" t="s">
        <v>2664</v>
      </c>
      <c r="D482" t="b">
        <f>IFERROR(VLOOKUP(B482,PatData!$A$2:$A$2000,1,),"")&lt;&gt;""</f>
        <v>1</v>
      </c>
      <c r="E482"/>
      <c r="F482" t="b">
        <v>0</v>
      </c>
      <c r="G482" t="b">
        <v>1</v>
      </c>
      <c r="H482" t="b">
        <v>0</v>
      </c>
      <c r="I482" t="b">
        <v>0</v>
      </c>
    </row>
    <row r="483" spans="1:9" x14ac:dyDescent="0.2">
      <c r="A483" t="s">
        <v>4624</v>
      </c>
      <c r="B483" t="s">
        <v>2665</v>
      </c>
      <c r="D483" t="b">
        <f>IFERROR(VLOOKUP(B483,PatData!$A$2:$A$2000,1,),"")&lt;&gt;""</f>
        <v>1</v>
      </c>
      <c r="E483"/>
      <c r="F483" t="b">
        <v>0</v>
      </c>
      <c r="G483" t="b">
        <v>1</v>
      </c>
      <c r="H483" t="b">
        <v>0</v>
      </c>
      <c r="I483" t="b">
        <v>0</v>
      </c>
    </row>
    <row r="484" spans="1:9" x14ac:dyDescent="0.2">
      <c r="A484" t="s">
        <v>4625</v>
      </c>
      <c r="B484" t="s">
        <v>2666</v>
      </c>
      <c r="D484" t="b">
        <f>IFERROR(VLOOKUP(B484,PatData!$A$2:$A$2000,1,),"")&lt;&gt;""</f>
        <v>1</v>
      </c>
      <c r="E484"/>
      <c r="F484" t="b">
        <v>0</v>
      </c>
      <c r="G484" t="b">
        <v>1</v>
      </c>
      <c r="H484" t="b">
        <v>0</v>
      </c>
      <c r="I484" t="b">
        <v>0</v>
      </c>
    </row>
    <row r="485" spans="1:9" x14ac:dyDescent="0.2">
      <c r="A485" t="s">
        <v>4626</v>
      </c>
      <c r="B485" t="s">
        <v>2667</v>
      </c>
      <c r="D485" t="b">
        <f>IFERROR(VLOOKUP(B485,PatData!$A$2:$A$2000,1,),"")&lt;&gt;""</f>
        <v>1</v>
      </c>
      <c r="E485"/>
      <c r="F485" t="b">
        <v>0</v>
      </c>
      <c r="G485" t="b">
        <v>1</v>
      </c>
      <c r="H485" t="b">
        <v>0</v>
      </c>
      <c r="I485" t="b">
        <v>0</v>
      </c>
    </row>
    <row r="486" spans="1:9" x14ac:dyDescent="0.2">
      <c r="A486" t="s">
        <v>4627</v>
      </c>
      <c r="B486" t="s">
        <v>2668</v>
      </c>
      <c r="D486" t="b">
        <f>IFERROR(VLOOKUP(B486,PatData!$A$2:$A$2000,1,),"")&lt;&gt;""</f>
        <v>1</v>
      </c>
      <c r="E486"/>
      <c r="F486" t="b">
        <v>0</v>
      </c>
      <c r="G486" t="b">
        <v>1</v>
      </c>
      <c r="H486" t="b">
        <v>0</v>
      </c>
      <c r="I486" t="b">
        <v>0</v>
      </c>
    </row>
    <row r="487" spans="1:9" x14ac:dyDescent="0.2">
      <c r="A487" t="s">
        <v>4628</v>
      </c>
      <c r="B487" t="s">
        <v>2669</v>
      </c>
      <c r="D487" t="b">
        <f>IFERROR(VLOOKUP(B487,PatData!$A$2:$A$2000,1,),"")&lt;&gt;""</f>
        <v>1</v>
      </c>
      <c r="E487"/>
      <c r="F487" t="b">
        <v>0</v>
      </c>
      <c r="G487" t="b">
        <v>1</v>
      </c>
      <c r="H487" t="b">
        <v>0</v>
      </c>
      <c r="I487" t="b">
        <v>0</v>
      </c>
    </row>
    <row r="488" spans="1:9" x14ac:dyDescent="0.2">
      <c r="A488" t="s">
        <v>4629</v>
      </c>
      <c r="B488" t="s">
        <v>2670</v>
      </c>
      <c r="D488" t="b">
        <f>IFERROR(VLOOKUP(B488,PatData!$A$2:$A$2000,1,),"")&lt;&gt;""</f>
        <v>1</v>
      </c>
      <c r="E488"/>
      <c r="F488" t="b">
        <v>0</v>
      </c>
      <c r="G488" t="b">
        <v>1</v>
      </c>
      <c r="H488" t="b">
        <v>0</v>
      </c>
      <c r="I488" t="b">
        <v>0</v>
      </c>
    </row>
    <row r="489" spans="1:9" x14ac:dyDescent="0.2">
      <c r="A489" t="s">
        <v>4630</v>
      </c>
      <c r="B489" t="s">
        <v>2671</v>
      </c>
      <c r="D489" t="b">
        <f>IFERROR(VLOOKUP(B489,PatData!$A$2:$A$2000,1,),"")&lt;&gt;""</f>
        <v>1</v>
      </c>
      <c r="E489"/>
      <c r="F489" t="b">
        <v>0</v>
      </c>
      <c r="G489" t="b">
        <v>1</v>
      </c>
      <c r="H489" t="b">
        <v>0</v>
      </c>
      <c r="I489" t="b">
        <v>0</v>
      </c>
    </row>
    <row r="490" spans="1:9" x14ac:dyDescent="0.2">
      <c r="A490" t="s">
        <v>4059</v>
      </c>
      <c r="B490" t="s">
        <v>2672</v>
      </c>
      <c r="D490" t="b">
        <f>IFERROR(VLOOKUP(B490,PatData!$A$2:$A$2000,1,),"")&lt;&gt;""</f>
        <v>1</v>
      </c>
      <c r="E490">
        <v>1</v>
      </c>
      <c r="F490" t="b">
        <v>0</v>
      </c>
      <c r="G490" t="b">
        <v>1</v>
      </c>
      <c r="H490" t="b">
        <v>0</v>
      </c>
      <c r="I490" t="b">
        <v>0</v>
      </c>
    </row>
    <row r="491" spans="1:9" x14ac:dyDescent="0.2">
      <c r="A491" t="s">
        <v>4060</v>
      </c>
      <c r="B491" t="s">
        <v>2673</v>
      </c>
      <c r="D491" t="b">
        <f>IFERROR(VLOOKUP(B491,PatData!$A$2:$A$2000,1,),"")&lt;&gt;""</f>
        <v>1</v>
      </c>
      <c r="E491">
        <v>1</v>
      </c>
      <c r="F491" t="b">
        <v>0</v>
      </c>
      <c r="G491" t="b">
        <v>1</v>
      </c>
      <c r="H491" t="b">
        <v>0</v>
      </c>
      <c r="I491" t="b">
        <v>0</v>
      </c>
    </row>
    <row r="492" spans="1:9" x14ac:dyDescent="0.2">
      <c r="A492" t="s">
        <v>4061</v>
      </c>
      <c r="B492" t="s">
        <v>2674</v>
      </c>
      <c r="D492" t="b">
        <f>IFERROR(VLOOKUP(B492,PatData!$A$2:$A$2000,1,),"")&lt;&gt;""</f>
        <v>1</v>
      </c>
      <c r="E492">
        <v>1</v>
      </c>
      <c r="F492" t="b">
        <v>0</v>
      </c>
      <c r="G492" t="b">
        <v>1</v>
      </c>
      <c r="H492" t="b">
        <v>0</v>
      </c>
      <c r="I492" t="b">
        <v>0</v>
      </c>
    </row>
    <row r="493" spans="1:9" x14ac:dyDescent="0.2">
      <c r="A493" t="s">
        <v>4062</v>
      </c>
      <c r="B493" t="s">
        <v>2675</v>
      </c>
      <c r="D493" t="b">
        <f>IFERROR(VLOOKUP(B493,PatData!$A$2:$A$2000,1,),"")&lt;&gt;""</f>
        <v>1</v>
      </c>
      <c r="E493">
        <v>1</v>
      </c>
      <c r="F493" t="b">
        <v>0</v>
      </c>
      <c r="G493" t="b">
        <v>1</v>
      </c>
      <c r="H493" t="b">
        <v>0</v>
      </c>
      <c r="I493" t="b">
        <v>0</v>
      </c>
    </row>
    <row r="494" spans="1:9" x14ac:dyDescent="0.2">
      <c r="A494" t="s">
        <v>4063</v>
      </c>
      <c r="B494" t="s">
        <v>2676</v>
      </c>
      <c r="D494" t="b">
        <f>IFERROR(VLOOKUP(B494,PatData!$A$2:$A$2000,1,),"")&lt;&gt;""</f>
        <v>1</v>
      </c>
      <c r="E494">
        <v>1</v>
      </c>
      <c r="F494" t="b">
        <v>0</v>
      </c>
      <c r="G494" t="b">
        <v>1</v>
      </c>
      <c r="H494" t="b">
        <v>0</v>
      </c>
      <c r="I494" t="b">
        <v>0</v>
      </c>
    </row>
    <row r="495" spans="1:9" x14ac:dyDescent="0.2">
      <c r="A495" t="s">
        <v>4064</v>
      </c>
      <c r="B495" t="s">
        <v>2677</v>
      </c>
      <c r="D495" t="b">
        <f>IFERROR(VLOOKUP(B495,PatData!$A$2:$A$2000,1,),"")&lt;&gt;""</f>
        <v>1</v>
      </c>
      <c r="E495">
        <v>1</v>
      </c>
      <c r="F495" t="b">
        <v>0</v>
      </c>
      <c r="G495" t="b">
        <v>1</v>
      </c>
      <c r="H495" t="b">
        <v>0</v>
      </c>
      <c r="I495" t="b">
        <v>0</v>
      </c>
    </row>
    <row r="496" spans="1:9" x14ac:dyDescent="0.2">
      <c r="A496" t="s">
        <v>4065</v>
      </c>
      <c r="B496" t="s">
        <v>2678</v>
      </c>
      <c r="D496" t="b">
        <f>IFERROR(VLOOKUP(B496,PatData!$A$2:$A$2000,1,),"")&lt;&gt;""</f>
        <v>1</v>
      </c>
      <c r="E496">
        <v>1</v>
      </c>
      <c r="F496" t="b">
        <v>0</v>
      </c>
      <c r="G496" t="b">
        <v>1</v>
      </c>
      <c r="H496" t="b">
        <v>0</v>
      </c>
      <c r="I496" t="b">
        <v>0</v>
      </c>
    </row>
    <row r="497" spans="1:9" x14ac:dyDescent="0.2">
      <c r="A497" t="s">
        <v>4066</v>
      </c>
      <c r="B497" t="s">
        <v>2679</v>
      </c>
      <c r="D497" t="b">
        <f>IFERROR(VLOOKUP(B497,PatData!$A$2:$A$2000,1,),"")&lt;&gt;""</f>
        <v>1</v>
      </c>
      <c r="E497">
        <v>1</v>
      </c>
      <c r="F497" t="b">
        <v>0</v>
      </c>
      <c r="G497" t="b">
        <v>1</v>
      </c>
      <c r="H497" t="b">
        <v>0</v>
      </c>
      <c r="I497" t="b">
        <v>0</v>
      </c>
    </row>
    <row r="498" spans="1:9" x14ac:dyDescent="0.2">
      <c r="A498" t="s">
        <v>4067</v>
      </c>
      <c r="B498" t="s">
        <v>2680</v>
      </c>
      <c r="D498" t="b">
        <f>IFERROR(VLOOKUP(B498,PatData!$A$2:$A$2000,1,),"")&lt;&gt;""</f>
        <v>1</v>
      </c>
      <c r="E498">
        <v>1</v>
      </c>
      <c r="F498" t="b">
        <v>0</v>
      </c>
      <c r="G498" t="b">
        <v>1</v>
      </c>
      <c r="H498" t="b">
        <v>0</v>
      </c>
      <c r="I498" t="b">
        <v>0</v>
      </c>
    </row>
    <row r="499" spans="1:9" x14ac:dyDescent="0.2">
      <c r="A499" t="s">
        <v>4068</v>
      </c>
      <c r="B499" t="s">
        <v>2681</v>
      </c>
      <c r="D499" t="b">
        <f>IFERROR(VLOOKUP(B499,PatData!$A$2:$A$2000,1,),"")&lt;&gt;""</f>
        <v>1</v>
      </c>
      <c r="E499">
        <v>1</v>
      </c>
      <c r="F499" t="b">
        <v>0</v>
      </c>
      <c r="G499" t="b">
        <v>1</v>
      </c>
      <c r="H499" t="b">
        <v>0</v>
      </c>
      <c r="I499" t="b">
        <v>0</v>
      </c>
    </row>
    <row r="500" spans="1:9" x14ac:dyDescent="0.2">
      <c r="A500" t="s">
        <v>4069</v>
      </c>
      <c r="B500" t="s">
        <v>2682</v>
      </c>
      <c r="D500" t="b">
        <f>IFERROR(VLOOKUP(B500,PatData!$A$2:$A$2000,1,),"")&lt;&gt;""</f>
        <v>1</v>
      </c>
      <c r="E500">
        <v>1</v>
      </c>
      <c r="F500" t="b">
        <v>0</v>
      </c>
      <c r="G500" t="b">
        <v>1</v>
      </c>
      <c r="H500" t="b">
        <v>0</v>
      </c>
      <c r="I500" t="b">
        <v>0</v>
      </c>
    </row>
    <row r="501" spans="1:9" x14ac:dyDescent="0.2">
      <c r="A501" t="s">
        <v>4070</v>
      </c>
      <c r="B501" t="s">
        <v>2683</v>
      </c>
      <c r="D501" t="b">
        <f>IFERROR(VLOOKUP(B501,PatData!$A$2:$A$2000,1,),"")&lt;&gt;""</f>
        <v>1</v>
      </c>
      <c r="E501">
        <v>1</v>
      </c>
      <c r="F501" t="b">
        <v>0</v>
      </c>
      <c r="G501" t="b">
        <v>1</v>
      </c>
      <c r="H501" t="b">
        <v>0</v>
      </c>
      <c r="I501" t="b">
        <v>0</v>
      </c>
    </row>
    <row r="502" spans="1:9" x14ac:dyDescent="0.2">
      <c r="A502" t="s">
        <v>4071</v>
      </c>
      <c r="B502" t="s">
        <v>2684</v>
      </c>
      <c r="D502" t="b">
        <f>IFERROR(VLOOKUP(B502,PatData!$A$2:$A$2000,1,),"")&lt;&gt;""</f>
        <v>1</v>
      </c>
      <c r="E502">
        <v>1</v>
      </c>
      <c r="F502" t="b">
        <v>0</v>
      </c>
      <c r="G502" t="b">
        <v>1</v>
      </c>
      <c r="H502" t="b">
        <v>0</v>
      </c>
      <c r="I502" t="b">
        <v>0</v>
      </c>
    </row>
    <row r="503" spans="1:9" x14ac:dyDescent="0.2">
      <c r="A503" t="s">
        <v>4072</v>
      </c>
      <c r="B503" t="s">
        <v>2685</v>
      </c>
      <c r="D503" t="b">
        <f>IFERROR(VLOOKUP(B503,PatData!$A$2:$A$2000,1,),"")&lt;&gt;""</f>
        <v>1</v>
      </c>
      <c r="E503">
        <v>1</v>
      </c>
      <c r="F503" t="b">
        <v>0</v>
      </c>
      <c r="G503" t="b">
        <v>1</v>
      </c>
      <c r="H503" t="b">
        <v>0</v>
      </c>
      <c r="I503" t="b">
        <v>0</v>
      </c>
    </row>
    <row r="504" spans="1:9" x14ac:dyDescent="0.2">
      <c r="A504" t="s">
        <v>4073</v>
      </c>
      <c r="B504" t="s">
        <v>2686</v>
      </c>
      <c r="D504" t="b">
        <f>IFERROR(VLOOKUP(B504,PatData!$A$2:$A$2000,1,),"")&lt;&gt;""</f>
        <v>1</v>
      </c>
      <c r="E504">
        <v>1</v>
      </c>
      <c r="F504" t="b">
        <v>0</v>
      </c>
      <c r="G504" t="b">
        <v>1</v>
      </c>
      <c r="H504" t="b">
        <v>0</v>
      </c>
      <c r="I504" t="b">
        <v>0</v>
      </c>
    </row>
    <row r="505" spans="1:9" x14ac:dyDescent="0.2">
      <c r="A505" t="s">
        <v>4074</v>
      </c>
      <c r="B505" t="s">
        <v>2687</v>
      </c>
      <c r="D505" t="b">
        <f>IFERROR(VLOOKUP(B505,PatData!$A$2:$A$2000,1,),"")&lt;&gt;""</f>
        <v>1</v>
      </c>
      <c r="E505">
        <v>1</v>
      </c>
      <c r="F505" t="b">
        <v>0</v>
      </c>
      <c r="G505" t="b">
        <v>1</v>
      </c>
      <c r="H505" t="b">
        <v>0</v>
      </c>
      <c r="I505" t="b">
        <v>0</v>
      </c>
    </row>
    <row r="506" spans="1:9" x14ac:dyDescent="0.2">
      <c r="A506" t="s">
        <v>4075</v>
      </c>
      <c r="B506" t="s">
        <v>2688</v>
      </c>
      <c r="D506" t="b">
        <f>IFERROR(VLOOKUP(B506,PatData!$A$2:$A$2000,1,),"")&lt;&gt;""</f>
        <v>1</v>
      </c>
      <c r="E506">
        <v>1</v>
      </c>
      <c r="F506" t="b">
        <v>0</v>
      </c>
      <c r="G506" t="b">
        <v>1</v>
      </c>
      <c r="H506" t="b">
        <v>0</v>
      </c>
      <c r="I506" t="b">
        <v>0</v>
      </c>
    </row>
    <row r="507" spans="1:9" x14ac:dyDescent="0.2">
      <c r="A507" t="s">
        <v>4076</v>
      </c>
      <c r="B507" t="s">
        <v>2689</v>
      </c>
      <c r="D507" t="b">
        <f>IFERROR(VLOOKUP(B507,PatData!$A$2:$A$2000,1,),"")&lt;&gt;""</f>
        <v>1</v>
      </c>
      <c r="E507">
        <v>1</v>
      </c>
      <c r="F507" t="b">
        <v>0</v>
      </c>
      <c r="G507" t="b">
        <v>1</v>
      </c>
      <c r="H507" t="b">
        <v>0</v>
      </c>
      <c r="I507" t="b">
        <v>0</v>
      </c>
    </row>
    <row r="508" spans="1:9" x14ac:dyDescent="0.2">
      <c r="A508" t="s">
        <v>4077</v>
      </c>
      <c r="B508" t="s">
        <v>2690</v>
      </c>
      <c r="D508" t="b">
        <f>IFERROR(VLOOKUP(B508,PatData!$A$2:$A$2000,1,),"")&lt;&gt;""</f>
        <v>1</v>
      </c>
      <c r="E508">
        <v>1</v>
      </c>
      <c r="F508" t="b">
        <v>0</v>
      </c>
      <c r="G508" t="b">
        <v>1</v>
      </c>
      <c r="H508" t="b">
        <v>0</v>
      </c>
      <c r="I508" t="b">
        <v>0</v>
      </c>
    </row>
    <row r="509" spans="1:9" x14ac:dyDescent="0.2">
      <c r="A509" t="s">
        <v>4078</v>
      </c>
      <c r="B509" t="s">
        <v>2691</v>
      </c>
      <c r="D509" t="b">
        <f>IFERROR(VLOOKUP(B509,PatData!$A$2:$A$2000,1,),"")&lt;&gt;""</f>
        <v>1</v>
      </c>
      <c r="E509">
        <v>1</v>
      </c>
      <c r="F509" t="b">
        <v>0</v>
      </c>
      <c r="G509" t="b">
        <v>1</v>
      </c>
      <c r="H509" t="b">
        <v>0</v>
      </c>
      <c r="I509" t="b">
        <v>0</v>
      </c>
    </row>
    <row r="510" spans="1:9" x14ac:dyDescent="0.2">
      <c r="A510" t="s">
        <v>4079</v>
      </c>
      <c r="B510" t="s">
        <v>2692</v>
      </c>
      <c r="D510" t="b">
        <f>IFERROR(VLOOKUP(B510,PatData!$A$2:$A$2000,1,),"")&lt;&gt;""</f>
        <v>1</v>
      </c>
      <c r="E510">
        <v>1</v>
      </c>
      <c r="F510" t="b">
        <v>0</v>
      </c>
      <c r="G510" t="b">
        <v>1</v>
      </c>
      <c r="H510" t="b">
        <v>0</v>
      </c>
      <c r="I510" t="b">
        <v>0</v>
      </c>
    </row>
    <row r="511" spans="1:9" x14ac:dyDescent="0.2">
      <c r="A511" t="s">
        <v>4080</v>
      </c>
      <c r="B511" t="s">
        <v>2693</v>
      </c>
      <c r="D511" t="b">
        <f>IFERROR(VLOOKUP(B511,PatData!$A$2:$A$2000,1,),"")&lt;&gt;""</f>
        <v>1</v>
      </c>
      <c r="E511">
        <v>1</v>
      </c>
      <c r="F511" t="b">
        <v>0</v>
      </c>
      <c r="G511" t="b">
        <v>1</v>
      </c>
      <c r="H511" t="b">
        <v>0</v>
      </c>
      <c r="I511" t="b">
        <v>0</v>
      </c>
    </row>
    <row r="512" spans="1:9" x14ac:dyDescent="0.2">
      <c r="A512" t="s">
        <v>4081</v>
      </c>
      <c r="B512" t="s">
        <v>2694</v>
      </c>
      <c r="D512" t="b">
        <f>IFERROR(VLOOKUP(B512,PatData!$A$2:$A$2000,1,),"")&lt;&gt;""</f>
        <v>1</v>
      </c>
      <c r="E512">
        <v>1</v>
      </c>
      <c r="F512" t="b">
        <v>0</v>
      </c>
      <c r="G512" t="b">
        <v>1</v>
      </c>
      <c r="H512" t="b">
        <v>0</v>
      </c>
      <c r="I512" t="b">
        <v>0</v>
      </c>
    </row>
    <row r="513" spans="1:9" x14ac:dyDescent="0.2">
      <c r="A513" t="s">
        <v>4082</v>
      </c>
      <c r="B513" t="s">
        <v>2695</v>
      </c>
      <c r="D513" t="b">
        <f>IFERROR(VLOOKUP(B513,PatData!$A$2:$A$2000,1,),"")&lt;&gt;""</f>
        <v>1</v>
      </c>
      <c r="E513">
        <v>1</v>
      </c>
      <c r="F513" t="b">
        <v>0</v>
      </c>
      <c r="G513" t="b">
        <v>1</v>
      </c>
      <c r="H513" t="b">
        <v>0</v>
      </c>
      <c r="I513" t="b">
        <v>0</v>
      </c>
    </row>
    <row r="514" spans="1:9" x14ac:dyDescent="0.2">
      <c r="A514" t="s">
        <v>4083</v>
      </c>
      <c r="B514" t="s">
        <v>2696</v>
      </c>
      <c r="D514" t="b">
        <f>IFERROR(VLOOKUP(B514,PatData!$A$2:$A$2000,1,),"")&lt;&gt;""</f>
        <v>1</v>
      </c>
      <c r="E514">
        <v>1</v>
      </c>
      <c r="F514" t="b">
        <v>0</v>
      </c>
      <c r="G514" t="b">
        <v>1</v>
      </c>
      <c r="H514" t="b">
        <v>0</v>
      </c>
      <c r="I514" t="b">
        <v>0</v>
      </c>
    </row>
    <row r="515" spans="1:9" x14ac:dyDescent="0.2">
      <c r="A515" t="s">
        <v>4084</v>
      </c>
      <c r="B515" t="s">
        <v>2697</v>
      </c>
      <c r="D515" t="b">
        <f>IFERROR(VLOOKUP(B515,PatData!$A$2:$A$2000,1,),"")&lt;&gt;""</f>
        <v>1</v>
      </c>
      <c r="E515">
        <v>1</v>
      </c>
      <c r="F515" t="b">
        <v>0</v>
      </c>
      <c r="G515" t="b">
        <v>1</v>
      </c>
      <c r="H515" t="b">
        <v>0</v>
      </c>
      <c r="I515" t="b">
        <v>0</v>
      </c>
    </row>
    <row r="516" spans="1:9" x14ac:dyDescent="0.2">
      <c r="A516" t="s">
        <v>4085</v>
      </c>
      <c r="B516" t="s">
        <v>2698</v>
      </c>
      <c r="D516" t="b">
        <f>IFERROR(VLOOKUP(B516,PatData!$A$2:$A$2000,1,),"")&lt;&gt;""</f>
        <v>1</v>
      </c>
      <c r="E516">
        <v>1</v>
      </c>
      <c r="F516" t="b">
        <v>0</v>
      </c>
      <c r="G516" t="b">
        <v>1</v>
      </c>
      <c r="H516" t="b">
        <v>0</v>
      </c>
      <c r="I516" t="b">
        <v>0</v>
      </c>
    </row>
    <row r="517" spans="1:9" x14ac:dyDescent="0.2">
      <c r="A517" t="s">
        <v>4086</v>
      </c>
      <c r="B517" t="s">
        <v>2699</v>
      </c>
      <c r="D517" t="b">
        <f>IFERROR(VLOOKUP(B517,PatData!$A$2:$A$2000,1,),"")&lt;&gt;""</f>
        <v>1</v>
      </c>
      <c r="E517">
        <v>1</v>
      </c>
      <c r="F517" t="b">
        <v>0</v>
      </c>
      <c r="G517" t="b">
        <v>1</v>
      </c>
      <c r="H517" t="b">
        <v>0</v>
      </c>
      <c r="I517" t="b">
        <v>0</v>
      </c>
    </row>
    <row r="518" spans="1:9" x14ac:dyDescent="0.2">
      <c r="A518" t="s">
        <v>4087</v>
      </c>
      <c r="B518" t="s">
        <v>2700</v>
      </c>
      <c r="D518" t="b">
        <f>IFERROR(VLOOKUP(B518,PatData!$A$2:$A$2000,1,),"")&lt;&gt;""</f>
        <v>1</v>
      </c>
      <c r="E518">
        <v>1</v>
      </c>
      <c r="F518" t="b">
        <v>0</v>
      </c>
      <c r="G518" t="b">
        <v>1</v>
      </c>
      <c r="H518" t="b">
        <v>0</v>
      </c>
      <c r="I518" t="b">
        <v>0</v>
      </c>
    </row>
    <row r="519" spans="1:9" x14ac:dyDescent="0.2">
      <c r="A519" t="s">
        <v>4088</v>
      </c>
      <c r="B519" t="s">
        <v>2701</v>
      </c>
      <c r="D519" t="b">
        <f>IFERROR(VLOOKUP(B519,PatData!$A$2:$A$2000,1,),"")&lt;&gt;""</f>
        <v>1</v>
      </c>
      <c r="E519">
        <v>1</v>
      </c>
      <c r="F519" t="b">
        <v>0</v>
      </c>
      <c r="G519" t="b">
        <v>1</v>
      </c>
      <c r="H519" t="b">
        <v>0</v>
      </c>
      <c r="I519" t="b">
        <v>0</v>
      </c>
    </row>
    <row r="520" spans="1:9" x14ac:dyDescent="0.2">
      <c r="A520" t="s">
        <v>4089</v>
      </c>
      <c r="B520" t="s">
        <v>2702</v>
      </c>
      <c r="D520" t="b">
        <f>IFERROR(VLOOKUP(B520,PatData!$A$2:$A$2000,1,),"")&lt;&gt;""</f>
        <v>1</v>
      </c>
      <c r="E520"/>
      <c r="F520" t="b">
        <v>0</v>
      </c>
      <c r="G520" t="b">
        <v>1</v>
      </c>
      <c r="H520" t="b">
        <v>0</v>
      </c>
      <c r="I520" t="b">
        <v>0</v>
      </c>
    </row>
    <row r="521" spans="1:9" x14ac:dyDescent="0.2">
      <c r="A521" t="s">
        <v>4090</v>
      </c>
      <c r="B521" t="s">
        <v>2703</v>
      </c>
      <c r="D521" t="b">
        <f>IFERROR(VLOOKUP(B521,PatData!$A$2:$A$2000,1,),"")&lt;&gt;""</f>
        <v>1</v>
      </c>
      <c r="E521"/>
      <c r="F521" t="b">
        <v>0</v>
      </c>
      <c r="G521" t="b">
        <v>1</v>
      </c>
      <c r="H521" t="b">
        <v>0</v>
      </c>
      <c r="I521" t="b">
        <v>0</v>
      </c>
    </row>
    <row r="522" spans="1:9" x14ac:dyDescent="0.2">
      <c r="A522" t="s">
        <v>4091</v>
      </c>
      <c r="B522" t="s">
        <v>2704</v>
      </c>
      <c r="D522" t="b">
        <f>IFERROR(VLOOKUP(B522,PatData!$A$2:$A$2000,1,),"")&lt;&gt;""</f>
        <v>1</v>
      </c>
      <c r="E522"/>
      <c r="F522" t="b">
        <v>0</v>
      </c>
      <c r="G522" t="b">
        <v>1</v>
      </c>
      <c r="H522" t="b">
        <v>0</v>
      </c>
      <c r="I522" t="b">
        <v>0</v>
      </c>
    </row>
    <row r="523" spans="1:9" x14ac:dyDescent="0.2">
      <c r="A523" t="s">
        <v>4092</v>
      </c>
      <c r="B523" t="s">
        <v>2705</v>
      </c>
      <c r="D523" t="b">
        <f>IFERROR(VLOOKUP(B523,PatData!$A$2:$A$2000,1,),"")&lt;&gt;""</f>
        <v>1</v>
      </c>
      <c r="E523"/>
      <c r="F523" t="b">
        <v>0</v>
      </c>
      <c r="G523" t="b">
        <v>1</v>
      </c>
      <c r="H523" t="b">
        <v>0</v>
      </c>
      <c r="I523" t="b">
        <v>0</v>
      </c>
    </row>
    <row r="524" spans="1:9" x14ac:dyDescent="0.2">
      <c r="A524" t="s">
        <v>4093</v>
      </c>
      <c r="B524" t="s">
        <v>2706</v>
      </c>
      <c r="D524" t="b">
        <f>IFERROR(VLOOKUP(B524,PatData!$A$2:$A$2000,1,),"")&lt;&gt;""</f>
        <v>1</v>
      </c>
      <c r="E524"/>
      <c r="F524" t="b">
        <v>0</v>
      </c>
      <c r="G524" t="b">
        <v>1</v>
      </c>
      <c r="H524" t="b">
        <v>0</v>
      </c>
      <c r="I524" t="b">
        <v>0</v>
      </c>
    </row>
    <row r="525" spans="1:9" x14ac:dyDescent="0.2">
      <c r="A525" t="s">
        <v>4094</v>
      </c>
      <c r="B525" t="s">
        <v>2707</v>
      </c>
      <c r="D525" t="b">
        <f>IFERROR(VLOOKUP(B525,PatData!$A$2:$A$2000,1,),"")&lt;&gt;""</f>
        <v>1</v>
      </c>
      <c r="E525"/>
      <c r="F525" t="b">
        <v>0</v>
      </c>
      <c r="G525" t="b">
        <v>1</v>
      </c>
      <c r="H525" t="b">
        <v>0</v>
      </c>
      <c r="I525" t="b">
        <v>0</v>
      </c>
    </row>
    <row r="526" spans="1:9" x14ac:dyDescent="0.2">
      <c r="A526" t="s">
        <v>4095</v>
      </c>
      <c r="B526" t="s">
        <v>2708</v>
      </c>
      <c r="D526" t="b">
        <f>IFERROR(VLOOKUP(B526,PatData!$A$2:$A$2000,1,),"")&lt;&gt;""</f>
        <v>1</v>
      </c>
      <c r="E526"/>
      <c r="F526" t="b">
        <v>0</v>
      </c>
      <c r="G526" t="b">
        <v>1</v>
      </c>
      <c r="H526" t="b">
        <v>0</v>
      </c>
      <c r="I526" t="b">
        <v>0</v>
      </c>
    </row>
    <row r="527" spans="1:9" x14ac:dyDescent="0.2">
      <c r="A527" t="s">
        <v>4096</v>
      </c>
      <c r="B527" t="s">
        <v>2709</v>
      </c>
      <c r="D527" t="b">
        <f>IFERROR(VLOOKUP(B527,PatData!$A$2:$A$2000,1,),"")&lt;&gt;""</f>
        <v>1</v>
      </c>
      <c r="E527"/>
      <c r="F527" t="b">
        <v>0</v>
      </c>
      <c r="G527" t="b">
        <v>1</v>
      </c>
      <c r="H527" t="b">
        <v>0</v>
      </c>
      <c r="I527" t="b">
        <v>0</v>
      </c>
    </row>
    <row r="528" spans="1:9" x14ac:dyDescent="0.2">
      <c r="A528" t="s">
        <v>4097</v>
      </c>
      <c r="B528" t="s">
        <v>2710</v>
      </c>
      <c r="D528" t="b">
        <f>IFERROR(VLOOKUP(B528,PatData!$A$2:$A$2000,1,),"")&lt;&gt;""</f>
        <v>1</v>
      </c>
      <c r="E528"/>
      <c r="F528" t="b">
        <v>0</v>
      </c>
      <c r="G528" t="b">
        <v>1</v>
      </c>
      <c r="H528" t="b">
        <v>0</v>
      </c>
      <c r="I528" t="b">
        <v>0</v>
      </c>
    </row>
    <row r="529" spans="1:9" x14ac:dyDescent="0.2">
      <c r="A529" t="s">
        <v>4098</v>
      </c>
      <c r="B529" t="s">
        <v>2711</v>
      </c>
      <c r="D529" t="b">
        <f>IFERROR(VLOOKUP(B529,PatData!$A$2:$A$2000,1,),"")&lt;&gt;""</f>
        <v>1</v>
      </c>
      <c r="E529"/>
      <c r="F529" t="b">
        <v>0</v>
      </c>
      <c r="G529" t="b">
        <v>1</v>
      </c>
      <c r="H529" t="b">
        <v>0</v>
      </c>
      <c r="I529" t="b">
        <v>0</v>
      </c>
    </row>
    <row r="530" spans="1:9" x14ac:dyDescent="0.2">
      <c r="A530" t="s">
        <v>4099</v>
      </c>
      <c r="B530" t="s">
        <v>2712</v>
      </c>
      <c r="D530" t="b">
        <f>IFERROR(VLOOKUP(B530,PatData!$A$2:$A$2000,1,),"")&lt;&gt;""</f>
        <v>1</v>
      </c>
      <c r="E530"/>
      <c r="F530" t="b">
        <v>0</v>
      </c>
      <c r="G530" t="b">
        <v>1</v>
      </c>
      <c r="H530" t="b">
        <v>0</v>
      </c>
      <c r="I530" t="b">
        <v>0</v>
      </c>
    </row>
    <row r="531" spans="1:9" x14ac:dyDescent="0.2">
      <c r="A531" t="s">
        <v>4100</v>
      </c>
      <c r="B531" t="s">
        <v>2713</v>
      </c>
      <c r="D531" t="b">
        <f>IFERROR(VLOOKUP(B531,PatData!$A$2:$A$2000,1,),"")&lt;&gt;""</f>
        <v>1</v>
      </c>
      <c r="E531"/>
      <c r="F531" t="b">
        <v>0</v>
      </c>
      <c r="G531" t="b">
        <v>1</v>
      </c>
      <c r="H531" t="b">
        <v>0</v>
      </c>
      <c r="I531" t="b">
        <v>0</v>
      </c>
    </row>
    <row r="532" spans="1:9" x14ac:dyDescent="0.2">
      <c r="A532" t="s">
        <v>4101</v>
      </c>
      <c r="B532" t="s">
        <v>2714</v>
      </c>
      <c r="D532" t="b">
        <f>IFERROR(VLOOKUP(B532,PatData!$A$2:$A$2000,1,),"")&lt;&gt;""</f>
        <v>1</v>
      </c>
      <c r="E532"/>
      <c r="F532" t="b">
        <v>0</v>
      </c>
      <c r="G532" t="b">
        <v>1</v>
      </c>
      <c r="H532" t="b">
        <v>0</v>
      </c>
      <c r="I532" t="b">
        <v>0</v>
      </c>
    </row>
    <row r="533" spans="1:9" x14ac:dyDescent="0.2">
      <c r="A533" t="s">
        <v>4102</v>
      </c>
      <c r="B533" t="s">
        <v>2715</v>
      </c>
      <c r="D533" t="b">
        <f>IFERROR(VLOOKUP(B533,PatData!$A$2:$A$2000,1,),"")&lt;&gt;""</f>
        <v>1</v>
      </c>
      <c r="E533"/>
      <c r="F533" t="b">
        <v>0</v>
      </c>
      <c r="G533" t="b">
        <v>1</v>
      </c>
      <c r="H533" t="b">
        <v>0</v>
      </c>
      <c r="I533" t="b">
        <v>0</v>
      </c>
    </row>
    <row r="534" spans="1:9" x14ac:dyDescent="0.2">
      <c r="A534" t="s">
        <v>4103</v>
      </c>
      <c r="B534" t="s">
        <v>2716</v>
      </c>
      <c r="D534" t="b">
        <f>IFERROR(VLOOKUP(B534,PatData!$A$2:$A$2000,1,),"")&lt;&gt;""</f>
        <v>1</v>
      </c>
      <c r="E534"/>
      <c r="F534" t="b">
        <v>0</v>
      </c>
      <c r="G534" t="b">
        <v>1</v>
      </c>
      <c r="H534" t="b">
        <v>0</v>
      </c>
      <c r="I534" t="b">
        <v>0</v>
      </c>
    </row>
    <row r="535" spans="1:9" x14ac:dyDescent="0.2">
      <c r="A535" t="s">
        <v>4104</v>
      </c>
      <c r="B535" t="s">
        <v>2717</v>
      </c>
      <c r="D535" t="b">
        <f>IFERROR(VLOOKUP(B535,PatData!$A$2:$A$2000,1,),"")&lt;&gt;""</f>
        <v>1</v>
      </c>
      <c r="E535"/>
      <c r="F535" t="b">
        <v>0</v>
      </c>
      <c r="G535" t="b">
        <v>1</v>
      </c>
      <c r="H535" t="b">
        <v>0</v>
      </c>
      <c r="I535" t="b">
        <v>0</v>
      </c>
    </row>
    <row r="536" spans="1:9" x14ac:dyDescent="0.2">
      <c r="A536" t="s">
        <v>4105</v>
      </c>
      <c r="B536" t="s">
        <v>2718</v>
      </c>
      <c r="D536" t="b">
        <f>IFERROR(VLOOKUP(B536,PatData!$A$2:$A$2000,1,),"")&lt;&gt;""</f>
        <v>1</v>
      </c>
      <c r="E536"/>
      <c r="F536" t="b">
        <v>0</v>
      </c>
      <c r="G536" t="b">
        <v>1</v>
      </c>
      <c r="H536" t="b">
        <v>0</v>
      </c>
      <c r="I536" t="b">
        <v>0</v>
      </c>
    </row>
    <row r="537" spans="1:9" x14ac:dyDescent="0.2">
      <c r="A537" t="s">
        <v>4106</v>
      </c>
      <c r="B537" t="s">
        <v>2719</v>
      </c>
      <c r="D537" t="b">
        <f>IFERROR(VLOOKUP(B537,PatData!$A$2:$A$2000,1,),"")&lt;&gt;""</f>
        <v>1</v>
      </c>
      <c r="E537"/>
      <c r="F537" t="b">
        <v>0</v>
      </c>
      <c r="G537" t="b">
        <v>1</v>
      </c>
      <c r="H537" t="b">
        <v>0</v>
      </c>
      <c r="I537" t="b">
        <v>0</v>
      </c>
    </row>
    <row r="538" spans="1:9" x14ac:dyDescent="0.2">
      <c r="A538" t="s">
        <v>4107</v>
      </c>
      <c r="B538" t="s">
        <v>2720</v>
      </c>
      <c r="D538" t="b">
        <f>IFERROR(VLOOKUP(B538,PatData!$A$2:$A$2000,1,),"")&lt;&gt;""</f>
        <v>1</v>
      </c>
      <c r="E538"/>
      <c r="F538" t="b">
        <v>0</v>
      </c>
      <c r="G538" t="b">
        <v>1</v>
      </c>
      <c r="H538" t="b">
        <v>0</v>
      </c>
      <c r="I538" t="b">
        <v>0</v>
      </c>
    </row>
    <row r="539" spans="1:9" x14ac:dyDescent="0.2">
      <c r="A539" t="s">
        <v>4108</v>
      </c>
      <c r="B539" t="s">
        <v>2721</v>
      </c>
      <c r="D539" t="b">
        <f>IFERROR(VLOOKUP(B539,PatData!$A$2:$A$2000,1,),"")&lt;&gt;""</f>
        <v>1</v>
      </c>
      <c r="E539"/>
      <c r="F539" t="b">
        <v>0</v>
      </c>
      <c r="G539" t="b">
        <v>1</v>
      </c>
      <c r="H539" t="b">
        <v>0</v>
      </c>
      <c r="I539" t="b">
        <v>0</v>
      </c>
    </row>
    <row r="540" spans="1:9" x14ac:dyDescent="0.2">
      <c r="A540" t="s">
        <v>4109</v>
      </c>
      <c r="B540" t="s">
        <v>2722</v>
      </c>
      <c r="D540" t="b">
        <f>IFERROR(VLOOKUP(B540,PatData!$A$2:$A$2000,1,),"")&lt;&gt;""</f>
        <v>1</v>
      </c>
      <c r="E540"/>
      <c r="F540" t="b">
        <v>0</v>
      </c>
      <c r="G540" t="b">
        <v>1</v>
      </c>
      <c r="H540" t="b">
        <v>0</v>
      </c>
      <c r="I540" t="b">
        <v>0</v>
      </c>
    </row>
    <row r="541" spans="1:9" x14ac:dyDescent="0.2">
      <c r="A541" t="s">
        <v>4110</v>
      </c>
      <c r="B541" t="s">
        <v>2723</v>
      </c>
      <c r="D541" t="b">
        <f>IFERROR(VLOOKUP(B541,PatData!$A$2:$A$2000,1,),"")&lt;&gt;""</f>
        <v>1</v>
      </c>
      <c r="E541"/>
      <c r="F541" t="b">
        <v>0</v>
      </c>
      <c r="G541" t="b">
        <v>1</v>
      </c>
      <c r="H541" t="b">
        <v>0</v>
      </c>
      <c r="I541" t="b">
        <v>0</v>
      </c>
    </row>
    <row r="542" spans="1:9" x14ac:dyDescent="0.2">
      <c r="A542" t="s">
        <v>4111</v>
      </c>
      <c r="B542" t="s">
        <v>2724</v>
      </c>
      <c r="D542" t="b">
        <f>IFERROR(VLOOKUP(B542,PatData!$A$2:$A$2000,1,),"")&lt;&gt;""</f>
        <v>1</v>
      </c>
      <c r="E542"/>
      <c r="F542" t="b">
        <v>0</v>
      </c>
      <c r="G542" t="b">
        <v>1</v>
      </c>
      <c r="H542" t="b">
        <v>0</v>
      </c>
      <c r="I542" t="b">
        <v>0</v>
      </c>
    </row>
    <row r="543" spans="1:9" x14ac:dyDescent="0.2">
      <c r="A543" t="s">
        <v>4112</v>
      </c>
      <c r="B543" t="s">
        <v>2725</v>
      </c>
      <c r="D543" t="b">
        <f>IFERROR(VLOOKUP(B543,PatData!$A$2:$A$2000,1,),"")&lt;&gt;""</f>
        <v>1</v>
      </c>
      <c r="E543"/>
      <c r="F543" t="b">
        <v>0</v>
      </c>
      <c r="G543" t="b">
        <v>1</v>
      </c>
      <c r="H543" t="b">
        <v>0</v>
      </c>
      <c r="I543" t="b">
        <v>0</v>
      </c>
    </row>
    <row r="544" spans="1:9" x14ac:dyDescent="0.2">
      <c r="A544" t="s">
        <v>4113</v>
      </c>
      <c r="B544" t="s">
        <v>2726</v>
      </c>
      <c r="D544" t="b">
        <f>IFERROR(VLOOKUP(B544,PatData!$A$2:$A$2000,1,),"")&lt;&gt;""</f>
        <v>1</v>
      </c>
      <c r="E544"/>
      <c r="F544" t="b">
        <v>0</v>
      </c>
      <c r="G544" t="b">
        <v>1</v>
      </c>
      <c r="H544" t="b">
        <v>0</v>
      </c>
      <c r="I544" t="b">
        <v>0</v>
      </c>
    </row>
    <row r="545" spans="1:9" x14ac:dyDescent="0.2">
      <c r="A545" t="s">
        <v>4114</v>
      </c>
      <c r="B545" t="s">
        <v>2727</v>
      </c>
      <c r="D545" t="b">
        <f>IFERROR(VLOOKUP(B545,PatData!$A$2:$A$2000,1,),"")&lt;&gt;""</f>
        <v>1</v>
      </c>
      <c r="E545"/>
      <c r="F545" t="b">
        <v>0</v>
      </c>
      <c r="G545" t="b">
        <v>1</v>
      </c>
      <c r="H545" t="b">
        <v>0</v>
      </c>
      <c r="I545" t="b">
        <v>0</v>
      </c>
    </row>
    <row r="546" spans="1:9" x14ac:dyDescent="0.2">
      <c r="A546" t="s">
        <v>4115</v>
      </c>
      <c r="B546" t="s">
        <v>2728</v>
      </c>
      <c r="D546" t="b">
        <f>IFERROR(VLOOKUP(B546,PatData!$A$2:$A$2000,1,),"")&lt;&gt;""</f>
        <v>1</v>
      </c>
      <c r="E546"/>
      <c r="F546" t="b">
        <v>0</v>
      </c>
      <c r="G546" t="b">
        <v>1</v>
      </c>
      <c r="H546" t="b">
        <v>0</v>
      </c>
      <c r="I546" t="b">
        <v>0</v>
      </c>
    </row>
    <row r="547" spans="1:9" x14ac:dyDescent="0.2">
      <c r="A547" t="s">
        <v>4116</v>
      </c>
      <c r="B547" t="s">
        <v>2729</v>
      </c>
      <c r="D547" t="b">
        <f>IFERROR(VLOOKUP(B547,PatData!$A$2:$A$2000,1,),"")&lt;&gt;""</f>
        <v>1</v>
      </c>
      <c r="E547"/>
      <c r="F547" t="b">
        <v>0</v>
      </c>
      <c r="G547" t="b">
        <v>1</v>
      </c>
      <c r="H547" t="b">
        <v>0</v>
      </c>
      <c r="I547" t="b">
        <v>0</v>
      </c>
    </row>
    <row r="548" spans="1:9" x14ac:dyDescent="0.2">
      <c r="A548" t="s">
        <v>4117</v>
      </c>
      <c r="B548" t="s">
        <v>2730</v>
      </c>
      <c r="D548" t="b">
        <f>IFERROR(VLOOKUP(B548,PatData!$A$2:$A$2000,1,),"")&lt;&gt;""</f>
        <v>1</v>
      </c>
      <c r="E548"/>
      <c r="F548" t="b">
        <v>0</v>
      </c>
      <c r="G548" t="b">
        <v>1</v>
      </c>
      <c r="H548" t="b">
        <v>0</v>
      </c>
      <c r="I548" t="b">
        <v>0</v>
      </c>
    </row>
    <row r="549" spans="1:9" x14ac:dyDescent="0.2">
      <c r="A549" t="s">
        <v>4118</v>
      </c>
      <c r="B549" t="s">
        <v>2731</v>
      </c>
      <c r="D549" t="b">
        <f>IFERROR(VLOOKUP(B549,PatData!$A$2:$A$2000,1,),"")&lt;&gt;""</f>
        <v>1</v>
      </c>
      <c r="E549"/>
      <c r="F549" t="b">
        <v>0</v>
      </c>
      <c r="G549" t="b">
        <v>1</v>
      </c>
      <c r="H549" t="b">
        <v>0</v>
      </c>
      <c r="I549" t="b">
        <v>0</v>
      </c>
    </row>
    <row r="550" spans="1:9" x14ac:dyDescent="0.2">
      <c r="A550" t="s">
        <v>3879</v>
      </c>
      <c r="B550" t="s">
        <v>4638</v>
      </c>
      <c r="D550" t="b">
        <f>IFERROR(VLOOKUP(B550,PatData!$A$2:$A$2000,1,),"")&lt;&gt;""</f>
        <v>1</v>
      </c>
      <c r="E550"/>
      <c r="F550" t="b">
        <v>0</v>
      </c>
      <c r="G550" t="b">
        <v>1</v>
      </c>
      <c r="H550" t="b">
        <v>0</v>
      </c>
      <c r="I550" t="b">
        <v>0</v>
      </c>
    </row>
    <row r="551" spans="1:9" x14ac:dyDescent="0.2">
      <c r="A551" t="s">
        <v>3880</v>
      </c>
      <c r="B551" t="s">
        <v>4639</v>
      </c>
      <c r="D551" t="b">
        <f>IFERROR(VLOOKUP(B551,PatData!$A$2:$A$2000,1,),"")&lt;&gt;""</f>
        <v>1</v>
      </c>
      <c r="E551"/>
      <c r="F551" t="b">
        <v>0</v>
      </c>
      <c r="G551" t="b">
        <v>1</v>
      </c>
      <c r="H551" t="b">
        <v>0</v>
      </c>
      <c r="I551" t="b">
        <v>0</v>
      </c>
    </row>
    <row r="552" spans="1:9" x14ac:dyDescent="0.2">
      <c r="A552" t="s">
        <v>3881</v>
      </c>
      <c r="B552" t="s">
        <v>4640</v>
      </c>
      <c r="D552" t="b">
        <f>IFERROR(VLOOKUP(B552,PatData!$A$2:$A$2000,1,),"")&lt;&gt;""</f>
        <v>1</v>
      </c>
      <c r="E552"/>
      <c r="F552" t="b">
        <v>0</v>
      </c>
      <c r="G552" t="b">
        <v>1</v>
      </c>
      <c r="H552" t="b">
        <v>0</v>
      </c>
      <c r="I552" t="b">
        <v>0</v>
      </c>
    </row>
    <row r="553" spans="1:9" x14ac:dyDescent="0.2">
      <c r="A553" t="s">
        <v>3882</v>
      </c>
      <c r="B553" t="s">
        <v>4641</v>
      </c>
      <c r="D553" t="b">
        <f>IFERROR(VLOOKUP(B553,PatData!$A$2:$A$2000,1,),"")&lt;&gt;""</f>
        <v>1</v>
      </c>
      <c r="E553"/>
      <c r="F553" t="b">
        <v>0</v>
      </c>
      <c r="G553" t="b">
        <v>1</v>
      </c>
      <c r="H553" t="b">
        <v>0</v>
      </c>
      <c r="I553" t="b">
        <v>0</v>
      </c>
    </row>
    <row r="554" spans="1:9" x14ac:dyDescent="0.2">
      <c r="A554" t="s">
        <v>3883</v>
      </c>
      <c r="B554" t="s">
        <v>4642</v>
      </c>
      <c r="D554" t="b">
        <f>IFERROR(VLOOKUP(B554,PatData!$A$2:$A$2000,1,),"")&lt;&gt;""</f>
        <v>1</v>
      </c>
      <c r="E554"/>
      <c r="F554" t="b">
        <v>0</v>
      </c>
      <c r="G554" t="b">
        <v>1</v>
      </c>
      <c r="H554" t="b">
        <v>0</v>
      </c>
      <c r="I554" t="b">
        <v>0</v>
      </c>
    </row>
    <row r="555" spans="1:9" x14ac:dyDescent="0.2">
      <c r="A555" t="s">
        <v>3884</v>
      </c>
      <c r="B555" t="s">
        <v>4643</v>
      </c>
      <c r="D555" t="b">
        <f>IFERROR(VLOOKUP(B555,PatData!$A$2:$A$2000,1,),"")&lt;&gt;""</f>
        <v>1</v>
      </c>
      <c r="E555"/>
      <c r="F555" t="b">
        <v>0</v>
      </c>
      <c r="G555" t="b">
        <v>1</v>
      </c>
      <c r="H555" t="b">
        <v>0</v>
      </c>
      <c r="I555" t="b">
        <v>0</v>
      </c>
    </row>
    <row r="556" spans="1:9" x14ac:dyDescent="0.2">
      <c r="A556" t="s">
        <v>3885</v>
      </c>
      <c r="B556" t="s">
        <v>4644</v>
      </c>
      <c r="D556" t="b">
        <f>IFERROR(VLOOKUP(B556,PatData!$A$2:$A$2000,1,),"")&lt;&gt;""</f>
        <v>1</v>
      </c>
      <c r="E556"/>
      <c r="F556" t="b">
        <v>0</v>
      </c>
      <c r="G556" t="b">
        <v>1</v>
      </c>
      <c r="H556" t="b">
        <v>0</v>
      </c>
      <c r="I556" t="b">
        <v>0</v>
      </c>
    </row>
    <row r="557" spans="1:9" x14ac:dyDescent="0.2">
      <c r="A557" t="s">
        <v>3886</v>
      </c>
      <c r="B557" t="s">
        <v>4645</v>
      </c>
      <c r="D557" t="b">
        <f>IFERROR(VLOOKUP(B557,PatData!$A$2:$A$2000,1,),"")&lt;&gt;""</f>
        <v>1</v>
      </c>
      <c r="E557"/>
      <c r="F557" t="b">
        <v>0</v>
      </c>
      <c r="G557" t="b">
        <v>1</v>
      </c>
      <c r="H557" t="b">
        <v>0</v>
      </c>
      <c r="I557" t="b">
        <v>0</v>
      </c>
    </row>
    <row r="558" spans="1:9" x14ac:dyDescent="0.2">
      <c r="A558" t="s">
        <v>3887</v>
      </c>
      <c r="B558" t="s">
        <v>4646</v>
      </c>
      <c r="D558" t="b">
        <f>IFERROR(VLOOKUP(B558,PatData!$A$2:$A$2000,1,),"")&lt;&gt;""</f>
        <v>1</v>
      </c>
      <c r="E558"/>
      <c r="F558" t="b">
        <v>0</v>
      </c>
      <c r="G558" t="b">
        <v>1</v>
      </c>
      <c r="H558" t="b">
        <v>0</v>
      </c>
      <c r="I558" t="b">
        <v>0</v>
      </c>
    </row>
    <row r="559" spans="1:9" x14ac:dyDescent="0.2">
      <c r="A559" t="s">
        <v>3888</v>
      </c>
      <c r="B559" t="s">
        <v>4647</v>
      </c>
      <c r="D559" t="b">
        <f>IFERROR(VLOOKUP(B559,PatData!$A$2:$A$2000,1,),"")&lt;&gt;""</f>
        <v>1</v>
      </c>
      <c r="E559"/>
      <c r="F559" t="b">
        <v>0</v>
      </c>
      <c r="G559" t="b">
        <v>1</v>
      </c>
      <c r="H559" t="b">
        <v>0</v>
      </c>
      <c r="I559" t="b">
        <v>0</v>
      </c>
    </row>
    <row r="560" spans="1:9" x14ac:dyDescent="0.2">
      <c r="A560" t="s">
        <v>3889</v>
      </c>
      <c r="B560" t="s">
        <v>4648</v>
      </c>
      <c r="D560" t="b">
        <f>IFERROR(VLOOKUP(B560,PatData!$A$2:$A$2000,1,),"")&lt;&gt;""</f>
        <v>1</v>
      </c>
      <c r="E560"/>
      <c r="F560" t="b">
        <v>0</v>
      </c>
      <c r="G560" t="b">
        <v>1</v>
      </c>
      <c r="H560" t="b">
        <v>0</v>
      </c>
      <c r="I560" t="b">
        <v>0</v>
      </c>
    </row>
    <row r="561" spans="1:9" x14ac:dyDescent="0.2">
      <c r="A561" t="s">
        <v>3890</v>
      </c>
      <c r="B561" t="s">
        <v>4649</v>
      </c>
      <c r="D561" t="b">
        <f>IFERROR(VLOOKUP(B561,PatData!$A$2:$A$2000,1,),"")&lt;&gt;""</f>
        <v>1</v>
      </c>
      <c r="E561"/>
      <c r="F561" t="b">
        <v>0</v>
      </c>
      <c r="G561" t="b">
        <v>1</v>
      </c>
      <c r="H561" t="b">
        <v>0</v>
      </c>
      <c r="I561" t="b">
        <v>0</v>
      </c>
    </row>
    <row r="562" spans="1:9" x14ac:dyDescent="0.2">
      <c r="A562" t="s">
        <v>3891</v>
      </c>
      <c r="B562" t="s">
        <v>4650</v>
      </c>
      <c r="D562" t="b">
        <f>IFERROR(VLOOKUP(B562,PatData!$A$2:$A$2000,1,),"")&lt;&gt;""</f>
        <v>1</v>
      </c>
      <c r="E562"/>
      <c r="F562" t="b">
        <v>0</v>
      </c>
      <c r="G562" t="b">
        <v>1</v>
      </c>
      <c r="H562" t="b">
        <v>0</v>
      </c>
      <c r="I562" t="b">
        <v>0</v>
      </c>
    </row>
    <row r="563" spans="1:9" x14ac:dyDescent="0.2">
      <c r="A563" t="s">
        <v>3892</v>
      </c>
      <c r="B563" t="s">
        <v>4651</v>
      </c>
      <c r="D563" t="b">
        <f>IFERROR(VLOOKUP(B563,PatData!$A$2:$A$2000,1,),"")&lt;&gt;""</f>
        <v>1</v>
      </c>
      <c r="E563"/>
      <c r="F563" t="b">
        <v>0</v>
      </c>
      <c r="G563" t="b">
        <v>1</v>
      </c>
      <c r="H563" t="b">
        <v>0</v>
      </c>
      <c r="I563" t="b">
        <v>0</v>
      </c>
    </row>
    <row r="564" spans="1:9" x14ac:dyDescent="0.2">
      <c r="A564" t="s">
        <v>3893</v>
      </c>
      <c r="B564" t="s">
        <v>4652</v>
      </c>
      <c r="D564" t="b">
        <f>IFERROR(VLOOKUP(B564,PatData!$A$2:$A$2000,1,),"")&lt;&gt;""</f>
        <v>1</v>
      </c>
      <c r="E564"/>
      <c r="F564" t="b">
        <v>0</v>
      </c>
      <c r="G564" t="b">
        <v>1</v>
      </c>
      <c r="H564" t="b">
        <v>0</v>
      </c>
      <c r="I564" t="b">
        <v>0</v>
      </c>
    </row>
    <row r="565" spans="1:9" x14ac:dyDescent="0.2">
      <c r="A565" t="s">
        <v>3894</v>
      </c>
      <c r="B565" t="s">
        <v>4653</v>
      </c>
      <c r="D565" t="b">
        <f>IFERROR(VLOOKUP(B565,PatData!$A$2:$A$2000,1,),"")&lt;&gt;""</f>
        <v>1</v>
      </c>
      <c r="E565"/>
      <c r="F565" t="b">
        <v>0</v>
      </c>
      <c r="G565" t="b">
        <v>1</v>
      </c>
      <c r="H565" t="b">
        <v>0</v>
      </c>
      <c r="I565" t="b">
        <v>0</v>
      </c>
    </row>
    <row r="566" spans="1:9" x14ac:dyDescent="0.2">
      <c r="A566" t="s">
        <v>3895</v>
      </c>
      <c r="B566" t="s">
        <v>4654</v>
      </c>
      <c r="D566" t="b">
        <f>IFERROR(VLOOKUP(B566,PatData!$A$2:$A$2000,1,),"")&lt;&gt;""</f>
        <v>1</v>
      </c>
      <c r="E566"/>
      <c r="F566" t="b">
        <v>0</v>
      </c>
      <c r="G566" t="b">
        <v>1</v>
      </c>
      <c r="H566" t="b">
        <v>0</v>
      </c>
      <c r="I566" t="b">
        <v>0</v>
      </c>
    </row>
    <row r="567" spans="1:9" x14ac:dyDescent="0.2">
      <c r="A567" t="s">
        <v>3896</v>
      </c>
      <c r="B567" t="s">
        <v>4655</v>
      </c>
      <c r="D567" t="b">
        <f>IFERROR(VLOOKUP(B567,PatData!$A$2:$A$2000,1,),"")&lt;&gt;""</f>
        <v>1</v>
      </c>
      <c r="E567"/>
      <c r="F567" t="b">
        <v>0</v>
      </c>
      <c r="G567" t="b">
        <v>1</v>
      </c>
      <c r="H567" t="b">
        <v>0</v>
      </c>
      <c r="I567" t="b">
        <v>0</v>
      </c>
    </row>
    <row r="568" spans="1:9" x14ac:dyDescent="0.2">
      <c r="A568" t="s">
        <v>3897</v>
      </c>
      <c r="B568" t="s">
        <v>4656</v>
      </c>
      <c r="D568" t="b">
        <f>IFERROR(VLOOKUP(B568,PatData!$A$2:$A$2000,1,),"")&lt;&gt;""</f>
        <v>1</v>
      </c>
      <c r="E568"/>
      <c r="F568" t="b">
        <v>0</v>
      </c>
      <c r="G568" t="b">
        <v>1</v>
      </c>
      <c r="H568" t="b">
        <v>0</v>
      </c>
      <c r="I568" t="b">
        <v>0</v>
      </c>
    </row>
    <row r="569" spans="1:9" x14ac:dyDescent="0.2">
      <c r="A569" t="s">
        <v>3898</v>
      </c>
      <c r="B569" t="s">
        <v>4657</v>
      </c>
      <c r="D569" t="b">
        <f>IFERROR(VLOOKUP(B569,PatData!$A$2:$A$2000,1,),"")&lt;&gt;""</f>
        <v>1</v>
      </c>
      <c r="E569"/>
      <c r="F569" t="b">
        <v>0</v>
      </c>
      <c r="G569" t="b">
        <v>1</v>
      </c>
      <c r="H569" t="b">
        <v>0</v>
      </c>
      <c r="I569" t="b">
        <v>0</v>
      </c>
    </row>
    <row r="570" spans="1:9" x14ac:dyDescent="0.2">
      <c r="A570" t="s">
        <v>3899</v>
      </c>
      <c r="B570" t="s">
        <v>4658</v>
      </c>
      <c r="D570" t="b">
        <f>IFERROR(VLOOKUP(B570,PatData!$A$2:$A$2000,1,),"")&lt;&gt;""</f>
        <v>1</v>
      </c>
      <c r="E570"/>
      <c r="F570" t="b">
        <v>0</v>
      </c>
      <c r="G570" t="b">
        <v>1</v>
      </c>
      <c r="H570" t="b">
        <v>0</v>
      </c>
      <c r="I570" t="b">
        <v>0</v>
      </c>
    </row>
    <row r="571" spans="1:9" x14ac:dyDescent="0.2">
      <c r="A571" t="s">
        <v>3900</v>
      </c>
      <c r="B571" t="s">
        <v>4659</v>
      </c>
      <c r="D571" t="b">
        <f>IFERROR(VLOOKUP(B571,PatData!$A$2:$A$2000,1,),"")&lt;&gt;""</f>
        <v>1</v>
      </c>
      <c r="E571"/>
      <c r="F571" t="b">
        <v>0</v>
      </c>
      <c r="G571" t="b">
        <v>1</v>
      </c>
      <c r="H571" t="b">
        <v>0</v>
      </c>
      <c r="I571" t="b">
        <v>0</v>
      </c>
    </row>
    <row r="572" spans="1:9" x14ac:dyDescent="0.2">
      <c r="A572" t="s">
        <v>3901</v>
      </c>
      <c r="B572" t="s">
        <v>4660</v>
      </c>
      <c r="D572" t="b">
        <f>IFERROR(VLOOKUP(B572,PatData!$A$2:$A$2000,1,),"")&lt;&gt;""</f>
        <v>1</v>
      </c>
      <c r="E572"/>
      <c r="F572" t="b">
        <v>0</v>
      </c>
      <c r="G572" t="b">
        <v>1</v>
      </c>
      <c r="H572" t="b">
        <v>0</v>
      </c>
      <c r="I572" t="b">
        <v>0</v>
      </c>
    </row>
    <row r="573" spans="1:9" x14ac:dyDescent="0.2">
      <c r="A573" t="s">
        <v>3902</v>
      </c>
      <c r="B573" t="s">
        <v>4661</v>
      </c>
      <c r="D573" t="b">
        <f>IFERROR(VLOOKUP(B573,PatData!$A$2:$A$2000,1,),"")&lt;&gt;""</f>
        <v>1</v>
      </c>
      <c r="E573"/>
      <c r="F573" t="b">
        <v>0</v>
      </c>
      <c r="G573" t="b">
        <v>1</v>
      </c>
      <c r="H573" t="b">
        <v>0</v>
      </c>
      <c r="I573" t="b">
        <v>0</v>
      </c>
    </row>
    <row r="574" spans="1:9" x14ac:dyDescent="0.2">
      <c r="A574" t="s">
        <v>3903</v>
      </c>
      <c r="B574" t="s">
        <v>4662</v>
      </c>
      <c r="D574" t="b">
        <f>IFERROR(VLOOKUP(B574,PatData!$A$2:$A$2000,1,),"")&lt;&gt;""</f>
        <v>1</v>
      </c>
      <c r="E574"/>
      <c r="F574" t="b">
        <v>0</v>
      </c>
      <c r="G574" t="b">
        <v>1</v>
      </c>
      <c r="H574" t="b">
        <v>0</v>
      </c>
      <c r="I574" t="b">
        <v>0</v>
      </c>
    </row>
    <row r="575" spans="1:9" x14ac:dyDescent="0.2">
      <c r="A575" t="s">
        <v>3904</v>
      </c>
      <c r="B575" t="s">
        <v>4663</v>
      </c>
      <c r="D575" t="b">
        <f>IFERROR(VLOOKUP(B575,PatData!$A$2:$A$2000,1,),"")&lt;&gt;""</f>
        <v>1</v>
      </c>
      <c r="E575"/>
      <c r="F575" t="b">
        <v>0</v>
      </c>
      <c r="G575" t="b">
        <v>1</v>
      </c>
      <c r="H575" t="b">
        <v>0</v>
      </c>
      <c r="I575" t="b">
        <v>0</v>
      </c>
    </row>
    <row r="576" spans="1:9" x14ac:dyDescent="0.2">
      <c r="A576" t="s">
        <v>3905</v>
      </c>
      <c r="B576" t="s">
        <v>4664</v>
      </c>
      <c r="D576" t="b">
        <f>IFERROR(VLOOKUP(B576,PatData!$A$2:$A$2000,1,),"")&lt;&gt;""</f>
        <v>1</v>
      </c>
      <c r="E576"/>
      <c r="F576" t="b">
        <v>0</v>
      </c>
      <c r="G576" t="b">
        <v>1</v>
      </c>
      <c r="H576" t="b">
        <v>0</v>
      </c>
      <c r="I576" t="b">
        <v>0</v>
      </c>
    </row>
    <row r="577" spans="1:9" x14ac:dyDescent="0.2">
      <c r="A577" t="s">
        <v>3906</v>
      </c>
      <c r="B577" t="s">
        <v>4665</v>
      </c>
      <c r="D577" t="b">
        <f>IFERROR(VLOOKUP(B577,PatData!$A$2:$A$2000,1,),"")&lt;&gt;""</f>
        <v>1</v>
      </c>
      <c r="E577"/>
      <c r="F577" t="b">
        <v>0</v>
      </c>
      <c r="G577" t="b">
        <v>1</v>
      </c>
      <c r="H577" t="b">
        <v>0</v>
      </c>
      <c r="I577" t="b">
        <v>0</v>
      </c>
    </row>
    <row r="578" spans="1:9" x14ac:dyDescent="0.2">
      <c r="A578" t="s">
        <v>3907</v>
      </c>
      <c r="B578" t="s">
        <v>4666</v>
      </c>
      <c r="D578" t="b">
        <f>IFERROR(VLOOKUP(B578,PatData!$A$2:$A$2000,1,),"")&lt;&gt;""</f>
        <v>1</v>
      </c>
      <c r="E578"/>
      <c r="F578" t="b">
        <v>0</v>
      </c>
      <c r="G578" t="b">
        <v>1</v>
      </c>
      <c r="H578" t="b">
        <v>0</v>
      </c>
      <c r="I578" t="b">
        <v>0</v>
      </c>
    </row>
    <row r="579" spans="1:9" x14ac:dyDescent="0.2">
      <c r="A579" t="s">
        <v>3908</v>
      </c>
      <c r="B579" t="s">
        <v>4667</v>
      </c>
      <c r="D579" t="b">
        <f>IFERROR(VLOOKUP(B579,PatData!$A$2:$A$2000,1,),"")&lt;&gt;""</f>
        <v>1</v>
      </c>
      <c r="E579"/>
      <c r="F579" t="b">
        <v>0</v>
      </c>
      <c r="G579" t="b">
        <v>1</v>
      </c>
      <c r="H579" t="b">
        <v>0</v>
      </c>
      <c r="I579" t="b">
        <v>0</v>
      </c>
    </row>
    <row r="580" spans="1:9" s="315" customFormat="1" x14ac:dyDescent="0.2">
      <c r="A580" t="s">
        <v>4737</v>
      </c>
      <c r="B580" t="s">
        <v>5073</v>
      </c>
      <c r="C580"/>
      <c r="D580" t="b">
        <f>IFERROR(VLOOKUP(B580,PatData!$A$2:$A$2000,1,),"")&lt;&gt;""</f>
        <v>1</v>
      </c>
      <c r="E580">
        <v>0</v>
      </c>
      <c r="F580" t="b">
        <v>0</v>
      </c>
      <c r="G580" t="b">
        <v>1</v>
      </c>
      <c r="H580" t="b">
        <v>1</v>
      </c>
      <c r="I580" t="b">
        <v>0</v>
      </c>
    </row>
    <row r="581" spans="1:9" s="315" customFormat="1" x14ac:dyDescent="0.2">
      <c r="A581" t="s">
        <v>4749</v>
      </c>
      <c r="B581" t="s">
        <v>5074</v>
      </c>
      <c r="C581"/>
      <c r="D581" t="b">
        <f>IFERROR(VLOOKUP(B581,PatData!$A$2:$A$2000,1,),"")&lt;&gt;""</f>
        <v>1</v>
      </c>
      <c r="E581">
        <v>1</v>
      </c>
      <c r="F581" t="b">
        <v>0</v>
      </c>
      <c r="G581" t="b">
        <v>1</v>
      </c>
      <c r="H581" t="b">
        <v>1</v>
      </c>
      <c r="I581" t="b">
        <v>0</v>
      </c>
    </row>
    <row r="582" spans="1:9" s="315" customFormat="1" x14ac:dyDescent="0.2">
      <c r="A582" t="s">
        <v>4750</v>
      </c>
      <c r="B582" t="s">
        <v>5075</v>
      </c>
      <c r="C582"/>
      <c r="D582" t="b">
        <f>IFERROR(VLOOKUP(B582,PatData!$A$2:$A$2000,1,),"")&lt;&gt;""</f>
        <v>1</v>
      </c>
      <c r="E582">
        <v>1</v>
      </c>
      <c r="F582" t="b">
        <v>0</v>
      </c>
      <c r="G582" t="b">
        <v>1</v>
      </c>
      <c r="H582" t="b">
        <v>1</v>
      </c>
      <c r="I582" t="b">
        <v>0</v>
      </c>
    </row>
    <row r="583" spans="1:9" s="315" customFormat="1" x14ac:dyDescent="0.2">
      <c r="A583" t="s">
        <v>4751</v>
      </c>
      <c r="B583" t="s">
        <v>5076</v>
      </c>
      <c r="C583"/>
      <c r="D583" t="b">
        <f>IFERROR(VLOOKUP(B583,PatData!$A$2:$A$2000,1,),"")&lt;&gt;""</f>
        <v>1</v>
      </c>
      <c r="E583">
        <v>5</v>
      </c>
      <c r="F583" t="b">
        <v>0</v>
      </c>
      <c r="G583" t="b">
        <v>1</v>
      </c>
      <c r="H583" t="b">
        <v>1</v>
      </c>
      <c r="I583" t="b">
        <v>0</v>
      </c>
    </row>
    <row r="584" spans="1:9" s="315" customFormat="1" x14ac:dyDescent="0.2">
      <c r="A584" t="s">
        <v>4752</v>
      </c>
      <c r="B584" t="s">
        <v>5077</v>
      </c>
      <c r="C584"/>
      <c r="D584" t="b">
        <f>IFERROR(VLOOKUP(B584,PatData!$A$2:$A$2000,1,),"")&lt;&gt;""</f>
        <v>1</v>
      </c>
      <c r="E584">
        <v>1</v>
      </c>
      <c r="F584" t="b">
        <v>0</v>
      </c>
      <c r="G584" t="b">
        <v>1</v>
      </c>
      <c r="H584" t="b">
        <v>1</v>
      </c>
      <c r="I584" t="b">
        <v>0</v>
      </c>
    </row>
    <row r="585" spans="1:9" s="315" customFormat="1" x14ac:dyDescent="0.2">
      <c r="A585" t="s">
        <v>4753</v>
      </c>
      <c r="B585" t="s">
        <v>5078</v>
      </c>
      <c r="C585"/>
      <c r="D585" t="b">
        <f>IFERROR(VLOOKUP(B585,PatData!$A$2:$A$2000,1,),"")&lt;&gt;""</f>
        <v>1</v>
      </c>
      <c r="E585">
        <v>1</v>
      </c>
      <c r="F585" t="b">
        <v>0</v>
      </c>
      <c r="G585" t="b">
        <v>1</v>
      </c>
      <c r="H585" t="b">
        <v>1</v>
      </c>
      <c r="I585" t="b">
        <v>0</v>
      </c>
    </row>
    <row r="586" spans="1:9" s="315" customFormat="1" x14ac:dyDescent="0.2">
      <c r="A586" t="s">
        <v>4754</v>
      </c>
      <c r="B586" t="s">
        <v>5079</v>
      </c>
      <c r="C586"/>
      <c r="D586" t="b">
        <f>IFERROR(VLOOKUP(B586,PatData!$A$2:$A$2000,1,),"")&lt;&gt;""</f>
        <v>1</v>
      </c>
      <c r="E586">
        <v>1</v>
      </c>
      <c r="F586" t="b">
        <v>0</v>
      </c>
      <c r="G586" t="b">
        <v>1</v>
      </c>
      <c r="H586" t="b">
        <v>1</v>
      </c>
      <c r="I586" t="b">
        <v>0</v>
      </c>
    </row>
    <row r="587" spans="1:9" s="315" customFormat="1" x14ac:dyDescent="0.2">
      <c r="A587" t="s">
        <v>4755</v>
      </c>
      <c r="B587" t="s">
        <v>5080</v>
      </c>
      <c r="C587"/>
      <c r="D587" t="b">
        <f>IFERROR(VLOOKUP(B587,PatData!$A$2:$A$2000,1,),"")&lt;&gt;""</f>
        <v>1</v>
      </c>
      <c r="E587">
        <v>1</v>
      </c>
      <c r="F587" t="b">
        <v>0</v>
      </c>
      <c r="G587" t="b">
        <v>1</v>
      </c>
      <c r="H587" t="b">
        <v>1</v>
      </c>
      <c r="I587" t="b">
        <v>0</v>
      </c>
    </row>
    <row r="588" spans="1:9" s="315" customFormat="1" x14ac:dyDescent="0.2">
      <c r="A588" t="s">
        <v>4756</v>
      </c>
      <c r="B588" t="s">
        <v>5081</v>
      </c>
      <c r="C588"/>
      <c r="D588" t="b">
        <f>IFERROR(VLOOKUP(B588,PatData!$A$2:$A$2000,1,),"")&lt;&gt;""</f>
        <v>1</v>
      </c>
      <c r="E588">
        <v>1</v>
      </c>
      <c r="F588" t="b">
        <v>0</v>
      </c>
      <c r="G588" t="b">
        <v>1</v>
      </c>
      <c r="H588" t="b">
        <v>1</v>
      </c>
      <c r="I588" t="b">
        <v>0</v>
      </c>
    </row>
    <row r="589" spans="1:9" s="315" customFormat="1" x14ac:dyDescent="0.2">
      <c r="A589" t="s">
        <v>4757</v>
      </c>
      <c r="B589" t="s">
        <v>5082</v>
      </c>
      <c r="C589"/>
      <c r="D589" t="b">
        <f>IFERROR(VLOOKUP(B589,PatData!$A$2:$A$2000,1,),"")&lt;&gt;""</f>
        <v>1</v>
      </c>
      <c r="E589">
        <v>1</v>
      </c>
      <c r="F589" t="b">
        <v>0</v>
      </c>
      <c r="G589" t="b">
        <v>1</v>
      </c>
      <c r="H589" t="b">
        <v>1</v>
      </c>
      <c r="I589" t="b">
        <v>0</v>
      </c>
    </row>
    <row r="590" spans="1:9" s="315" customFormat="1" x14ac:dyDescent="0.2">
      <c r="A590" t="s">
        <v>4758</v>
      </c>
      <c r="B590" t="s">
        <v>5083</v>
      </c>
      <c r="C590"/>
      <c r="D590" t="b">
        <f>IFERROR(VLOOKUP(B590,PatData!$A$2:$A$2000,1,),"")&lt;&gt;""</f>
        <v>1</v>
      </c>
      <c r="E590">
        <v>0</v>
      </c>
      <c r="F590" t="b">
        <v>0</v>
      </c>
      <c r="G590" t="b">
        <v>1</v>
      </c>
      <c r="H590" t="b">
        <v>1</v>
      </c>
      <c r="I590" t="b">
        <v>0</v>
      </c>
    </row>
    <row r="591" spans="1:9" s="315" customFormat="1" x14ac:dyDescent="0.2">
      <c r="A591" t="s">
        <v>4759</v>
      </c>
      <c r="B591" t="s">
        <v>5084</v>
      </c>
      <c r="C591"/>
      <c r="D591" t="b">
        <f>IFERROR(VLOOKUP(B591,PatData!$A$2:$A$2000,1,),"")&lt;&gt;""</f>
        <v>1</v>
      </c>
      <c r="E591">
        <v>0</v>
      </c>
      <c r="F591" t="b">
        <v>0</v>
      </c>
      <c r="G591" t="b">
        <v>1</v>
      </c>
      <c r="H591" t="b">
        <v>1</v>
      </c>
      <c r="I591" t="b">
        <v>0</v>
      </c>
    </row>
    <row r="592" spans="1:9" s="315" customFormat="1" x14ac:dyDescent="0.2">
      <c r="A592" t="s">
        <v>4760</v>
      </c>
      <c r="B592" t="s">
        <v>5085</v>
      </c>
      <c r="C592"/>
      <c r="D592" t="b">
        <f>IFERROR(VLOOKUP(B592,PatData!$A$2:$A$2000,1,),"")&lt;&gt;""</f>
        <v>1</v>
      </c>
      <c r="E592">
        <v>0</v>
      </c>
      <c r="F592" t="b">
        <v>0</v>
      </c>
      <c r="G592" t="b">
        <v>1</v>
      </c>
      <c r="H592" t="b">
        <v>1</v>
      </c>
      <c r="I592" t="b">
        <v>0</v>
      </c>
    </row>
    <row r="593" spans="1:9" s="315" customFormat="1" x14ac:dyDescent="0.2">
      <c r="A593" t="s">
        <v>4761</v>
      </c>
      <c r="B593" t="s">
        <v>5086</v>
      </c>
      <c r="C593"/>
      <c r="D593" t="b">
        <f>IFERROR(VLOOKUP(B593,PatData!$A$2:$A$2000,1,),"")&lt;&gt;""</f>
        <v>1</v>
      </c>
      <c r="E593">
        <v>0</v>
      </c>
      <c r="F593" t="b">
        <v>0</v>
      </c>
      <c r="G593" t="b">
        <v>1</v>
      </c>
      <c r="H593" t="b">
        <v>1</v>
      </c>
      <c r="I593" t="b">
        <v>0</v>
      </c>
    </row>
    <row r="594" spans="1:9" s="315" customFormat="1" x14ac:dyDescent="0.2">
      <c r="A594" t="s">
        <v>4762</v>
      </c>
      <c r="B594" t="s">
        <v>5087</v>
      </c>
      <c r="C594"/>
      <c r="D594" t="b">
        <f>IFERROR(VLOOKUP(B594,PatData!$A$2:$A$2000,1,),"")&lt;&gt;""</f>
        <v>1</v>
      </c>
      <c r="E594">
        <v>0</v>
      </c>
      <c r="F594" t="b">
        <v>0</v>
      </c>
      <c r="G594" t="b">
        <v>1</v>
      </c>
      <c r="H594" t="b">
        <v>1</v>
      </c>
      <c r="I594" t="b">
        <v>0</v>
      </c>
    </row>
    <row r="595" spans="1:9" s="315" customFormat="1" x14ac:dyDescent="0.2">
      <c r="A595" t="s">
        <v>4763</v>
      </c>
      <c r="B595" t="s">
        <v>5088</v>
      </c>
      <c r="C595"/>
      <c r="D595" t="b">
        <f>IFERROR(VLOOKUP(B595,PatData!$A$2:$A$2000,1,),"")&lt;&gt;""</f>
        <v>1</v>
      </c>
      <c r="E595">
        <v>0</v>
      </c>
      <c r="F595" t="b">
        <v>0</v>
      </c>
      <c r="G595" t="b">
        <v>1</v>
      </c>
      <c r="H595" t="b">
        <v>1</v>
      </c>
      <c r="I595" t="b">
        <v>0</v>
      </c>
    </row>
    <row r="596" spans="1:9" s="315" customFormat="1" x14ac:dyDescent="0.2">
      <c r="A596" t="s">
        <v>4764</v>
      </c>
      <c r="B596" t="s">
        <v>5089</v>
      </c>
      <c r="C596"/>
      <c r="D596" t="b">
        <f>IFERROR(VLOOKUP(B596,PatData!$A$2:$A$2000,1,),"")&lt;&gt;""</f>
        <v>1</v>
      </c>
      <c r="E596">
        <v>0</v>
      </c>
      <c r="F596" t="b">
        <v>0</v>
      </c>
      <c r="G596" t="b">
        <v>1</v>
      </c>
      <c r="H596" t="b">
        <v>1</v>
      </c>
      <c r="I596" t="b">
        <v>0</v>
      </c>
    </row>
    <row r="597" spans="1:9" s="315" customFormat="1" x14ac:dyDescent="0.2">
      <c r="A597" t="s">
        <v>4765</v>
      </c>
      <c r="B597" t="s">
        <v>5090</v>
      </c>
      <c r="C597"/>
      <c r="D597" t="b">
        <f>IFERROR(VLOOKUP(B597,PatData!$A$2:$A$2000,1,),"")&lt;&gt;""</f>
        <v>1</v>
      </c>
      <c r="E597">
        <v>0</v>
      </c>
      <c r="F597" t="b">
        <v>0</v>
      </c>
      <c r="G597" t="b">
        <v>1</v>
      </c>
      <c r="H597" t="b">
        <v>1</v>
      </c>
      <c r="I597" t="b">
        <v>0</v>
      </c>
    </row>
    <row r="598" spans="1:9" s="315" customFormat="1" x14ac:dyDescent="0.2">
      <c r="A598" t="s">
        <v>4766</v>
      </c>
      <c r="B598" t="s">
        <v>5091</v>
      </c>
      <c r="C598"/>
      <c r="D598" t="b">
        <f>IFERROR(VLOOKUP(B598,PatData!$A$2:$A$2000,1,),"")&lt;&gt;""</f>
        <v>1</v>
      </c>
      <c r="E598">
        <v>0</v>
      </c>
      <c r="F598" t="b">
        <v>0</v>
      </c>
      <c r="G598" t="b">
        <v>1</v>
      </c>
      <c r="H598" t="b">
        <v>1</v>
      </c>
      <c r="I598" t="b">
        <v>0</v>
      </c>
    </row>
    <row r="599" spans="1:9" s="315" customFormat="1" x14ac:dyDescent="0.2">
      <c r="A599" t="s">
        <v>4767</v>
      </c>
      <c r="B599" t="s">
        <v>5092</v>
      </c>
      <c r="C599"/>
      <c r="D599" t="b">
        <f>IFERROR(VLOOKUP(B599,PatData!$A$2:$A$2000,1,),"")&lt;&gt;""</f>
        <v>1</v>
      </c>
      <c r="E599"/>
      <c r="F599" t="b">
        <v>0</v>
      </c>
      <c r="G599" t="b">
        <v>1</v>
      </c>
      <c r="H599" t="b">
        <v>1</v>
      </c>
      <c r="I599" t="b">
        <v>0</v>
      </c>
    </row>
    <row r="600" spans="1:9" s="315" customFormat="1" x14ac:dyDescent="0.2">
      <c r="A600" t="s">
        <v>4768</v>
      </c>
      <c r="B600" t="s">
        <v>5093</v>
      </c>
      <c r="C600"/>
      <c r="D600" t="b">
        <f>IFERROR(VLOOKUP(B600,PatData!$A$2:$A$2000,1,),"")&lt;&gt;""</f>
        <v>1</v>
      </c>
      <c r="E600"/>
      <c r="F600" t="b">
        <v>0</v>
      </c>
      <c r="G600" t="b">
        <v>1</v>
      </c>
      <c r="H600" t="b">
        <v>1</v>
      </c>
      <c r="I600" t="b">
        <v>0</v>
      </c>
    </row>
    <row r="601" spans="1:9" s="315" customFormat="1" x14ac:dyDescent="0.2">
      <c r="A601" t="s">
        <v>4771</v>
      </c>
      <c r="B601" t="s">
        <v>5094</v>
      </c>
      <c r="C601"/>
      <c r="D601" t="b">
        <f>IFERROR(VLOOKUP(B601,PatData!$A$2:$A$2000,1,),"")&lt;&gt;""</f>
        <v>1</v>
      </c>
      <c r="E601">
        <v>0</v>
      </c>
      <c r="F601" t="b">
        <v>0</v>
      </c>
      <c r="G601" t="b">
        <v>1</v>
      </c>
      <c r="H601" t="b">
        <v>1</v>
      </c>
      <c r="I601" t="b">
        <v>0</v>
      </c>
    </row>
    <row r="602" spans="1:9" s="315" customFormat="1" x14ac:dyDescent="0.2">
      <c r="A602" t="s">
        <v>4772</v>
      </c>
      <c r="B602" t="s">
        <v>5095</v>
      </c>
      <c r="C602"/>
      <c r="D602" t="b">
        <f>IFERROR(VLOOKUP(B602,PatData!$A$2:$A$2000,1,),"")&lt;&gt;""</f>
        <v>1</v>
      </c>
      <c r="E602">
        <v>0</v>
      </c>
      <c r="F602" t="b">
        <v>0</v>
      </c>
      <c r="G602" t="b">
        <v>1</v>
      </c>
      <c r="H602" t="b">
        <v>1</v>
      </c>
      <c r="I602" t="b">
        <v>0</v>
      </c>
    </row>
    <row r="603" spans="1:9" s="315" customFormat="1" x14ac:dyDescent="0.2">
      <c r="A603" t="s">
        <v>4773</v>
      </c>
      <c r="B603" t="s">
        <v>5096</v>
      </c>
      <c r="C603"/>
      <c r="D603" t="b">
        <f>IFERROR(VLOOKUP(B603,PatData!$A$2:$A$2000,1,),"")&lt;&gt;""</f>
        <v>1</v>
      </c>
      <c r="E603">
        <v>0</v>
      </c>
      <c r="F603" t="b">
        <v>0</v>
      </c>
      <c r="G603" t="b">
        <v>1</v>
      </c>
      <c r="H603" t="b">
        <v>1</v>
      </c>
      <c r="I603" t="b">
        <v>0</v>
      </c>
    </row>
    <row r="604" spans="1:9" s="315" customFormat="1" x14ac:dyDescent="0.2">
      <c r="A604" t="s">
        <v>4774</v>
      </c>
      <c r="B604" t="s">
        <v>5097</v>
      </c>
      <c r="C604"/>
      <c r="D604" t="b">
        <f>IFERROR(VLOOKUP(B604,PatData!$A$2:$A$2000,1,),"")&lt;&gt;""</f>
        <v>1</v>
      </c>
      <c r="E604">
        <v>0</v>
      </c>
      <c r="F604" t="b">
        <v>0</v>
      </c>
      <c r="G604" t="b">
        <v>1</v>
      </c>
      <c r="H604" t="b">
        <v>1</v>
      </c>
      <c r="I604" t="b">
        <v>0</v>
      </c>
    </row>
    <row r="605" spans="1:9" s="315" customFormat="1" x14ac:dyDescent="0.2">
      <c r="A605" t="s">
        <v>4775</v>
      </c>
      <c r="B605" t="s">
        <v>5098</v>
      </c>
      <c r="C605"/>
      <c r="D605" t="b">
        <f>IFERROR(VLOOKUP(B605,PatData!$A$2:$A$2000,1,),"")&lt;&gt;""</f>
        <v>1</v>
      </c>
      <c r="E605">
        <v>0</v>
      </c>
      <c r="F605" t="b">
        <v>0</v>
      </c>
      <c r="G605" t="b">
        <v>1</v>
      </c>
      <c r="H605" t="b">
        <v>1</v>
      </c>
      <c r="I605" t="b">
        <v>0</v>
      </c>
    </row>
    <row r="606" spans="1:9" s="315" customFormat="1" x14ac:dyDescent="0.2">
      <c r="A606" t="s">
        <v>4776</v>
      </c>
      <c r="B606" t="s">
        <v>5099</v>
      </c>
      <c r="C606"/>
      <c r="D606" t="b">
        <f>IFERROR(VLOOKUP(B606,PatData!$A$2:$A$2000,1,),"")&lt;&gt;""</f>
        <v>1</v>
      </c>
      <c r="E606">
        <v>0</v>
      </c>
      <c r="F606" t="b">
        <v>0</v>
      </c>
      <c r="G606" t="b">
        <v>1</v>
      </c>
      <c r="H606" t="b">
        <v>1</v>
      </c>
      <c r="I606" t="b">
        <v>0</v>
      </c>
    </row>
    <row r="607" spans="1:9" s="315" customFormat="1" x14ac:dyDescent="0.2">
      <c r="A607" t="s">
        <v>4777</v>
      </c>
      <c r="B607" t="s">
        <v>5100</v>
      </c>
      <c r="C607"/>
      <c r="D607" t="b">
        <f>IFERROR(VLOOKUP(B607,PatData!$A$2:$A$2000,1,),"")&lt;&gt;""</f>
        <v>1</v>
      </c>
      <c r="E607">
        <v>0</v>
      </c>
      <c r="F607" t="b">
        <v>0</v>
      </c>
      <c r="G607" t="b">
        <v>1</v>
      </c>
      <c r="H607" t="b">
        <v>1</v>
      </c>
      <c r="I607" t="b">
        <v>0</v>
      </c>
    </row>
    <row r="608" spans="1:9" s="315" customFormat="1" x14ac:dyDescent="0.2">
      <c r="A608" t="s">
        <v>4778</v>
      </c>
      <c r="B608" t="s">
        <v>5101</v>
      </c>
      <c r="C608"/>
      <c r="D608" t="b">
        <f>IFERROR(VLOOKUP(B608,PatData!$A$2:$A$2000,1,),"")&lt;&gt;""</f>
        <v>1</v>
      </c>
      <c r="E608">
        <v>0</v>
      </c>
      <c r="F608" t="b">
        <v>0</v>
      </c>
      <c r="G608" t="b">
        <v>1</v>
      </c>
      <c r="H608" t="b">
        <v>1</v>
      </c>
      <c r="I608" t="b">
        <v>0</v>
      </c>
    </row>
    <row r="609" spans="1:9" s="315" customFormat="1" x14ac:dyDescent="0.2">
      <c r="A609" t="s">
        <v>4779</v>
      </c>
      <c r="B609" t="s">
        <v>5102</v>
      </c>
      <c r="C609"/>
      <c r="D609" t="b">
        <f>IFERROR(VLOOKUP(B609,PatData!$A$2:$A$2000,1,),"")&lt;&gt;""</f>
        <v>1</v>
      </c>
      <c r="E609">
        <v>0</v>
      </c>
      <c r="F609" t="b">
        <v>0</v>
      </c>
      <c r="G609" t="b">
        <v>1</v>
      </c>
      <c r="H609" t="b">
        <v>1</v>
      </c>
      <c r="I609" t="b">
        <v>0</v>
      </c>
    </row>
    <row r="610" spans="1:9" s="315" customFormat="1" x14ac:dyDescent="0.2">
      <c r="A610" t="s">
        <v>4780</v>
      </c>
      <c r="B610" t="s">
        <v>5103</v>
      </c>
      <c r="C610"/>
      <c r="D610" t="b">
        <f>IFERROR(VLOOKUP(B610,PatData!$A$2:$A$2000,1,),"")&lt;&gt;""</f>
        <v>1</v>
      </c>
      <c r="E610">
        <v>1</v>
      </c>
      <c r="F610" t="b">
        <v>0</v>
      </c>
      <c r="G610" t="b">
        <v>1</v>
      </c>
      <c r="H610" t="b">
        <v>1</v>
      </c>
      <c r="I610" t="b">
        <v>0</v>
      </c>
    </row>
    <row r="611" spans="1:9" s="315" customFormat="1" x14ac:dyDescent="0.2">
      <c r="A611" t="s">
        <v>4781</v>
      </c>
      <c r="B611" t="s">
        <v>5104</v>
      </c>
      <c r="C611"/>
      <c r="D611" t="b">
        <f>IFERROR(VLOOKUP(B611,PatData!$A$2:$A$2000,1,),"")&lt;&gt;""</f>
        <v>1</v>
      </c>
      <c r="E611">
        <v>1</v>
      </c>
      <c r="F611" t="b">
        <v>0</v>
      </c>
      <c r="G611" t="b">
        <v>1</v>
      </c>
      <c r="H611" t="b">
        <v>1</v>
      </c>
      <c r="I611" t="b">
        <v>0</v>
      </c>
    </row>
    <row r="612" spans="1:9" s="315" customFormat="1" x14ac:dyDescent="0.2">
      <c r="A612" t="s">
        <v>4782</v>
      </c>
      <c r="B612" t="s">
        <v>5105</v>
      </c>
      <c r="C612"/>
      <c r="D612" t="b">
        <f>IFERROR(VLOOKUP(B612,PatData!$A$2:$A$2000,1,),"")&lt;&gt;""</f>
        <v>1</v>
      </c>
      <c r="E612">
        <v>1</v>
      </c>
      <c r="F612" t="b">
        <v>0</v>
      </c>
      <c r="G612" t="b">
        <v>1</v>
      </c>
      <c r="H612" t="b">
        <v>1</v>
      </c>
      <c r="I612" t="b">
        <v>0</v>
      </c>
    </row>
    <row r="613" spans="1:9" s="315" customFormat="1" x14ac:dyDescent="0.2">
      <c r="A613" t="s">
        <v>4783</v>
      </c>
      <c r="B613" t="s">
        <v>5106</v>
      </c>
      <c r="C613"/>
      <c r="D613" t="b">
        <f>IFERROR(VLOOKUP(B613,PatData!$A$2:$A$2000,1,),"")&lt;&gt;""</f>
        <v>1</v>
      </c>
      <c r="E613">
        <v>1</v>
      </c>
      <c r="F613" t="b">
        <v>0</v>
      </c>
      <c r="G613" t="b">
        <v>1</v>
      </c>
      <c r="H613" t="b">
        <v>1</v>
      </c>
      <c r="I613" t="b">
        <v>0</v>
      </c>
    </row>
    <row r="614" spans="1:9" s="315" customFormat="1" x14ac:dyDescent="0.2">
      <c r="A614" t="s">
        <v>4784</v>
      </c>
      <c r="B614" t="s">
        <v>5107</v>
      </c>
      <c r="C614"/>
      <c r="D614" t="b">
        <f>IFERROR(VLOOKUP(B614,PatData!$A$2:$A$2000,1,),"")&lt;&gt;""</f>
        <v>1</v>
      </c>
      <c r="E614">
        <v>1</v>
      </c>
      <c r="F614" t="b">
        <v>0</v>
      </c>
      <c r="G614" t="b">
        <v>1</v>
      </c>
      <c r="H614" t="b">
        <v>1</v>
      </c>
      <c r="I614" t="b">
        <v>0</v>
      </c>
    </row>
    <row r="615" spans="1:9" s="315" customFormat="1" x14ac:dyDescent="0.2">
      <c r="A615" t="s">
        <v>4785</v>
      </c>
      <c r="B615" t="s">
        <v>5108</v>
      </c>
      <c r="C615"/>
      <c r="D615" t="b">
        <f>IFERROR(VLOOKUP(B615,PatData!$A$2:$A$2000,1,),"")&lt;&gt;""</f>
        <v>1</v>
      </c>
      <c r="E615">
        <v>1</v>
      </c>
      <c r="F615" t="b">
        <v>0</v>
      </c>
      <c r="G615" t="b">
        <v>1</v>
      </c>
      <c r="H615" t="b">
        <v>1</v>
      </c>
      <c r="I615" t="b">
        <v>0</v>
      </c>
    </row>
    <row r="616" spans="1:9" s="315" customFormat="1" x14ac:dyDescent="0.2">
      <c r="A616" t="s">
        <v>4786</v>
      </c>
      <c r="B616" t="s">
        <v>5109</v>
      </c>
      <c r="C616"/>
      <c r="D616" t="b">
        <f>IFERROR(VLOOKUP(B616,PatData!$A$2:$A$2000,1,),"")&lt;&gt;""</f>
        <v>1</v>
      </c>
      <c r="E616">
        <v>1</v>
      </c>
      <c r="F616" t="b">
        <v>0</v>
      </c>
      <c r="G616" t="b">
        <v>1</v>
      </c>
      <c r="H616" t="b">
        <v>1</v>
      </c>
      <c r="I616" t="b">
        <v>0</v>
      </c>
    </row>
    <row r="617" spans="1:9" s="315" customFormat="1" x14ac:dyDescent="0.2">
      <c r="A617" t="s">
        <v>4787</v>
      </c>
      <c r="B617" t="s">
        <v>5110</v>
      </c>
      <c r="C617"/>
      <c r="D617" t="b">
        <f>IFERROR(VLOOKUP(B617,PatData!$A$2:$A$2000,1,),"")&lt;&gt;""</f>
        <v>1</v>
      </c>
      <c r="E617">
        <v>1</v>
      </c>
      <c r="F617" t="b">
        <v>0</v>
      </c>
      <c r="G617" t="b">
        <v>1</v>
      </c>
      <c r="H617" t="b">
        <v>1</v>
      </c>
      <c r="I617" t="b">
        <v>0</v>
      </c>
    </row>
    <row r="618" spans="1:9" s="315" customFormat="1" x14ac:dyDescent="0.2">
      <c r="A618" t="s">
        <v>4788</v>
      </c>
      <c r="B618" t="s">
        <v>5111</v>
      </c>
      <c r="C618"/>
      <c r="D618" t="b">
        <f>IFERROR(VLOOKUP(B618,PatData!$A$2:$A$2000,1,),"")&lt;&gt;""</f>
        <v>1</v>
      </c>
      <c r="E618">
        <v>1</v>
      </c>
      <c r="F618" t="b">
        <v>0</v>
      </c>
      <c r="G618" t="b">
        <v>1</v>
      </c>
      <c r="H618" t="b">
        <v>1</v>
      </c>
      <c r="I618" t="b">
        <v>0</v>
      </c>
    </row>
    <row r="619" spans="1:9" s="315" customFormat="1" x14ac:dyDescent="0.2">
      <c r="A619" t="s">
        <v>4789</v>
      </c>
      <c r="B619" t="s">
        <v>5112</v>
      </c>
      <c r="C619"/>
      <c r="D619" t="b">
        <f>IFERROR(VLOOKUP(B619,PatData!$A$2:$A$2000,1,),"")&lt;&gt;""</f>
        <v>1</v>
      </c>
      <c r="E619">
        <v>1</v>
      </c>
      <c r="F619" t="b">
        <v>0</v>
      </c>
      <c r="G619" t="b">
        <v>1</v>
      </c>
      <c r="H619" t="b">
        <v>1</v>
      </c>
      <c r="I619" t="b">
        <v>0</v>
      </c>
    </row>
    <row r="620" spans="1:9" s="315" customFormat="1" x14ac:dyDescent="0.2">
      <c r="A620" t="s">
        <v>4790</v>
      </c>
      <c r="B620" t="s">
        <v>5113</v>
      </c>
      <c r="C620"/>
      <c r="D620" t="b">
        <f>IFERROR(VLOOKUP(B620,PatData!$A$2:$A$2000,1,),"")&lt;&gt;""</f>
        <v>1</v>
      </c>
      <c r="E620">
        <v>1</v>
      </c>
      <c r="F620" t="b">
        <v>0</v>
      </c>
      <c r="G620" t="b">
        <v>1</v>
      </c>
      <c r="H620" t="b">
        <v>1</v>
      </c>
      <c r="I620" t="b">
        <v>0</v>
      </c>
    </row>
    <row r="621" spans="1:9" s="315" customFormat="1" x14ac:dyDescent="0.2">
      <c r="A621" t="s">
        <v>4791</v>
      </c>
      <c r="B621" t="s">
        <v>5114</v>
      </c>
      <c r="C621"/>
      <c r="D621" t="b">
        <f>IFERROR(VLOOKUP(B621,PatData!$A$2:$A$2000,1,),"")&lt;&gt;""</f>
        <v>1</v>
      </c>
      <c r="E621">
        <v>1</v>
      </c>
      <c r="F621" t="b">
        <v>0</v>
      </c>
      <c r="G621" t="b">
        <v>1</v>
      </c>
      <c r="H621" t="b">
        <v>1</v>
      </c>
      <c r="I621" t="b">
        <v>0</v>
      </c>
    </row>
    <row r="622" spans="1:9" s="315" customFormat="1" x14ac:dyDescent="0.2">
      <c r="A622" t="s">
        <v>4805</v>
      </c>
      <c r="B622" t="s">
        <v>5115</v>
      </c>
      <c r="C622"/>
      <c r="D622" t="b">
        <f>IFERROR(VLOOKUP(B622,PatData!$A$2:$A$2000,1,),"")&lt;&gt;""</f>
        <v>1</v>
      </c>
      <c r="E622">
        <v>0</v>
      </c>
      <c r="F622" t="b">
        <v>0</v>
      </c>
      <c r="G622" t="b">
        <v>1</v>
      </c>
      <c r="H622" t="b">
        <v>1</v>
      </c>
      <c r="I622" t="b">
        <v>0</v>
      </c>
    </row>
    <row r="623" spans="1:9" s="315" customFormat="1" x14ac:dyDescent="0.2">
      <c r="A623" t="s">
        <v>4806</v>
      </c>
      <c r="B623" t="s">
        <v>5116</v>
      </c>
      <c r="C623"/>
      <c r="D623" t="b">
        <f>IFERROR(VLOOKUP(B623,PatData!$A$2:$A$2000,1,),"")&lt;&gt;""</f>
        <v>1</v>
      </c>
      <c r="E623">
        <v>0</v>
      </c>
      <c r="F623" t="b">
        <v>0</v>
      </c>
      <c r="G623" t="b">
        <v>1</v>
      </c>
      <c r="H623" t="b">
        <v>1</v>
      </c>
      <c r="I623" t="b">
        <v>0</v>
      </c>
    </row>
    <row r="624" spans="1:9" s="315" customFormat="1" x14ac:dyDescent="0.2">
      <c r="A624" t="s">
        <v>4807</v>
      </c>
      <c r="B624" t="s">
        <v>5117</v>
      </c>
      <c r="C624"/>
      <c r="D624" t="b">
        <f>IFERROR(VLOOKUP(B624,PatData!$A$2:$A$2000,1,),"")&lt;&gt;""</f>
        <v>1</v>
      </c>
      <c r="E624">
        <v>0</v>
      </c>
      <c r="F624" t="b">
        <v>0</v>
      </c>
      <c r="G624" t="b">
        <v>1</v>
      </c>
      <c r="H624" t="b">
        <v>1</v>
      </c>
      <c r="I624" t="b">
        <v>0</v>
      </c>
    </row>
    <row r="625" spans="1:9" s="315" customFormat="1" x14ac:dyDescent="0.2">
      <c r="A625" t="s">
        <v>4808</v>
      </c>
      <c r="B625" t="s">
        <v>5118</v>
      </c>
      <c r="C625"/>
      <c r="D625" t="b">
        <f>IFERROR(VLOOKUP(B625,PatData!$A$2:$A$2000,1,),"")&lt;&gt;""</f>
        <v>1</v>
      </c>
      <c r="E625">
        <v>0</v>
      </c>
      <c r="F625" t="b">
        <v>0</v>
      </c>
      <c r="G625" t="b">
        <v>1</v>
      </c>
      <c r="H625" t="b">
        <v>1</v>
      </c>
      <c r="I625" t="b">
        <v>0</v>
      </c>
    </row>
    <row r="626" spans="1:9" s="315" customFormat="1" x14ac:dyDescent="0.2">
      <c r="A626" t="s">
        <v>4809</v>
      </c>
      <c r="B626" t="s">
        <v>5119</v>
      </c>
      <c r="C626"/>
      <c r="D626" t="b">
        <f>IFERROR(VLOOKUP(B626,PatData!$A$2:$A$2000,1,),"")&lt;&gt;""</f>
        <v>1</v>
      </c>
      <c r="E626">
        <v>0</v>
      </c>
      <c r="F626" t="b">
        <v>0</v>
      </c>
      <c r="G626" t="b">
        <v>1</v>
      </c>
      <c r="H626" t="b">
        <v>1</v>
      </c>
      <c r="I626" t="b">
        <v>0</v>
      </c>
    </row>
    <row r="627" spans="1:9" s="315" customFormat="1" x14ac:dyDescent="0.2">
      <c r="A627" t="s">
        <v>4810</v>
      </c>
      <c r="B627" t="s">
        <v>5120</v>
      </c>
      <c r="C627"/>
      <c r="D627" t="b">
        <f>IFERROR(VLOOKUP(B627,PatData!$A$2:$A$2000,1,),"")&lt;&gt;""</f>
        <v>1</v>
      </c>
      <c r="E627">
        <v>0</v>
      </c>
      <c r="F627" t="b">
        <v>0</v>
      </c>
      <c r="G627" t="b">
        <v>1</v>
      </c>
      <c r="H627" t="b">
        <v>1</v>
      </c>
      <c r="I627" t="b">
        <v>0</v>
      </c>
    </row>
    <row r="628" spans="1:9" s="315" customFormat="1" x14ac:dyDescent="0.2">
      <c r="A628" t="s">
        <v>4811</v>
      </c>
      <c r="B628" t="s">
        <v>5121</v>
      </c>
      <c r="C628"/>
      <c r="D628" t="b">
        <f>IFERROR(VLOOKUP(B628,PatData!$A$2:$A$2000,1,),"")&lt;&gt;""</f>
        <v>1</v>
      </c>
      <c r="E628">
        <v>0</v>
      </c>
      <c r="F628" t="b">
        <v>0</v>
      </c>
      <c r="G628" t="b">
        <v>1</v>
      </c>
      <c r="H628" t="b">
        <v>1</v>
      </c>
      <c r="I628" t="b">
        <v>0</v>
      </c>
    </row>
    <row r="629" spans="1:9" s="315" customFormat="1" x14ac:dyDescent="0.2">
      <c r="A629" t="s">
        <v>4812</v>
      </c>
      <c r="B629" t="s">
        <v>5122</v>
      </c>
      <c r="C629"/>
      <c r="D629" t="b">
        <f>IFERROR(VLOOKUP(B629,PatData!$A$2:$A$2000,1,),"")&lt;&gt;""</f>
        <v>1</v>
      </c>
      <c r="E629">
        <v>0</v>
      </c>
      <c r="F629" t="b">
        <v>0</v>
      </c>
      <c r="G629" t="b">
        <v>1</v>
      </c>
      <c r="H629" t="b">
        <v>1</v>
      </c>
      <c r="I629" t="b">
        <v>0</v>
      </c>
    </row>
    <row r="630" spans="1:9" s="315" customFormat="1" x14ac:dyDescent="0.2">
      <c r="A630" t="s">
        <v>4813</v>
      </c>
      <c r="B630" t="s">
        <v>5123</v>
      </c>
      <c r="C630"/>
      <c r="D630" t="b">
        <f>IFERROR(VLOOKUP(B630,PatData!$A$2:$A$2000,1,),"")&lt;&gt;""</f>
        <v>1</v>
      </c>
      <c r="E630">
        <v>0</v>
      </c>
      <c r="F630" t="b">
        <v>0</v>
      </c>
      <c r="G630" t="b">
        <v>1</v>
      </c>
      <c r="H630" t="b">
        <v>1</v>
      </c>
      <c r="I630" t="b">
        <v>0</v>
      </c>
    </row>
    <row r="631" spans="1:9" s="315" customFormat="1" x14ac:dyDescent="0.2">
      <c r="A631" t="s">
        <v>4814</v>
      </c>
      <c r="B631" t="s">
        <v>5124</v>
      </c>
      <c r="C631"/>
      <c r="D631" t="b">
        <f>IFERROR(VLOOKUP(B631,PatData!$A$2:$A$2000,1,),"")&lt;&gt;""</f>
        <v>1</v>
      </c>
      <c r="E631">
        <v>0</v>
      </c>
      <c r="F631" t="b">
        <v>0</v>
      </c>
      <c r="G631" t="b">
        <v>1</v>
      </c>
      <c r="H631" t="b">
        <v>1</v>
      </c>
      <c r="I631" t="b">
        <v>0</v>
      </c>
    </row>
    <row r="632" spans="1:9" s="315" customFormat="1" x14ac:dyDescent="0.2">
      <c r="A632" t="s">
        <v>4815</v>
      </c>
      <c r="B632" t="s">
        <v>5125</v>
      </c>
      <c r="C632"/>
      <c r="D632" t="b">
        <f>IFERROR(VLOOKUP(B632,PatData!$A$2:$A$2000,1,),"")&lt;&gt;""</f>
        <v>1</v>
      </c>
      <c r="E632">
        <v>0</v>
      </c>
      <c r="F632" t="b">
        <v>0</v>
      </c>
      <c r="G632" t="b">
        <v>1</v>
      </c>
      <c r="H632" t="b">
        <v>1</v>
      </c>
      <c r="I632" t="b">
        <v>0</v>
      </c>
    </row>
    <row r="633" spans="1:9" s="315" customFormat="1" x14ac:dyDescent="0.2">
      <c r="A633" t="s">
        <v>4816</v>
      </c>
      <c r="B633" t="s">
        <v>5126</v>
      </c>
      <c r="C633"/>
      <c r="D633" t="b">
        <f>IFERROR(VLOOKUP(B633,PatData!$A$2:$A$2000,1,),"")&lt;&gt;""</f>
        <v>1</v>
      </c>
      <c r="E633">
        <v>0</v>
      </c>
      <c r="F633" t="b">
        <v>0</v>
      </c>
      <c r="G633" t="b">
        <v>1</v>
      </c>
      <c r="H633" t="b">
        <v>1</v>
      </c>
      <c r="I633" t="b">
        <v>0</v>
      </c>
    </row>
    <row r="634" spans="1:9" s="315" customFormat="1" x14ac:dyDescent="0.2">
      <c r="A634" t="s">
        <v>4827</v>
      </c>
      <c r="B634" t="s">
        <v>5127</v>
      </c>
      <c r="C634"/>
      <c r="D634" t="b">
        <f>IFERROR(VLOOKUP(B634,PatData!$A$2:$A$2000,1,),"")&lt;&gt;""</f>
        <v>1</v>
      </c>
      <c r="E634">
        <v>1</v>
      </c>
      <c r="F634" t="b">
        <v>0</v>
      </c>
      <c r="G634" t="b">
        <v>1</v>
      </c>
      <c r="H634" t="b">
        <v>1</v>
      </c>
      <c r="I634" t="b">
        <v>0</v>
      </c>
    </row>
    <row r="635" spans="1:9" s="315" customFormat="1" x14ac:dyDescent="0.2">
      <c r="A635" t="s">
        <v>4828</v>
      </c>
      <c r="B635" t="s">
        <v>5128</v>
      </c>
      <c r="C635"/>
      <c r="D635" t="b">
        <f>IFERROR(VLOOKUP(B635,PatData!$A$2:$A$2000,1,),"")&lt;&gt;""</f>
        <v>1</v>
      </c>
      <c r="E635">
        <v>0</v>
      </c>
      <c r="F635" t="b">
        <v>0</v>
      </c>
      <c r="G635" t="b">
        <v>1</v>
      </c>
      <c r="H635" t="b">
        <v>1</v>
      </c>
      <c r="I635" t="b">
        <v>0</v>
      </c>
    </row>
    <row r="636" spans="1:9" s="315" customFormat="1" x14ac:dyDescent="0.2">
      <c r="A636" t="s">
        <v>4829</v>
      </c>
      <c r="B636" t="s">
        <v>5129</v>
      </c>
      <c r="C636"/>
      <c r="D636" t="b">
        <f>IFERROR(VLOOKUP(B636,PatData!$A$2:$A$2000,1,),"")&lt;&gt;""</f>
        <v>1</v>
      </c>
      <c r="E636">
        <v>0</v>
      </c>
      <c r="F636" t="b">
        <v>0</v>
      </c>
      <c r="G636" t="b">
        <v>1</v>
      </c>
      <c r="H636" t="b">
        <v>1</v>
      </c>
      <c r="I636" t="b">
        <v>0</v>
      </c>
    </row>
    <row r="637" spans="1:9" s="315" customFormat="1" x14ac:dyDescent="0.2">
      <c r="A637" t="s">
        <v>4830</v>
      </c>
      <c r="B637" t="s">
        <v>5130</v>
      </c>
      <c r="C637"/>
      <c r="D637" t="b">
        <f>IFERROR(VLOOKUP(B637,PatData!$A$2:$A$2000,1,),"")&lt;&gt;""</f>
        <v>1</v>
      </c>
      <c r="E637">
        <v>0</v>
      </c>
      <c r="F637" t="b">
        <v>0</v>
      </c>
      <c r="G637" t="b">
        <v>1</v>
      </c>
      <c r="H637" t="b">
        <v>1</v>
      </c>
      <c r="I637" t="b">
        <v>0</v>
      </c>
    </row>
    <row r="638" spans="1:9" s="315" customFormat="1" x14ac:dyDescent="0.2">
      <c r="A638" t="s">
        <v>4831</v>
      </c>
      <c r="B638" t="s">
        <v>5131</v>
      </c>
      <c r="C638"/>
      <c r="D638" t="b">
        <f>IFERROR(VLOOKUP(B638,PatData!$A$2:$A$2000,1,),"")&lt;&gt;""</f>
        <v>1</v>
      </c>
      <c r="E638">
        <v>0</v>
      </c>
      <c r="F638" t="b">
        <v>0</v>
      </c>
      <c r="G638" t="b">
        <v>1</v>
      </c>
      <c r="H638" t="b">
        <v>1</v>
      </c>
      <c r="I638" t="b">
        <v>0</v>
      </c>
    </row>
    <row r="639" spans="1:9" s="315" customFormat="1" x14ac:dyDescent="0.2">
      <c r="A639" t="s">
        <v>4832</v>
      </c>
      <c r="B639" t="s">
        <v>5132</v>
      </c>
      <c r="C639"/>
      <c r="D639" t="b">
        <f>IFERROR(VLOOKUP(B639,PatData!$A$2:$A$2000,1,),"")&lt;&gt;""</f>
        <v>1</v>
      </c>
      <c r="E639">
        <v>0</v>
      </c>
      <c r="F639" t="b">
        <v>0</v>
      </c>
      <c r="G639" t="b">
        <v>1</v>
      </c>
      <c r="H639" t="b">
        <v>1</v>
      </c>
      <c r="I639" t="b">
        <v>0</v>
      </c>
    </row>
    <row r="640" spans="1:9" s="315" customFormat="1" x14ac:dyDescent="0.2">
      <c r="A640" t="s">
        <v>4833</v>
      </c>
      <c r="B640" t="s">
        <v>5133</v>
      </c>
      <c r="C640"/>
      <c r="D640" t="b">
        <f>IFERROR(VLOOKUP(B640,PatData!$A$2:$A$2000,1,),"")&lt;&gt;""</f>
        <v>1</v>
      </c>
      <c r="E640">
        <v>0</v>
      </c>
      <c r="F640" t="b">
        <v>0</v>
      </c>
      <c r="G640" t="b">
        <v>1</v>
      </c>
      <c r="H640" t="b">
        <v>1</v>
      </c>
      <c r="I640" t="b">
        <v>0</v>
      </c>
    </row>
    <row r="641" spans="1:9" s="315" customFormat="1" x14ac:dyDescent="0.2">
      <c r="A641" t="s">
        <v>4834</v>
      </c>
      <c r="B641" t="s">
        <v>5134</v>
      </c>
      <c r="C641"/>
      <c r="D641" t="b">
        <f>IFERROR(VLOOKUP(B641,PatData!$A$2:$A$2000,1,),"")&lt;&gt;""</f>
        <v>1</v>
      </c>
      <c r="E641">
        <v>0</v>
      </c>
      <c r="F641" t="b">
        <v>0</v>
      </c>
      <c r="G641" t="b">
        <v>1</v>
      </c>
      <c r="H641" t="b">
        <v>1</v>
      </c>
      <c r="I641" t="b">
        <v>0</v>
      </c>
    </row>
    <row r="642" spans="1:9" s="315" customFormat="1" x14ac:dyDescent="0.2">
      <c r="A642" t="s">
        <v>4835</v>
      </c>
      <c r="B642" t="s">
        <v>5135</v>
      </c>
      <c r="C642"/>
      <c r="D642" t="b">
        <f>IFERROR(VLOOKUP(B642,PatData!$A$2:$A$2000,1,),"")&lt;&gt;""</f>
        <v>1</v>
      </c>
      <c r="E642">
        <v>0</v>
      </c>
      <c r="F642" t="b">
        <v>0</v>
      </c>
      <c r="G642" t="b">
        <v>1</v>
      </c>
      <c r="H642" t="b">
        <v>1</v>
      </c>
      <c r="I642" t="b">
        <v>0</v>
      </c>
    </row>
    <row r="643" spans="1:9" s="315" customFormat="1" x14ac:dyDescent="0.2">
      <c r="A643" t="s">
        <v>4836</v>
      </c>
      <c r="B643" t="s">
        <v>5136</v>
      </c>
      <c r="C643"/>
      <c r="D643" t="b">
        <f>IFERROR(VLOOKUP(B643,PatData!$A$2:$A$2000,1,),"")&lt;&gt;""</f>
        <v>1</v>
      </c>
      <c r="E643">
        <v>0</v>
      </c>
      <c r="F643" t="b">
        <v>0</v>
      </c>
      <c r="G643" t="b">
        <v>1</v>
      </c>
      <c r="H643" t="b">
        <v>1</v>
      </c>
      <c r="I643" t="b">
        <v>0</v>
      </c>
    </row>
    <row r="644" spans="1:9" s="315" customFormat="1" x14ac:dyDescent="0.2">
      <c r="A644" t="s">
        <v>4837</v>
      </c>
      <c r="B644" t="s">
        <v>5137</v>
      </c>
      <c r="C644"/>
      <c r="D644" t="b">
        <f>IFERROR(VLOOKUP(B644,PatData!$A$2:$A$2000,1,),"")&lt;&gt;""</f>
        <v>1</v>
      </c>
      <c r="E644" t="b">
        <v>0</v>
      </c>
      <c r="F644" t="b">
        <v>0</v>
      </c>
      <c r="G644" t="b">
        <v>1</v>
      </c>
      <c r="H644" t="b">
        <v>1</v>
      </c>
      <c r="I644" t="b">
        <v>0</v>
      </c>
    </row>
    <row r="645" spans="1:9" s="315" customFormat="1" x14ac:dyDescent="0.2">
      <c r="A645" t="s">
        <v>4838</v>
      </c>
      <c r="B645" t="s">
        <v>5138</v>
      </c>
      <c r="C645"/>
      <c r="D645" t="b">
        <f>IFERROR(VLOOKUP(B645,PatData!$A$2:$A$2000,1,),"")&lt;&gt;""</f>
        <v>1</v>
      </c>
      <c r="E645" t="b">
        <v>0</v>
      </c>
      <c r="F645" t="b">
        <v>0</v>
      </c>
      <c r="G645" t="b">
        <v>1</v>
      </c>
      <c r="H645" t="b">
        <v>1</v>
      </c>
      <c r="I645" t="b">
        <v>0</v>
      </c>
    </row>
    <row r="646" spans="1:9" s="315" customFormat="1" x14ac:dyDescent="0.2">
      <c r="A646" t="s">
        <v>4839</v>
      </c>
      <c r="B646" t="s">
        <v>5139</v>
      </c>
      <c r="C646"/>
      <c r="D646" t="b">
        <f>IFERROR(VLOOKUP(B646,PatData!$A$2:$A$2000,1,),"")&lt;&gt;""</f>
        <v>1</v>
      </c>
      <c r="E646" t="b">
        <v>0</v>
      </c>
      <c r="F646" t="b">
        <v>0</v>
      </c>
      <c r="G646" t="b">
        <v>1</v>
      </c>
      <c r="H646" t="b">
        <v>1</v>
      </c>
      <c r="I646" t="b">
        <v>0</v>
      </c>
    </row>
    <row r="647" spans="1:9" s="315" customFormat="1" x14ac:dyDescent="0.2">
      <c r="A647" t="s">
        <v>4840</v>
      </c>
      <c r="B647" t="s">
        <v>5140</v>
      </c>
      <c r="C647"/>
      <c r="D647" t="b">
        <f>IFERROR(VLOOKUP(B647,PatData!$A$2:$A$2000,1,),"")&lt;&gt;""</f>
        <v>1</v>
      </c>
      <c r="E647" t="b">
        <v>0</v>
      </c>
      <c r="F647" t="b">
        <v>0</v>
      </c>
      <c r="G647" t="b">
        <v>1</v>
      </c>
      <c r="H647" t="b">
        <v>1</v>
      </c>
      <c r="I647" t="b">
        <v>0</v>
      </c>
    </row>
    <row r="648" spans="1:9" s="315" customFormat="1" x14ac:dyDescent="0.2">
      <c r="A648" t="s">
        <v>4740</v>
      </c>
      <c r="B648" t="s">
        <v>5141</v>
      </c>
      <c r="C648"/>
      <c r="D648" t="b">
        <f>IFERROR(VLOOKUP(B648,PatData!$A$2:$A$2000,1,),"")&lt;&gt;""</f>
        <v>1</v>
      </c>
      <c r="E648">
        <v>0</v>
      </c>
      <c r="F648" t="b">
        <v>0</v>
      </c>
      <c r="G648" t="b">
        <v>1</v>
      </c>
      <c r="H648" t="b">
        <v>1</v>
      </c>
      <c r="I648" t="b">
        <v>0</v>
      </c>
    </row>
    <row r="649" spans="1:9" s="315" customFormat="1" x14ac:dyDescent="0.2">
      <c r="A649" t="s">
        <v>4741</v>
      </c>
      <c r="B649" t="s">
        <v>5142</v>
      </c>
      <c r="C649"/>
      <c r="D649" t="b">
        <f>IFERROR(VLOOKUP(B649,PatData!$A$2:$A$2000,1,),"")&lt;&gt;""</f>
        <v>1</v>
      </c>
      <c r="E649">
        <v>0</v>
      </c>
      <c r="F649" t="b">
        <v>0</v>
      </c>
      <c r="G649" t="b">
        <v>1</v>
      </c>
      <c r="H649" t="b">
        <v>1</v>
      </c>
      <c r="I649" t="b">
        <v>0</v>
      </c>
    </row>
    <row r="650" spans="1:9" s="315" customFormat="1" x14ac:dyDescent="0.2">
      <c r="A650" t="s">
        <v>4743</v>
      </c>
      <c r="B650" t="s">
        <v>5143</v>
      </c>
      <c r="C650"/>
      <c r="D650" t="b">
        <f>IFERROR(VLOOKUP(B650,PatData!$A$2:$A$2000,1,),"")&lt;&gt;""</f>
        <v>1</v>
      </c>
      <c r="E650">
        <v>0</v>
      </c>
      <c r="F650" t="b">
        <v>0</v>
      </c>
      <c r="G650" t="b">
        <v>1</v>
      </c>
      <c r="H650" t="b">
        <v>1</v>
      </c>
      <c r="I650" t="b">
        <v>0</v>
      </c>
    </row>
    <row r="651" spans="1:9" s="315" customFormat="1" x14ac:dyDescent="0.2">
      <c r="A651" t="s">
        <v>4744</v>
      </c>
      <c r="B651" t="s">
        <v>5144</v>
      </c>
      <c r="C651"/>
      <c r="D651" t="b">
        <f>IFERROR(VLOOKUP(B651,PatData!$A$2:$A$2000,1,),"")&lt;&gt;""</f>
        <v>1</v>
      </c>
      <c r="E651">
        <v>0</v>
      </c>
      <c r="F651" t="b">
        <v>0</v>
      </c>
      <c r="G651" t="b">
        <v>1</v>
      </c>
      <c r="H651" t="b">
        <v>1</v>
      </c>
      <c r="I651" t="b">
        <v>0</v>
      </c>
    </row>
    <row r="652" spans="1:9" s="315" customFormat="1" x14ac:dyDescent="0.2">
      <c r="A652" t="s">
        <v>4793</v>
      </c>
      <c r="B652" t="s">
        <v>5145</v>
      </c>
      <c r="C652"/>
      <c r="D652" t="b">
        <f>IFERROR(VLOOKUP(B652,PatData!$A$2:$A$2000,1,),"")&lt;&gt;""</f>
        <v>1</v>
      </c>
      <c r="E652">
        <v>1</v>
      </c>
      <c r="F652" t="b">
        <v>0</v>
      </c>
      <c r="G652" t="b">
        <v>1</v>
      </c>
      <c r="H652" t="b">
        <v>1</v>
      </c>
      <c r="I652" t="b">
        <v>0</v>
      </c>
    </row>
    <row r="653" spans="1:9" s="315" customFormat="1" x14ac:dyDescent="0.2">
      <c r="A653" t="s">
        <v>4794</v>
      </c>
      <c r="B653" t="s">
        <v>5146</v>
      </c>
      <c r="C653"/>
      <c r="D653" t="b">
        <f>IFERROR(VLOOKUP(B653,PatData!$A$2:$A$2000,1,),"")&lt;&gt;""</f>
        <v>1</v>
      </c>
      <c r="E653">
        <v>1</v>
      </c>
      <c r="F653" t="b">
        <v>0</v>
      </c>
      <c r="G653" t="b">
        <v>1</v>
      </c>
      <c r="H653" t="b">
        <v>1</v>
      </c>
      <c r="I653" t="b">
        <v>0</v>
      </c>
    </row>
    <row r="654" spans="1:9" s="315" customFormat="1" x14ac:dyDescent="0.2">
      <c r="A654" t="s">
        <v>4795</v>
      </c>
      <c r="B654" t="s">
        <v>5147</v>
      </c>
      <c r="C654"/>
      <c r="D654" t="b">
        <f>IFERROR(VLOOKUP(B654,PatData!$A$2:$A$2000,1,),"")&lt;&gt;""</f>
        <v>1</v>
      </c>
      <c r="E654">
        <v>1</v>
      </c>
      <c r="F654" t="b">
        <v>0</v>
      </c>
      <c r="G654" t="b">
        <v>1</v>
      </c>
      <c r="H654" t="b">
        <v>1</v>
      </c>
      <c r="I654" t="b">
        <v>0</v>
      </c>
    </row>
    <row r="655" spans="1:9" s="315" customFormat="1" x14ac:dyDescent="0.2">
      <c r="A655" t="s">
        <v>4796</v>
      </c>
      <c r="B655" t="s">
        <v>5148</v>
      </c>
      <c r="C655"/>
      <c r="D655" t="b">
        <f>IFERROR(VLOOKUP(B655,PatData!$A$2:$A$2000,1,),"")&lt;&gt;""</f>
        <v>1</v>
      </c>
      <c r="E655">
        <v>1</v>
      </c>
      <c r="F655" t="b">
        <v>0</v>
      </c>
      <c r="G655" t="b">
        <v>1</v>
      </c>
      <c r="H655" t="b">
        <v>1</v>
      </c>
      <c r="I655" t="b">
        <v>0</v>
      </c>
    </row>
    <row r="656" spans="1:9" s="315" customFormat="1" x14ac:dyDescent="0.2">
      <c r="A656" t="s">
        <v>4797</v>
      </c>
      <c r="B656" t="s">
        <v>5149</v>
      </c>
      <c r="C656"/>
      <c r="D656" t="b">
        <f>IFERROR(VLOOKUP(B656,PatData!$A$2:$A$2000,1,),"")&lt;&gt;""</f>
        <v>1</v>
      </c>
      <c r="E656">
        <v>1</v>
      </c>
      <c r="F656" t="b">
        <v>0</v>
      </c>
      <c r="G656" t="b">
        <v>1</v>
      </c>
      <c r="H656" t="b">
        <v>1</v>
      </c>
      <c r="I656" t="b">
        <v>0</v>
      </c>
    </row>
    <row r="657" spans="1:9" s="315" customFormat="1" x14ac:dyDescent="0.2">
      <c r="A657" t="s">
        <v>4798</v>
      </c>
      <c r="B657" t="s">
        <v>5150</v>
      </c>
      <c r="C657"/>
      <c r="D657" t="b">
        <f>IFERROR(VLOOKUP(B657,PatData!$A$2:$A$2000,1,),"")&lt;&gt;""</f>
        <v>1</v>
      </c>
      <c r="E657">
        <v>1</v>
      </c>
      <c r="F657" t="b">
        <v>0</v>
      </c>
      <c r="G657" t="b">
        <v>1</v>
      </c>
      <c r="H657" t="b">
        <v>1</v>
      </c>
      <c r="I657" t="b">
        <v>0</v>
      </c>
    </row>
    <row r="658" spans="1:9" s="315" customFormat="1" x14ac:dyDescent="0.2">
      <c r="A658" t="s">
        <v>4799</v>
      </c>
      <c r="B658" t="s">
        <v>5151</v>
      </c>
      <c r="C658"/>
      <c r="D658" t="b">
        <f>IFERROR(VLOOKUP(B658,PatData!$A$2:$A$2000,1,),"")&lt;&gt;""</f>
        <v>1</v>
      </c>
      <c r="E658">
        <v>1</v>
      </c>
      <c r="F658" t="b">
        <v>0</v>
      </c>
      <c r="G658" t="b">
        <v>1</v>
      </c>
      <c r="H658" t="b">
        <v>1</v>
      </c>
      <c r="I658" t="b">
        <v>0</v>
      </c>
    </row>
    <row r="659" spans="1:9" s="315" customFormat="1" x14ac:dyDescent="0.2">
      <c r="A659" t="s">
        <v>4800</v>
      </c>
      <c r="B659" t="s">
        <v>5152</v>
      </c>
      <c r="C659"/>
      <c r="D659" t="b">
        <f>IFERROR(VLOOKUP(B659,PatData!$A$2:$A$2000,1,),"")&lt;&gt;""</f>
        <v>1</v>
      </c>
      <c r="E659">
        <v>1</v>
      </c>
      <c r="F659" t="b">
        <v>0</v>
      </c>
      <c r="G659" t="b">
        <v>1</v>
      </c>
      <c r="H659" t="b">
        <v>1</v>
      </c>
      <c r="I659" t="b">
        <v>0</v>
      </c>
    </row>
    <row r="660" spans="1:9" s="315" customFormat="1" x14ac:dyDescent="0.2">
      <c r="A660" t="s">
        <v>4801</v>
      </c>
      <c r="B660" t="s">
        <v>5153</v>
      </c>
      <c r="C660"/>
      <c r="D660" t="b">
        <f>IFERROR(VLOOKUP(B660,PatData!$A$2:$A$2000,1,),"")&lt;&gt;""</f>
        <v>1</v>
      </c>
      <c r="E660">
        <v>1</v>
      </c>
      <c r="F660" t="b">
        <v>0</v>
      </c>
      <c r="G660" t="b">
        <v>1</v>
      </c>
      <c r="H660" t="b">
        <v>1</v>
      </c>
      <c r="I660" t="b">
        <v>0</v>
      </c>
    </row>
    <row r="661" spans="1:9" s="315" customFormat="1" x14ac:dyDescent="0.2">
      <c r="A661" t="s">
        <v>4817</v>
      </c>
      <c r="B661" t="s">
        <v>5154</v>
      </c>
      <c r="C661"/>
      <c r="D661" t="b">
        <f>IFERROR(VLOOKUP(B661,PatData!$A$2:$A$2000,1,),"")&lt;&gt;""</f>
        <v>1</v>
      </c>
      <c r="E661">
        <v>1</v>
      </c>
      <c r="F661" t="b">
        <v>0</v>
      </c>
      <c r="G661" t="b">
        <v>1</v>
      </c>
      <c r="H661" t="b">
        <v>1</v>
      </c>
      <c r="I661" t="b">
        <v>0</v>
      </c>
    </row>
    <row r="662" spans="1:9" s="315" customFormat="1" x14ac:dyDescent="0.2">
      <c r="A662" t="s">
        <v>4818</v>
      </c>
      <c r="B662" t="s">
        <v>5155</v>
      </c>
      <c r="C662"/>
      <c r="D662" t="b">
        <f>IFERROR(VLOOKUP(B662,PatData!$A$2:$A$2000,1,),"")&lt;&gt;""</f>
        <v>1</v>
      </c>
      <c r="E662">
        <v>1</v>
      </c>
      <c r="F662" t="b">
        <v>0</v>
      </c>
      <c r="G662" t="b">
        <v>1</v>
      </c>
      <c r="H662" t="b">
        <v>1</v>
      </c>
      <c r="I662" t="b">
        <v>0</v>
      </c>
    </row>
    <row r="663" spans="1:9" s="315" customFormat="1" x14ac:dyDescent="0.2">
      <c r="A663" t="s">
        <v>4819</v>
      </c>
      <c r="B663" t="s">
        <v>5156</v>
      </c>
      <c r="C663"/>
      <c r="D663" t="b">
        <f>IFERROR(VLOOKUP(B663,PatData!$A$2:$A$2000,1,),"")&lt;&gt;""</f>
        <v>1</v>
      </c>
      <c r="E663">
        <v>1</v>
      </c>
      <c r="F663" t="b">
        <v>0</v>
      </c>
      <c r="G663" t="b">
        <v>1</v>
      </c>
      <c r="H663" t="b">
        <v>1</v>
      </c>
      <c r="I663" t="b">
        <v>0</v>
      </c>
    </row>
    <row r="664" spans="1:9" s="315" customFormat="1" x14ac:dyDescent="0.2">
      <c r="A664" t="s">
        <v>4820</v>
      </c>
      <c r="B664" t="s">
        <v>5157</v>
      </c>
      <c r="C664"/>
      <c r="D664" t="b">
        <f>IFERROR(VLOOKUP(B664,PatData!$A$2:$A$2000,1,),"")&lt;&gt;""</f>
        <v>1</v>
      </c>
      <c r="E664">
        <v>1</v>
      </c>
      <c r="F664" t="b">
        <v>0</v>
      </c>
      <c r="G664" t="b">
        <v>1</v>
      </c>
      <c r="H664" t="b">
        <v>1</v>
      </c>
      <c r="I664" t="b">
        <v>0</v>
      </c>
    </row>
    <row r="665" spans="1:9" s="315" customFormat="1" x14ac:dyDescent="0.2">
      <c r="A665" t="s">
        <v>4821</v>
      </c>
      <c r="B665" t="s">
        <v>5158</v>
      </c>
      <c r="C665"/>
      <c r="D665" t="b">
        <f>IFERROR(VLOOKUP(B665,PatData!$A$2:$A$2000,1,),"")&lt;&gt;""</f>
        <v>1</v>
      </c>
      <c r="E665">
        <v>1</v>
      </c>
      <c r="F665" t="b">
        <v>0</v>
      </c>
      <c r="G665" t="b">
        <v>1</v>
      </c>
      <c r="H665" t="b">
        <v>1</v>
      </c>
      <c r="I665" t="b">
        <v>0</v>
      </c>
    </row>
    <row r="666" spans="1:9" s="315" customFormat="1" x14ac:dyDescent="0.2">
      <c r="A666" t="s">
        <v>4822</v>
      </c>
      <c r="B666" t="s">
        <v>5159</v>
      </c>
      <c r="C666"/>
      <c r="D666" t="b">
        <f>IFERROR(VLOOKUP(B666,PatData!$A$2:$A$2000,1,),"")&lt;&gt;""</f>
        <v>1</v>
      </c>
      <c r="E666">
        <v>1</v>
      </c>
      <c r="F666" t="b">
        <v>0</v>
      </c>
      <c r="G666" t="b">
        <v>1</v>
      </c>
      <c r="H666" t="b">
        <v>1</v>
      </c>
      <c r="I666" t="b">
        <v>0</v>
      </c>
    </row>
    <row r="667" spans="1:9" s="315" customFormat="1" x14ac:dyDescent="0.2">
      <c r="A667" t="s">
        <v>4823</v>
      </c>
      <c r="B667" t="s">
        <v>5160</v>
      </c>
      <c r="C667"/>
      <c r="D667" t="b">
        <f>IFERROR(VLOOKUP(B667,PatData!$A$2:$A$2000,1,),"")&lt;&gt;""</f>
        <v>1</v>
      </c>
      <c r="E667">
        <v>1</v>
      </c>
      <c r="F667" t="b">
        <v>0</v>
      </c>
      <c r="G667" t="b">
        <v>1</v>
      </c>
      <c r="H667" t="b">
        <v>1</v>
      </c>
      <c r="I667" t="b">
        <v>0</v>
      </c>
    </row>
    <row r="668" spans="1:9" s="315" customFormat="1" x14ac:dyDescent="0.2">
      <c r="A668" t="s">
        <v>4824</v>
      </c>
      <c r="B668" t="s">
        <v>5161</v>
      </c>
      <c r="C668"/>
      <c r="D668" t="b">
        <f>IFERROR(VLOOKUP(B668,PatData!$A$2:$A$2000,1,),"")&lt;&gt;""</f>
        <v>1</v>
      </c>
      <c r="E668">
        <v>1</v>
      </c>
      <c r="F668" t="b">
        <v>0</v>
      </c>
      <c r="G668" t="b">
        <v>1</v>
      </c>
      <c r="H668" t="b">
        <v>1</v>
      </c>
      <c r="I668" t="b">
        <v>0</v>
      </c>
    </row>
    <row r="669" spans="1:9" s="315" customFormat="1" x14ac:dyDescent="0.2">
      <c r="A669" t="s">
        <v>4841</v>
      </c>
      <c r="B669" t="s">
        <v>5162</v>
      </c>
      <c r="C669"/>
      <c r="D669" t="b">
        <f>IFERROR(VLOOKUP(B669,PatData!$A$2:$A$2000,1,),"")&lt;&gt;""</f>
        <v>1</v>
      </c>
      <c r="E669">
        <v>1</v>
      </c>
      <c r="F669" t="b">
        <v>0</v>
      </c>
      <c r="G669" t="b">
        <v>1</v>
      </c>
      <c r="H669" t="b">
        <v>1</v>
      </c>
      <c r="I669" t="b">
        <v>0</v>
      </c>
    </row>
    <row r="670" spans="1:9" s="315" customFormat="1" x14ac:dyDescent="0.2">
      <c r="A670" t="s">
        <v>4825</v>
      </c>
      <c r="B670" t="s">
        <v>5163</v>
      </c>
      <c r="C670"/>
      <c r="D670" t="b">
        <f>IFERROR(VLOOKUP(B670,PatData!$A$2:$A$2000,1,),"")&lt;&gt;""</f>
        <v>1</v>
      </c>
      <c r="E670">
        <v>5000</v>
      </c>
      <c r="F670" t="b">
        <v>0</v>
      </c>
      <c r="G670" t="b">
        <v>1</v>
      </c>
      <c r="H670" t="b">
        <v>1</v>
      </c>
      <c r="I670" t="b">
        <v>0</v>
      </c>
    </row>
    <row r="671" spans="1:9" s="315" customFormat="1" x14ac:dyDescent="0.2">
      <c r="A671" t="s">
        <v>4738</v>
      </c>
      <c r="B671" t="s">
        <v>5164</v>
      </c>
      <c r="C671"/>
      <c r="D671" t="b">
        <f>IFERROR(VLOOKUP(B671,PatData!$A$2:$A$2000,1,),"")&lt;&gt;""</f>
        <v>1</v>
      </c>
      <c r="E671">
        <v>1</v>
      </c>
      <c r="F671" t="b">
        <v>0</v>
      </c>
      <c r="G671" t="b">
        <v>1</v>
      </c>
      <c r="H671" t="b">
        <v>1</v>
      </c>
      <c r="I671" t="b">
        <v>0</v>
      </c>
    </row>
    <row r="672" spans="1:9" s="315" customFormat="1" x14ac:dyDescent="0.2">
      <c r="A672" t="s">
        <v>4739</v>
      </c>
      <c r="B672" t="s">
        <v>5165</v>
      </c>
      <c r="C672"/>
      <c r="D672" t="b">
        <f>IFERROR(VLOOKUP(B672,PatData!$A$2:$A$2000,1,),"")&lt;&gt;""</f>
        <v>1</v>
      </c>
      <c r="E672">
        <v>0</v>
      </c>
      <c r="F672" t="b">
        <v>0</v>
      </c>
      <c r="G672" t="b">
        <v>1</v>
      </c>
      <c r="H672" t="b">
        <v>1</v>
      </c>
      <c r="I672" t="b">
        <v>0</v>
      </c>
    </row>
    <row r="673" spans="1:9" s="315" customFormat="1" x14ac:dyDescent="0.2">
      <c r="A673" t="s">
        <v>4742</v>
      </c>
      <c r="B673" t="s">
        <v>5166</v>
      </c>
      <c r="C673"/>
      <c r="D673" t="b">
        <f>IFERROR(VLOOKUP(B673,PatData!$A$2:$A$2000,1,),"")&lt;&gt;""</f>
        <v>1</v>
      </c>
      <c r="E673">
        <v>2</v>
      </c>
      <c r="F673" t="b">
        <v>0</v>
      </c>
      <c r="G673" t="b">
        <v>1</v>
      </c>
      <c r="H673" t="b">
        <v>1</v>
      </c>
      <c r="I673" t="b">
        <v>0</v>
      </c>
    </row>
    <row r="674" spans="1:9" s="315" customFormat="1" x14ac:dyDescent="0.2">
      <c r="A674" t="s">
        <v>4745</v>
      </c>
      <c r="B674" t="s">
        <v>5167</v>
      </c>
      <c r="C674"/>
      <c r="D674" t="b">
        <f>IFERROR(VLOOKUP(B674,PatData!$A$2:$A$2000,1,),"")&lt;&gt;""</f>
        <v>1</v>
      </c>
      <c r="E674">
        <v>5000</v>
      </c>
      <c r="F674" t="b">
        <v>0</v>
      </c>
      <c r="G674" t="b">
        <v>1</v>
      </c>
      <c r="H674" t="b">
        <v>1</v>
      </c>
      <c r="I674" t="b">
        <v>0</v>
      </c>
    </row>
    <row r="675" spans="1:9" s="315" customFormat="1" x14ac:dyDescent="0.2">
      <c r="A675" t="s">
        <v>4746</v>
      </c>
      <c r="B675" t="s">
        <v>5168</v>
      </c>
      <c r="C675"/>
      <c r="D675" t="b">
        <f>IFERROR(VLOOKUP(B675,PatData!$A$2:$A$2000,1,),"")&lt;&gt;""</f>
        <v>1</v>
      </c>
      <c r="E675">
        <v>5000</v>
      </c>
      <c r="F675" t="b">
        <v>0</v>
      </c>
      <c r="G675" t="b">
        <v>1</v>
      </c>
      <c r="H675" t="b">
        <v>1</v>
      </c>
      <c r="I675" t="b">
        <v>0</v>
      </c>
    </row>
    <row r="676" spans="1:9" s="315" customFormat="1" x14ac:dyDescent="0.2">
      <c r="A676" t="s">
        <v>4747</v>
      </c>
      <c r="B676" t="s">
        <v>5169</v>
      </c>
      <c r="C676"/>
      <c r="D676" t="b">
        <f>IFERROR(VLOOKUP(B676,PatData!$A$2:$A$2000,1,),"")&lt;&gt;""</f>
        <v>1</v>
      </c>
      <c r="E676">
        <v>0</v>
      </c>
      <c r="F676" t="b">
        <v>0</v>
      </c>
      <c r="G676" t="b">
        <v>1</v>
      </c>
      <c r="H676" t="b">
        <v>1</v>
      </c>
      <c r="I676" t="b">
        <v>0</v>
      </c>
    </row>
    <row r="677" spans="1:9" s="315" customFormat="1" x14ac:dyDescent="0.2">
      <c r="A677" t="s">
        <v>4748</v>
      </c>
      <c r="B677" t="s">
        <v>5170</v>
      </c>
      <c r="C677"/>
      <c r="D677" t="b">
        <f>IFERROR(VLOOKUP(B677,PatData!$A$2:$A$2000,1,),"")&lt;&gt;""</f>
        <v>1</v>
      </c>
      <c r="E677">
        <v>5000</v>
      </c>
      <c r="F677" t="b">
        <v>0</v>
      </c>
      <c r="G677" t="b">
        <v>1</v>
      </c>
      <c r="H677" t="b">
        <v>1</v>
      </c>
      <c r="I677" t="b">
        <v>0</v>
      </c>
    </row>
    <row r="678" spans="1:9" s="315" customFormat="1" x14ac:dyDescent="0.2">
      <c r="A678" t="s">
        <v>4769</v>
      </c>
      <c r="B678" t="s">
        <v>5171</v>
      </c>
      <c r="C678"/>
      <c r="D678" t="b">
        <f>IFERROR(VLOOKUP(B678,PatData!$A$2:$A$2000,1,),"")&lt;&gt;""</f>
        <v>1</v>
      </c>
      <c r="E678">
        <v>5000</v>
      </c>
      <c r="F678" t="b">
        <v>0</v>
      </c>
      <c r="G678" t="b">
        <v>1</v>
      </c>
      <c r="H678" t="b">
        <v>1</v>
      </c>
      <c r="I678" t="b">
        <v>0</v>
      </c>
    </row>
    <row r="679" spans="1:9" s="315" customFormat="1" x14ac:dyDescent="0.2">
      <c r="A679" t="s">
        <v>4826</v>
      </c>
      <c r="B679" t="s">
        <v>5172</v>
      </c>
      <c r="C679"/>
      <c r="D679" t="b">
        <f>IFERROR(VLOOKUP(B679,PatData!$A$2:$A$2000,1,),"")&lt;&gt;""</f>
        <v>1</v>
      </c>
      <c r="E679">
        <v>5000</v>
      </c>
      <c r="F679" t="b">
        <v>0</v>
      </c>
      <c r="G679" t="b">
        <v>1</v>
      </c>
      <c r="H679" t="b">
        <v>1</v>
      </c>
      <c r="I679" t="b">
        <v>0</v>
      </c>
    </row>
    <row r="680" spans="1:9" s="315" customFormat="1" x14ac:dyDescent="0.2">
      <c r="A680" t="s">
        <v>4770</v>
      </c>
      <c r="B680" t="s">
        <v>5173</v>
      </c>
      <c r="C680"/>
      <c r="D680" t="b">
        <f>IFERROR(VLOOKUP(B680,PatData!$A$2:$A$2000,1,),"")&lt;&gt;""</f>
        <v>1</v>
      </c>
      <c r="E680">
        <v>5000</v>
      </c>
      <c r="F680" t="b">
        <v>0</v>
      </c>
      <c r="G680" t="b">
        <v>1</v>
      </c>
      <c r="H680" t="b">
        <v>1</v>
      </c>
      <c r="I680" t="b">
        <v>0</v>
      </c>
    </row>
    <row r="681" spans="1:9" s="315" customFormat="1" x14ac:dyDescent="0.2">
      <c r="A681" t="s">
        <v>4792</v>
      </c>
      <c r="B681" t="s">
        <v>5174</v>
      </c>
      <c r="C681"/>
      <c r="D681" t="b">
        <f>IFERROR(VLOOKUP(B681,PatData!$A$2:$A$2000,1,),"")&lt;&gt;""</f>
        <v>1</v>
      </c>
      <c r="E681" t="b">
        <v>0</v>
      </c>
      <c r="F681" t="b">
        <v>0</v>
      </c>
      <c r="G681" t="b">
        <v>1</v>
      </c>
      <c r="H681" t="b">
        <v>1</v>
      </c>
      <c r="I681" t="b">
        <v>0</v>
      </c>
    </row>
    <row r="682" spans="1:9" s="315" customFormat="1" x14ac:dyDescent="0.2">
      <c r="A682" t="s">
        <v>4802</v>
      </c>
      <c r="B682" t="s">
        <v>5175</v>
      </c>
      <c r="C682"/>
      <c r="D682" t="b">
        <f>IFERROR(VLOOKUP(B682,PatData!$A$2:$A$2000,1,),"")&lt;&gt;""</f>
        <v>1</v>
      </c>
      <c r="E682">
        <v>5000</v>
      </c>
      <c r="F682" t="b">
        <v>0</v>
      </c>
      <c r="G682" t="b">
        <v>1</v>
      </c>
      <c r="H682" t="b">
        <v>1</v>
      </c>
      <c r="I682" t="b">
        <v>0</v>
      </c>
    </row>
    <row r="683" spans="1:9" s="315" customFormat="1" x14ac:dyDescent="0.2">
      <c r="A683" t="s">
        <v>4803</v>
      </c>
      <c r="B683" t="s">
        <v>5176</v>
      </c>
      <c r="C683"/>
      <c r="D683" t="b">
        <f>IFERROR(VLOOKUP(B683,PatData!$A$2:$A$2000,1,),"")&lt;&gt;""</f>
        <v>1</v>
      </c>
      <c r="E683">
        <v>5000</v>
      </c>
      <c r="F683" t="b">
        <v>0</v>
      </c>
      <c r="G683" t="b">
        <v>1</v>
      </c>
      <c r="H683" t="b">
        <v>1</v>
      </c>
      <c r="I683" t="b">
        <v>0</v>
      </c>
    </row>
    <row r="684" spans="1:9" s="315" customFormat="1" x14ac:dyDescent="0.2">
      <c r="A684" t="s">
        <v>4804</v>
      </c>
      <c r="B684" t="s">
        <v>5177</v>
      </c>
      <c r="C684"/>
      <c r="D684" t="b">
        <f>IFERROR(VLOOKUP(B684,PatData!$A$2:$A$2000,1,),"")&lt;&gt;""</f>
        <v>1</v>
      </c>
      <c r="E684">
        <v>5000</v>
      </c>
      <c r="F684" t="b">
        <v>0</v>
      </c>
      <c r="G684" t="b">
        <v>1</v>
      </c>
      <c r="H684" t="b">
        <v>1</v>
      </c>
      <c r="I684" t="b">
        <v>0</v>
      </c>
    </row>
    <row r="685" spans="1:9" s="315" customFormat="1" x14ac:dyDescent="0.2">
      <c r="A685" t="s">
        <v>1503</v>
      </c>
      <c r="B685" t="s">
        <v>2014</v>
      </c>
      <c r="C685"/>
      <c r="D685" t="b">
        <f>IFERROR(VLOOKUP(B685,PatData!$A$2:$A$2000,1,),"")&lt;&gt;""</f>
        <v>1</v>
      </c>
      <c r="E685" t="b">
        <v>0</v>
      </c>
      <c r="F685" t="b">
        <v>0</v>
      </c>
      <c r="G685" t="b">
        <v>1</v>
      </c>
      <c r="H685" t="b">
        <v>1</v>
      </c>
      <c r="I685" t="b">
        <v>0</v>
      </c>
    </row>
    <row r="686" spans="1:9" s="315" customFormat="1" x14ac:dyDescent="0.2">
      <c r="A686" t="s">
        <v>1504</v>
      </c>
      <c r="B686" t="s">
        <v>2015</v>
      </c>
      <c r="C686"/>
      <c r="D686" t="b">
        <f>IFERROR(VLOOKUP(B686,PatData!$A$2:$A$2000,1,),"")&lt;&gt;""</f>
        <v>1</v>
      </c>
      <c r="E686" t="b">
        <v>0</v>
      </c>
      <c r="F686" t="b">
        <v>0</v>
      </c>
      <c r="G686" t="b">
        <v>1</v>
      </c>
      <c r="H686" t="b">
        <v>1</v>
      </c>
      <c r="I686" t="b">
        <v>0</v>
      </c>
    </row>
    <row r="687" spans="1:9" s="315" customFormat="1" x14ac:dyDescent="0.2">
      <c r="A687" t="s">
        <v>1505</v>
      </c>
      <c r="B687" t="s">
        <v>2016</v>
      </c>
      <c r="C687"/>
      <c r="D687" t="b">
        <f>IFERROR(VLOOKUP(B687,PatData!$A$2:$A$2000,1,),"")&lt;&gt;""</f>
        <v>1</v>
      </c>
      <c r="E687" t="b">
        <v>0</v>
      </c>
      <c r="F687" t="b">
        <v>0</v>
      </c>
      <c r="G687" t="b">
        <v>1</v>
      </c>
      <c r="H687" t="b">
        <v>1</v>
      </c>
      <c r="I687" t="b">
        <v>0</v>
      </c>
    </row>
    <row r="688" spans="1:9" s="315" customFormat="1" x14ac:dyDescent="0.2">
      <c r="A688" t="s">
        <v>1506</v>
      </c>
      <c r="B688" t="s">
        <v>2017</v>
      </c>
      <c r="C688"/>
      <c r="D688" t="b">
        <f>IFERROR(VLOOKUP(B688,PatData!$A$2:$A$2000,1,),"")&lt;&gt;""</f>
        <v>1</v>
      </c>
      <c r="E688" t="b">
        <v>0</v>
      </c>
      <c r="F688" t="b">
        <v>0</v>
      </c>
      <c r="G688" t="b">
        <v>1</v>
      </c>
      <c r="H688" t="b">
        <v>1</v>
      </c>
      <c r="I688" t="b">
        <v>0</v>
      </c>
    </row>
    <row r="689" spans="1:9" s="315" customFormat="1" x14ac:dyDescent="0.2">
      <c r="A689" t="s">
        <v>1507</v>
      </c>
      <c r="B689" t="s">
        <v>2018</v>
      </c>
      <c r="C689"/>
      <c r="D689" t="b">
        <f>IFERROR(VLOOKUP(B689,PatData!$A$2:$A$2000,1,),"")&lt;&gt;""</f>
        <v>1</v>
      </c>
      <c r="E689" t="b">
        <v>0</v>
      </c>
      <c r="F689" t="b">
        <v>0</v>
      </c>
      <c r="G689" t="b">
        <v>1</v>
      </c>
      <c r="H689" t="b">
        <v>1</v>
      </c>
      <c r="I689" t="b">
        <v>0</v>
      </c>
    </row>
    <row r="690" spans="1:9" s="315" customFormat="1" x14ac:dyDescent="0.2">
      <c r="A690" t="s">
        <v>1508</v>
      </c>
      <c r="B690" t="s">
        <v>2019</v>
      </c>
      <c r="C690"/>
      <c r="D690" t="b">
        <f>IFERROR(VLOOKUP(B690,PatData!$A$2:$A$2000,1,),"")&lt;&gt;""</f>
        <v>1</v>
      </c>
      <c r="E690" t="b">
        <v>0</v>
      </c>
      <c r="F690" t="b">
        <v>0</v>
      </c>
      <c r="G690" t="b">
        <v>1</v>
      </c>
      <c r="H690" t="b">
        <v>1</v>
      </c>
      <c r="I690" t="b">
        <v>0</v>
      </c>
    </row>
    <row r="691" spans="1:9" s="315" customFormat="1" x14ac:dyDescent="0.2">
      <c r="A691" t="s">
        <v>1509</v>
      </c>
      <c r="B691" t="s">
        <v>2020</v>
      </c>
      <c r="C691"/>
      <c r="D691" t="b">
        <f>IFERROR(VLOOKUP(B691,PatData!$A$2:$A$2000,1,),"")&lt;&gt;""</f>
        <v>1</v>
      </c>
      <c r="E691" t="b">
        <v>0</v>
      </c>
      <c r="F691" t="b">
        <v>0</v>
      </c>
      <c r="G691" t="b">
        <v>1</v>
      </c>
      <c r="H691" t="b">
        <v>1</v>
      </c>
      <c r="I691" t="b">
        <v>0</v>
      </c>
    </row>
    <row r="692" spans="1:9" s="315" customFormat="1" x14ac:dyDescent="0.2">
      <c r="A692" t="s">
        <v>1510</v>
      </c>
      <c r="B692" t="s">
        <v>2021</v>
      </c>
      <c r="C692"/>
      <c r="D692" t="b">
        <f>IFERROR(VLOOKUP(B692,PatData!$A$2:$A$2000,1,),"")&lt;&gt;""</f>
        <v>1</v>
      </c>
      <c r="E692" t="b">
        <v>0</v>
      </c>
      <c r="F692" t="b">
        <v>0</v>
      </c>
      <c r="G692" t="b">
        <v>1</v>
      </c>
      <c r="H692" t="b">
        <v>1</v>
      </c>
      <c r="I692" t="b">
        <v>0</v>
      </c>
    </row>
    <row r="693" spans="1:9" s="315" customFormat="1" x14ac:dyDescent="0.2">
      <c r="A693" t="s">
        <v>1511</v>
      </c>
      <c r="B693" t="s">
        <v>2022</v>
      </c>
      <c r="C693"/>
      <c r="D693" t="b">
        <f>IFERROR(VLOOKUP(B693,PatData!$A$2:$A$2000,1,),"")&lt;&gt;""</f>
        <v>1</v>
      </c>
      <c r="E693" t="b">
        <v>0</v>
      </c>
      <c r="F693" t="b">
        <v>0</v>
      </c>
      <c r="G693" t="b">
        <v>1</v>
      </c>
      <c r="H693" t="b">
        <v>1</v>
      </c>
      <c r="I693" t="b">
        <v>0</v>
      </c>
    </row>
    <row r="694" spans="1:9" s="315" customFormat="1" x14ac:dyDescent="0.2">
      <c r="A694" t="s">
        <v>1512</v>
      </c>
      <c r="B694" t="s">
        <v>2023</v>
      </c>
      <c r="C694"/>
      <c r="D694" t="b">
        <f>IFERROR(VLOOKUP(B694,PatData!$A$2:$A$2000,1,),"")&lt;&gt;""</f>
        <v>1</v>
      </c>
      <c r="E694" t="b">
        <v>0</v>
      </c>
      <c r="F694" t="b">
        <v>0</v>
      </c>
      <c r="G694" t="b">
        <v>1</v>
      </c>
      <c r="H694" t="b">
        <v>1</v>
      </c>
      <c r="I694" t="b">
        <v>0</v>
      </c>
    </row>
    <row r="695" spans="1:9" s="315" customFormat="1" x14ac:dyDescent="0.2">
      <c r="A695" t="s">
        <v>1513</v>
      </c>
      <c r="B695" t="s">
        <v>2024</v>
      </c>
      <c r="C695"/>
      <c r="D695" t="b">
        <f>IFERROR(VLOOKUP(B695,PatData!$A$2:$A$2000,1,),"")&lt;&gt;""</f>
        <v>1</v>
      </c>
      <c r="E695" t="b">
        <v>0</v>
      </c>
      <c r="F695" t="b">
        <v>0</v>
      </c>
      <c r="G695" t="b">
        <v>1</v>
      </c>
      <c r="H695" t="b">
        <v>1</v>
      </c>
      <c r="I695" t="b">
        <v>0</v>
      </c>
    </row>
    <row r="696" spans="1:9" s="315" customFormat="1" x14ac:dyDescent="0.2">
      <c r="A696" t="s">
        <v>1514</v>
      </c>
      <c r="B696" t="s">
        <v>2025</v>
      </c>
      <c r="C696"/>
      <c r="D696" t="b">
        <f>IFERROR(VLOOKUP(B696,PatData!$A$2:$A$2000,1,),"")&lt;&gt;""</f>
        <v>1</v>
      </c>
      <c r="E696" t="b">
        <v>0</v>
      </c>
      <c r="F696" t="b">
        <v>0</v>
      </c>
      <c r="G696" t="b">
        <v>1</v>
      </c>
      <c r="H696" t="b">
        <v>1</v>
      </c>
      <c r="I696" t="b">
        <v>0</v>
      </c>
    </row>
    <row r="697" spans="1:9" x14ac:dyDescent="0.2">
      <c r="A697" t="s">
        <v>1515</v>
      </c>
      <c r="B697" t="s">
        <v>2026</v>
      </c>
      <c r="D697" t="b">
        <f>IFERROR(VLOOKUP(B697,PatData!$A$2:$A$2000,1,),"")&lt;&gt;""</f>
        <v>1</v>
      </c>
      <c r="E697" t="b">
        <v>0</v>
      </c>
      <c r="F697" t="b">
        <v>0</v>
      </c>
      <c r="G697" t="b">
        <v>1</v>
      </c>
      <c r="H697" t="b">
        <v>1</v>
      </c>
      <c r="I697" t="b">
        <v>0</v>
      </c>
    </row>
    <row r="698" spans="1:9" x14ac:dyDescent="0.2">
      <c r="A698" t="s">
        <v>1516</v>
      </c>
      <c r="B698" t="s">
        <v>2027</v>
      </c>
      <c r="D698" t="b">
        <f>IFERROR(VLOOKUP(B698,PatData!$A$2:$A$2000,1,),"")&lt;&gt;""</f>
        <v>1</v>
      </c>
      <c r="E698" t="b">
        <v>0</v>
      </c>
      <c r="F698" t="b">
        <v>0</v>
      </c>
      <c r="G698" t="b">
        <v>1</v>
      </c>
      <c r="H698" t="b">
        <v>1</v>
      </c>
      <c r="I698" t="b">
        <v>0</v>
      </c>
    </row>
    <row r="699" spans="1:9" x14ac:dyDescent="0.2">
      <c r="A699" t="s">
        <v>1517</v>
      </c>
      <c r="B699" t="s">
        <v>2028</v>
      </c>
      <c r="D699" t="b">
        <f>IFERROR(VLOOKUP(B699,PatData!$A$2:$A$2000,1,),"")&lt;&gt;""</f>
        <v>1</v>
      </c>
      <c r="E699" t="b">
        <v>0</v>
      </c>
      <c r="F699" t="b">
        <v>0</v>
      </c>
      <c r="G699" t="b">
        <v>1</v>
      </c>
      <c r="H699" t="b">
        <v>1</v>
      </c>
      <c r="I699" t="b">
        <v>0</v>
      </c>
    </row>
    <row r="700" spans="1:9" x14ac:dyDescent="0.2">
      <c r="A700" t="s">
        <v>1518</v>
      </c>
      <c r="B700" t="s">
        <v>2029</v>
      </c>
      <c r="D700" t="b">
        <f>IFERROR(VLOOKUP(B700,PatData!$A$2:$A$2000,1,),"")&lt;&gt;""</f>
        <v>1</v>
      </c>
      <c r="E700" t="b">
        <v>0</v>
      </c>
      <c r="F700" t="b">
        <v>0</v>
      </c>
      <c r="G700" t="b">
        <v>1</v>
      </c>
      <c r="H700" t="b">
        <v>1</v>
      </c>
      <c r="I700" t="b">
        <v>0</v>
      </c>
    </row>
    <row r="701" spans="1:9" x14ac:dyDescent="0.2">
      <c r="A701" t="s">
        <v>1519</v>
      </c>
      <c r="B701" t="s">
        <v>2030</v>
      </c>
      <c r="D701" t="b">
        <f>IFERROR(VLOOKUP(B701,PatData!$A$2:$A$2000,1,),"")&lt;&gt;""</f>
        <v>1</v>
      </c>
      <c r="E701" t="b">
        <v>0</v>
      </c>
      <c r="F701" t="b">
        <v>0</v>
      </c>
      <c r="G701" t="b">
        <v>1</v>
      </c>
      <c r="H701" t="b">
        <v>1</v>
      </c>
      <c r="I701" t="b">
        <v>0</v>
      </c>
    </row>
    <row r="702" spans="1:9" x14ac:dyDescent="0.2">
      <c r="A702" t="s">
        <v>1520</v>
      </c>
      <c r="B702" t="s">
        <v>2031</v>
      </c>
      <c r="D702" t="b">
        <f>IFERROR(VLOOKUP(B702,PatData!$A$2:$A$2000,1,),"")&lt;&gt;""</f>
        <v>1</v>
      </c>
      <c r="E702" t="b">
        <v>0</v>
      </c>
      <c r="F702" t="b">
        <v>0</v>
      </c>
      <c r="G702" t="b">
        <v>1</v>
      </c>
      <c r="H702" t="b">
        <v>1</v>
      </c>
      <c r="I702" t="b">
        <v>0</v>
      </c>
    </row>
    <row r="703" spans="1:9" x14ac:dyDescent="0.2">
      <c r="A703" t="s">
        <v>1521</v>
      </c>
      <c r="B703" t="s">
        <v>2032</v>
      </c>
      <c r="D703" t="b">
        <f>IFERROR(VLOOKUP(B703,PatData!$A$2:$A$2000,1,),"")&lt;&gt;""</f>
        <v>1</v>
      </c>
      <c r="E703" t="b">
        <v>0</v>
      </c>
      <c r="F703" t="b">
        <v>0</v>
      </c>
      <c r="G703" t="b">
        <v>1</v>
      </c>
      <c r="H703" t="b">
        <v>1</v>
      </c>
      <c r="I703" t="b">
        <v>0</v>
      </c>
    </row>
    <row r="704" spans="1:9" x14ac:dyDescent="0.2">
      <c r="A704" t="s">
        <v>1522</v>
      </c>
      <c r="B704" t="s">
        <v>2033</v>
      </c>
      <c r="D704" t="b">
        <f>IFERROR(VLOOKUP(B704,PatData!$A$2:$A$2000,1,),"")&lt;&gt;""</f>
        <v>1</v>
      </c>
      <c r="E704" t="b">
        <v>0</v>
      </c>
      <c r="F704" t="b">
        <v>0</v>
      </c>
      <c r="G704" t="b">
        <v>1</v>
      </c>
      <c r="H704" t="b">
        <v>1</v>
      </c>
      <c r="I704" t="b">
        <v>0</v>
      </c>
    </row>
    <row r="705" spans="1:9" x14ac:dyDescent="0.2">
      <c r="A705" t="s">
        <v>1523</v>
      </c>
      <c r="B705" t="s">
        <v>2034</v>
      </c>
      <c r="D705" t="b">
        <f>IFERROR(VLOOKUP(B705,PatData!$A$2:$A$2000,1,),"")&lt;&gt;""</f>
        <v>1</v>
      </c>
      <c r="E705" t="b">
        <v>0</v>
      </c>
      <c r="F705" t="b">
        <v>0</v>
      </c>
      <c r="G705" t="b">
        <v>1</v>
      </c>
      <c r="H705" t="b">
        <v>1</v>
      </c>
      <c r="I705" t="b">
        <v>0</v>
      </c>
    </row>
    <row r="706" spans="1:9" x14ac:dyDescent="0.2">
      <c r="A706" t="s">
        <v>1524</v>
      </c>
      <c r="B706" t="s">
        <v>2035</v>
      </c>
      <c r="D706" t="b">
        <f>IFERROR(VLOOKUP(B706,PatData!$A$2:$A$2000,1,),"")&lt;&gt;""</f>
        <v>1</v>
      </c>
      <c r="E706" t="b">
        <v>0</v>
      </c>
      <c r="F706" t="b">
        <v>0</v>
      </c>
      <c r="G706" t="b">
        <v>1</v>
      </c>
      <c r="H706" t="b">
        <v>1</v>
      </c>
      <c r="I706" t="b">
        <v>0</v>
      </c>
    </row>
    <row r="707" spans="1:9" x14ac:dyDescent="0.2">
      <c r="A707" t="s">
        <v>1525</v>
      </c>
      <c r="B707" t="s">
        <v>2036</v>
      </c>
      <c r="D707" t="b">
        <f>IFERROR(VLOOKUP(B707,PatData!$A$2:$A$2000,1,),"")&lt;&gt;""</f>
        <v>1</v>
      </c>
      <c r="E707" t="b">
        <v>0</v>
      </c>
      <c r="F707" t="b">
        <v>0</v>
      </c>
      <c r="G707" t="b">
        <v>1</v>
      </c>
      <c r="H707" t="b">
        <v>1</v>
      </c>
      <c r="I707" t="b">
        <v>0</v>
      </c>
    </row>
    <row r="708" spans="1:9" x14ac:dyDescent="0.2">
      <c r="A708" t="s">
        <v>1526</v>
      </c>
      <c r="B708" t="s">
        <v>2037</v>
      </c>
      <c r="D708" t="b">
        <f>IFERROR(VLOOKUP(B708,PatData!$A$2:$A$2000,1,),"")&lt;&gt;""</f>
        <v>1</v>
      </c>
      <c r="E708" t="b">
        <v>0</v>
      </c>
      <c r="F708" t="b">
        <v>0</v>
      </c>
      <c r="G708" t="b">
        <v>1</v>
      </c>
      <c r="H708" t="b">
        <v>1</v>
      </c>
      <c r="I708" t="b">
        <v>0</v>
      </c>
    </row>
    <row r="709" spans="1:9" x14ac:dyDescent="0.2">
      <c r="A709" t="s">
        <v>1527</v>
      </c>
      <c r="B709" t="s">
        <v>2038</v>
      </c>
      <c r="D709" t="b">
        <f>IFERROR(VLOOKUP(B709,PatData!$A$2:$A$2000,1,),"")&lt;&gt;""</f>
        <v>1</v>
      </c>
      <c r="E709" t="b">
        <v>0</v>
      </c>
      <c r="F709" t="b">
        <v>0</v>
      </c>
      <c r="G709" t="b">
        <v>1</v>
      </c>
      <c r="H709" t="b">
        <v>1</v>
      </c>
      <c r="I709" t="b">
        <v>0</v>
      </c>
    </row>
    <row r="710" spans="1:9" x14ac:dyDescent="0.2">
      <c r="A710" t="s">
        <v>1528</v>
      </c>
      <c r="B710" t="s">
        <v>2039</v>
      </c>
      <c r="D710" t="b">
        <f>IFERROR(VLOOKUP(B710,PatData!$A$2:$A$2000,1,),"")&lt;&gt;""</f>
        <v>1</v>
      </c>
      <c r="E710" t="b">
        <v>0</v>
      </c>
      <c r="F710" t="b">
        <v>0</v>
      </c>
      <c r="G710" t="b">
        <v>1</v>
      </c>
      <c r="H710" t="b">
        <v>1</v>
      </c>
      <c r="I710" t="b">
        <v>0</v>
      </c>
    </row>
    <row r="711" spans="1:9" x14ac:dyDescent="0.2">
      <c r="A711" t="s">
        <v>1529</v>
      </c>
      <c r="B711" t="s">
        <v>2040</v>
      </c>
      <c r="D711" t="b">
        <f>IFERROR(VLOOKUP(B711,PatData!$A$2:$A$2000,1,),"")&lt;&gt;""</f>
        <v>1</v>
      </c>
      <c r="E711" t="b">
        <v>0</v>
      </c>
      <c r="F711" t="b">
        <v>0</v>
      </c>
      <c r="G711" t="b">
        <v>1</v>
      </c>
      <c r="H711" t="b">
        <v>1</v>
      </c>
      <c r="I711" t="b">
        <v>0</v>
      </c>
    </row>
    <row r="712" spans="1:9" x14ac:dyDescent="0.2">
      <c r="A712" t="s">
        <v>1530</v>
      </c>
      <c r="B712" t="s">
        <v>2041</v>
      </c>
      <c r="D712" t="b">
        <f>IFERROR(VLOOKUP(B712,PatData!$A$2:$A$2000,1,),"")&lt;&gt;""</f>
        <v>1</v>
      </c>
      <c r="E712" t="b">
        <v>0</v>
      </c>
      <c r="F712" t="b">
        <v>0</v>
      </c>
      <c r="G712" t="b">
        <v>1</v>
      </c>
      <c r="H712" t="b">
        <v>1</v>
      </c>
      <c r="I712" t="b">
        <v>0</v>
      </c>
    </row>
    <row r="713" spans="1:9" x14ac:dyDescent="0.2">
      <c r="A713" t="s">
        <v>1531</v>
      </c>
      <c r="B713" t="s">
        <v>2042</v>
      </c>
      <c r="D713" t="b">
        <f>IFERROR(VLOOKUP(B713,PatData!$A$2:$A$2000,1,),"")&lt;&gt;""</f>
        <v>1</v>
      </c>
      <c r="E713" t="b">
        <v>0</v>
      </c>
      <c r="F713" t="b">
        <v>0</v>
      </c>
      <c r="G713" t="b">
        <v>1</v>
      </c>
      <c r="H713" t="b">
        <v>1</v>
      </c>
      <c r="I713" t="b">
        <v>0</v>
      </c>
    </row>
    <row r="714" spans="1:9" x14ac:dyDescent="0.2">
      <c r="A714" t="s">
        <v>1532</v>
      </c>
      <c r="B714" t="s">
        <v>2043</v>
      </c>
      <c r="D714" t="b">
        <f>IFERROR(VLOOKUP(B714,PatData!$A$2:$A$2000,1,),"")&lt;&gt;""</f>
        <v>1</v>
      </c>
      <c r="E714" t="b">
        <v>0</v>
      </c>
      <c r="F714" t="b">
        <v>0</v>
      </c>
      <c r="G714" t="b">
        <v>1</v>
      </c>
      <c r="H714" t="b">
        <v>1</v>
      </c>
      <c r="I714" t="b">
        <v>0</v>
      </c>
    </row>
    <row r="715" spans="1:9" x14ac:dyDescent="0.2">
      <c r="A715" t="s">
        <v>1533</v>
      </c>
      <c r="B715" t="s">
        <v>2044</v>
      </c>
      <c r="D715" t="b">
        <f>IFERROR(VLOOKUP(B715,PatData!$A$2:$A$2000,1,),"")&lt;&gt;""</f>
        <v>1</v>
      </c>
      <c r="E715" t="b">
        <v>0</v>
      </c>
      <c r="F715" t="b">
        <v>0</v>
      </c>
      <c r="G715" t="b">
        <v>1</v>
      </c>
      <c r="H715" t="b">
        <v>1</v>
      </c>
      <c r="I715" t="b">
        <v>0</v>
      </c>
    </row>
    <row r="716" spans="1:9" x14ac:dyDescent="0.2">
      <c r="A716" t="s">
        <v>1534</v>
      </c>
      <c r="B716" t="s">
        <v>2045</v>
      </c>
      <c r="D716" t="b">
        <f>IFERROR(VLOOKUP(B716,PatData!$A$2:$A$2000,1,),"")&lt;&gt;""</f>
        <v>1</v>
      </c>
      <c r="E716" t="b">
        <v>0</v>
      </c>
      <c r="F716" t="b">
        <v>0</v>
      </c>
      <c r="G716" t="b">
        <v>1</v>
      </c>
      <c r="H716" t="b">
        <v>1</v>
      </c>
      <c r="I716" t="b">
        <v>0</v>
      </c>
    </row>
    <row r="717" spans="1:9" x14ac:dyDescent="0.2">
      <c r="A717" t="s">
        <v>1535</v>
      </c>
      <c r="B717" t="s">
        <v>2046</v>
      </c>
      <c r="D717" t="b">
        <f>IFERROR(VLOOKUP(B717,PatData!$A$2:$A$2000,1,),"")&lt;&gt;""</f>
        <v>1</v>
      </c>
      <c r="E717" t="b">
        <v>0</v>
      </c>
      <c r="F717" t="b">
        <v>0</v>
      </c>
      <c r="G717" t="b">
        <v>1</v>
      </c>
      <c r="H717" t="b">
        <v>1</v>
      </c>
      <c r="I717" t="b">
        <v>0</v>
      </c>
    </row>
    <row r="718" spans="1:9" x14ac:dyDescent="0.2">
      <c r="A718" t="s">
        <v>1536</v>
      </c>
      <c r="B718" t="s">
        <v>2047</v>
      </c>
      <c r="D718" t="b">
        <f>IFERROR(VLOOKUP(B718,PatData!$A$2:$A$2000,1,),"")&lt;&gt;""</f>
        <v>1</v>
      </c>
      <c r="E718" t="b">
        <v>0</v>
      </c>
      <c r="F718" t="b">
        <v>0</v>
      </c>
      <c r="G718" t="b">
        <v>1</v>
      </c>
      <c r="H718" t="b">
        <v>1</v>
      </c>
      <c r="I718" t="b">
        <v>0</v>
      </c>
    </row>
    <row r="719" spans="1:9" x14ac:dyDescent="0.2">
      <c r="A719" t="s">
        <v>1537</v>
      </c>
      <c r="B719" t="s">
        <v>2048</v>
      </c>
      <c r="D719" t="b">
        <f>IFERROR(VLOOKUP(B719,PatData!$A$2:$A$2000,1,),"")&lt;&gt;""</f>
        <v>1</v>
      </c>
      <c r="E719" t="b">
        <v>0</v>
      </c>
      <c r="F719" t="b">
        <v>0</v>
      </c>
      <c r="G719" t="b">
        <v>1</v>
      </c>
      <c r="H719" t="b">
        <v>1</v>
      </c>
      <c r="I719" t="b">
        <v>0</v>
      </c>
    </row>
    <row r="720" spans="1:9" x14ac:dyDescent="0.2">
      <c r="A720" t="s">
        <v>1538</v>
      </c>
      <c r="B720" t="s">
        <v>2049</v>
      </c>
      <c r="D720" t="b">
        <f>IFERROR(VLOOKUP(B720,PatData!$A$2:$A$2000,1,),"")&lt;&gt;""</f>
        <v>1</v>
      </c>
      <c r="E720" t="b">
        <v>0</v>
      </c>
      <c r="F720" t="b">
        <v>0</v>
      </c>
      <c r="G720" t="b">
        <v>1</v>
      </c>
      <c r="H720" t="b">
        <v>1</v>
      </c>
      <c r="I720" t="b">
        <v>0</v>
      </c>
    </row>
    <row r="721" spans="1:9" x14ac:dyDescent="0.2">
      <c r="A721" t="s">
        <v>1539</v>
      </c>
      <c r="B721" t="s">
        <v>2050</v>
      </c>
      <c r="D721" t="b">
        <f>IFERROR(VLOOKUP(B721,PatData!$A$2:$A$2000,1,),"")&lt;&gt;""</f>
        <v>1</v>
      </c>
      <c r="E721" t="b">
        <v>0</v>
      </c>
      <c r="F721" t="b">
        <v>0</v>
      </c>
      <c r="G721" t="b">
        <v>1</v>
      </c>
      <c r="H721" t="b">
        <v>1</v>
      </c>
      <c r="I721" t="b">
        <v>0</v>
      </c>
    </row>
    <row r="722" spans="1:9" x14ac:dyDescent="0.2">
      <c r="A722" t="s">
        <v>1540</v>
      </c>
      <c r="B722" t="s">
        <v>2051</v>
      </c>
      <c r="D722" t="b">
        <f>IFERROR(VLOOKUP(B722,PatData!$A$2:$A$2000,1,),"")&lt;&gt;""</f>
        <v>1</v>
      </c>
      <c r="E722" t="b">
        <v>0</v>
      </c>
      <c r="F722" t="b">
        <v>0</v>
      </c>
      <c r="G722" t="b">
        <v>1</v>
      </c>
      <c r="H722" t="b">
        <v>1</v>
      </c>
      <c r="I722" t="b">
        <v>0</v>
      </c>
    </row>
    <row r="723" spans="1:9" x14ac:dyDescent="0.2">
      <c r="A723" t="s">
        <v>1541</v>
      </c>
      <c r="B723" t="s">
        <v>2052</v>
      </c>
      <c r="D723" t="b">
        <f>IFERROR(VLOOKUP(B723,PatData!$A$2:$A$2000,1,),"")&lt;&gt;""</f>
        <v>1</v>
      </c>
      <c r="E723" t="b">
        <v>0</v>
      </c>
      <c r="F723" t="b">
        <v>0</v>
      </c>
      <c r="G723" t="b">
        <v>1</v>
      </c>
      <c r="H723" t="b">
        <v>1</v>
      </c>
      <c r="I723" t="b">
        <v>0</v>
      </c>
    </row>
    <row r="724" spans="1:9" x14ac:dyDescent="0.2">
      <c r="A724" t="s">
        <v>1542</v>
      </c>
      <c r="B724" t="s">
        <v>2053</v>
      </c>
      <c r="D724" t="b">
        <f>IFERROR(VLOOKUP(B724,PatData!$A$2:$A$2000,1,),"")&lt;&gt;""</f>
        <v>1</v>
      </c>
      <c r="E724" t="b">
        <v>0</v>
      </c>
      <c r="F724" t="b">
        <v>0</v>
      </c>
      <c r="G724" t="b">
        <v>1</v>
      </c>
      <c r="H724" t="b">
        <v>1</v>
      </c>
      <c r="I724" t="b">
        <v>0</v>
      </c>
    </row>
    <row r="725" spans="1:9" x14ac:dyDescent="0.2">
      <c r="A725" t="s">
        <v>1543</v>
      </c>
      <c r="B725" t="s">
        <v>2054</v>
      </c>
      <c r="D725" t="b">
        <f>IFERROR(VLOOKUP(B725,PatData!$A$2:$A$2000,1,),"")&lt;&gt;""</f>
        <v>1</v>
      </c>
      <c r="E725" t="b">
        <v>0</v>
      </c>
      <c r="F725" t="b">
        <v>0</v>
      </c>
      <c r="G725" t="b">
        <v>1</v>
      </c>
      <c r="H725" t="b">
        <v>1</v>
      </c>
      <c r="I725" t="b">
        <v>0</v>
      </c>
    </row>
    <row r="726" spans="1:9" x14ac:dyDescent="0.2">
      <c r="A726" t="s">
        <v>1544</v>
      </c>
      <c r="B726" t="s">
        <v>2055</v>
      </c>
      <c r="D726" t="b">
        <f>IFERROR(VLOOKUP(B726,PatData!$A$2:$A$2000,1,),"")&lt;&gt;""</f>
        <v>1</v>
      </c>
      <c r="E726" t="b">
        <v>0</v>
      </c>
      <c r="F726" t="b">
        <v>0</v>
      </c>
      <c r="G726" t="b">
        <v>1</v>
      </c>
      <c r="H726" t="b">
        <v>1</v>
      </c>
      <c r="I726" t="b">
        <v>0</v>
      </c>
    </row>
    <row r="727" spans="1:9" x14ac:dyDescent="0.2">
      <c r="A727" t="s">
        <v>1545</v>
      </c>
      <c r="B727" t="s">
        <v>2056</v>
      </c>
      <c r="D727" t="b">
        <f>IFERROR(VLOOKUP(B727,PatData!$A$2:$A$2000,1,),"")&lt;&gt;""</f>
        <v>1</v>
      </c>
      <c r="E727" t="b">
        <v>0</v>
      </c>
      <c r="F727" t="b">
        <v>0</v>
      </c>
      <c r="G727" t="b">
        <v>1</v>
      </c>
      <c r="H727" t="b">
        <v>1</v>
      </c>
      <c r="I727" t="b">
        <v>0</v>
      </c>
    </row>
    <row r="728" spans="1:9" x14ac:dyDescent="0.2">
      <c r="A728" t="s">
        <v>1546</v>
      </c>
      <c r="B728" t="s">
        <v>2057</v>
      </c>
      <c r="D728" t="b">
        <f>IFERROR(VLOOKUP(B728,PatData!$A$2:$A$2000,1,),"")&lt;&gt;""</f>
        <v>1</v>
      </c>
      <c r="E728" t="b">
        <v>0</v>
      </c>
      <c r="F728" t="b">
        <v>0</v>
      </c>
      <c r="G728" t="b">
        <v>1</v>
      </c>
      <c r="H728" t="b">
        <v>1</v>
      </c>
      <c r="I728" t="b">
        <v>0</v>
      </c>
    </row>
    <row r="729" spans="1:9" x14ac:dyDescent="0.2">
      <c r="A729" t="s">
        <v>1547</v>
      </c>
      <c r="B729" t="s">
        <v>2058</v>
      </c>
      <c r="D729" t="b">
        <f>IFERROR(VLOOKUP(B729,PatData!$A$2:$A$2000,1,),"")&lt;&gt;""</f>
        <v>1</v>
      </c>
      <c r="E729" t="b">
        <v>0</v>
      </c>
      <c r="F729" t="b">
        <v>0</v>
      </c>
      <c r="G729" t="b">
        <v>1</v>
      </c>
      <c r="H729" t="b">
        <v>1</v>
      </c>
      <c r="I729" t="b">
        <v>0</v>
      </c>
    </row>
    <row r="730" spans="1:9" x14ac:dyDescent="0.2">
      <c r="A730" t="s">
        <v>1548</v>
      </c>
      <c r="B730" t="s">
        <v>2059</v>
      </c>
      <c r="D730" t="b">
        <f>IFERROR(VLOOKUP(B730,PatData!$A$2:$A$2000,1,),"")&lt;&gt;""</f>
        <v>1</v>
      </c>
      <c r="E730" t="b">
        <v>0</v>
      </c>
      <c r="F730" t="b">
        <v>0</v>
      </c>
      <c r="G730" t="b">
        <v>1</v>
      </c>
      <c r="H730" t="b">
        <v>1</v>
      </c>
      <c r="I730" t="b">
        <v>0</v>
      </c>
    </row>
    <row r="731" spans="1:9" x14ac:dyDescent="0.2">
      <c r="A731" t="s">
        <v>1549</v>
      </c>
      <c r="B731" t="s">
        <v>2060</v>
      </c>
      <c r="D731" t="b">
        <f>IFERROR(VLOOKUP(B731,PatData!$A$2:$A$2000,1,),"")&lt;&gt;""</f>
        <v>1</v>
      </c>
      <c r="E731" t="b">
        <v>0</v>
      </c>
      <c r="F731" t="b">
        <v>0</v>
      </c>
      <c r="G731" t="b">
        <v>1</v>
      </c>
      <c r="H731" t="b">
        <v>1</v>
      </c>
      <c r="I731" t="b">
        <v>0</v>
      </c>
    </row>
    <row r="732" spans="1:9" x14ac:dyDescent="0.2">
      <c r="A732" t="s">
        <v>1550</v>
      </c>
      <c r="B732" t="s">
        <v>2061</v>
      </c>
      <c r="D732" t="b">
        <f>IFERROR(VLOOKUP(B732,PatData!$A$2:$A$2000,1,),"")&lt;&gt;""</f>
        <v>1</v>
      </c>
      <c r="E732" t="b">
        <v>0</v>
      </c>
      <c r="F732" t="b">
        <v>0</v>
      </c>
      <c r="G732" t="b">
        <v>1</v>
      </c>
      <c r="H732" t="b">
        <v>1</v>
      </c>
      <c r="I732" t="b">
        <v>0</v>
      </c>
    </row>
    <row r="733" spans="1:9" x14ac:dyDescent="0.2">
      <c r="A733" t="s">
        <v>1551</v>
      </c>
      <c r="B733" t="s">
        <v>2062</v>
      </c>
      <c r="D733" t="b">
        <f>IFERROR(VLOOKUP(B733,PatData!$A$2:$A$2000,1,),"")&lt;&gt;""</f>
        <v>1</v>
      </c>
      <c r="E733" t="b">
        <v>0</v>
      </c>
      <c r="F733" t="b">
        <v>0</v>
      </c>
      <c r="G733" t="b">
        <v>1</v>
      </c>
      <c r="H733" t="b">
        <v>1</v>
      </c>
      <c r="I733" t="b">
        <v>0</v>
      </c>
    </row>
    <row r="734" spans="1:9" x14ac:dyDescent="0.2">
      <c r="A734" t="s">
        <v>1552</v>
      </c>
      <c r="B734" t="s">
        <v>2063</v>
      </c>
      <c r="D734" t="b">
        <f>IFERROR(VLOOKUP(B734,PatData!$A$2:$A$2000,1,),"")&lt;&gt;""</f>
        <v>1</v>
      </c>
      <c r="E734" t="b">
        <v>0</v>
      </c>
      <c r="F734" t="b">
        <v>0</v>
      </c>
      <c r="G734" t="b">
        <v>1</v>
      </c>
      <c r="H734" t="b">
        <v>1</v>
      </c>
      <c r="I734" t="b">
        <v>0</v>
      </c>
    </row>
    <row r="735" spans="1:9" x14ac:dyDescent="0.2">
      <c r="A735" t="s">
        <v>1553</v>
      </c>
      <c r="B735" t="s">
        <v>2064</v>
      </c>
      <c r="D735" t="b">
        <f>IFERROR(VLOOKUP(B735,PatData!$A$2:$A$2000,1,),"")&lt;&gt;""</f>
        <v>1</v>
      </c>
      <c r="E735" t="b">
        <v>0</v>
      </c>
      <c r="F735" t="b">
        <v>0</v>
      </c>
      <c r="G735" t="b">
        <v>1</v>
      </c>
      <c r="H735" t="b">
        <v>1</v>
      </c>
      <c r="I735" t="b">
        <v>0</v>
      </c>
    </row>
    <row r="736" spans="1:9" x14ac:dyDescent="0.2">
      <c r="A736" t="s">
        <v>1554</v>
      </c>
      <c r="B736" t="s">
        <v>2065</v>
      </c>
      <c r="D736" t="b">
        <f>IFERROR(VLOOKUP(B736,PatData!$A$2:$A$2000,1,),"")&lt;&gt;""</f>
        <v>1</v>
      </c>
      <c r="E736" t="b">
        <v>0</v>
      </c>
      <c r="F736" t="b">
        <v>0</v>
      </c>
      <c r="G736" t="b">
        <v>1</v>
      </c>
      <c r="H736" t="b">
        <v>1</v>
      </c>
      <c r="I736" t="b">
        <v>0</v>
      </c>
    </row>
    <row r="737" spans="1:9" x14ac:dyDescent="0.2">
      <c r="A737" t="s">
        <v>1555</v>
      </c>
      <c r="B737" t="s">
        <v>2066</v>
      </c>
      <c r="D737" t="b">
        <f>IFERROR(VLOOKUP(B737,PatData!$A$2:$A$2000,1,),"")&lt;&gt;""</f>
        <v>1</v>
      </c>
      <c r="E737" t="b">
        <v>0</v>
      </c>
      <c r="F737" t="b">
        <v>0</v>
      </c>
      <c r="G737" t="b">
        <v>1</v>
      </c>
      <c r="H737" t="b">
        <v>1</v>
      </c>
      <c r="I737" t="b">
        <v>0</v>
      </c>
    </row>
    <row r="738" spans="1:9" x14ac:dyDescent="0.2">
      <c r="A738" t="s">
        <v>1556</v>
      </c>
      <c r="B738" t="s">
        <v>2067</v>
      </c>
      <c r="D738" t="b">
        <f>IFERROR(VLOOKUP(B738,PatData!$A$2:$A$2000,1,),"")&lt;&gt;""</f>
        <v>1</v>
      </c>
      <c r="E738" t="b">
        <v>0</v>
      </c>
      <c r="F738" t="b">
        <v>0</v>
      </c>
      <c r="G738" t="b">
        <v>1</v>
      </c>
      <c r="H738" t="b">
        <v>1</v>
      </c>
      <c r="I738" t="b">
        <v>0</v>
      </c>
    </row>
    <row r="739" spans="1:9" x14ac:dyDescent="0.2">
      <c r="A739" t="s">
        <v>1557</v>
      </c>
      <c r="B739" t="s">
        <v>2068</v>
      </c>
      <c r="D739" t="b">
        <f>IFERROR(VLOOKUP(B739,PatData!$A$2:$A$2000,1,),"")&lt;&gt;""</f>
        <v>1</v>
      </c>
      <c r="E739" t="b">
        <v>0</v>
      </c>
      <c r="F739" t="b">
        <v>0</v>
      </c>
      <c r="G739" t="b">
        <v>1</v>
      </c>
      <c r="H739" t="b">
        <v>1</v>
      </c>
      <c r="I739" t="b">
        <v>0</v>
      </c>
    </row>
    <row r="740" spans="1:9" x14ac:dyDescent="0.2">
      <c r="A740" t="s">
        <v>1558</v>
      </c>
      <c r="B740" t="s">
        <v>2069</v>
      </c>
      <c r="D740" t="b">
        <f>IFERROR(VLOOKUP(B740,PatData!$A$2:$A$2000,1,),"")&lt;&gt;""</f>
        <v>1</v>
      </c>
      <c r="E740" t="b">
        <v>0</v>
      </c>
      <c r="F740" t="b">
        <v>0</v>
      </c>
      <c r="G740" t="b">
        <v>1</v>
      </c>
      <c r="H740" t="b">
        <v>1</v>
      </c>
      <c r="I740" t="b">
        <v>0</v>
      </c>
    </row>
    <row r="741" spans="1:9" x14ac:dyDescent="0.2">
      <c r="A741" t="s">
        <v>1559</v>
      </c>
      <c r="B741" t="s">
        <v>2070</v>
      </c>
      <c r="D741" t="b">
        <f>IFERROR(VLOOKUP(B741,PatData!$A$2:$A$2000,1,),"")&lt;&gt;""</f>
        <v>1</v>
      </c>
      <c r="E741" t="b">
        <v>0</v>
      </c>
      <c r="F741" t="b">
        <v>0</v>
      </c>
      <c r="G741" t="b">
        <v>1</v>
      </c>
      <c r="H741" t="b">
        <v>1</v>
      </c>
      <c r="I741" t="b">
        <v>0</v>
      </c>
    </row>
    <row r="742" spans="1:9" x14ac:dyDescent="0.2">
      <c r="A742" t="s">
        <v>1560</v>
      </c>
      <c r="B742" t="s">
        <v>2071</v>
      </c>
      <c r="D742" t="b">
        <f>IFERROR(VLOOKUP(B742,PatData!$A$2:$A$2000,1,),"")&lt;&gt;""</f>
        <v>1</v>
      </c>
      <c r="E742" t="b">
        <v>0</v>
      </c>
      <c r="F742" t="b">
        <v>0</v>
      </c>
      <c r="G742" t="b">
        <v>1</v>
      </c>
      <c r="H742" t="b">
        <v>1</v>
      </c>
      <c r="I742" t="b">
        <v>0</v>
      </c>
    </row>
    <row r="743" spans="1:9" x14ac:dyDescent="0.2">
      <c r="A743" t="s">
        <v>1561</v>
      </c>
      <c r="B743" t="s">
        <v>2072</v>
      </c>
      <c r="D743" t="b">
        <f>IFERROR(VLOOKUP(B743,PatData!$A$2:$A$2000,1,),"")&lt;&gt;""</f>
        <v>1</v>
      </c>
      <c r="E743" t="b">
        <v>0</v>
      </c>
      <c r="F743" t="b">
        <v>0</v>
      </c>
      <c r="G743" t="b">
        <v>1</v>
      </c>
      <c r="H743" t="b">
        <v>1</v>
      </c>
      <c r="I743" t="b">
        <v>0</v>
      </c>
    </row>
    <row r="744" spans="1:9" x14ac:dyDescent="0.2">
      <c r="A744" t="s">
        <v>1562</v>
      </c>
      <c r="B744" t="s">
        <v>2073</v>
      </c>
      <c r="D744" t="b">
        <f>IFERROR(VLOOKUP(B744,PatData!$A$2:$A$2000,1,),"")&lt;&gt;""</f>
        <v>1</v>
      </c>
      <c r="E744" t="b">
        <v>0</v>
      </c>
      <c r="F744" t="b">
        <v>0</v>
      </c>
      <c r="G744" t="b">
        <v>1</v>
      </c>
      <c r="H744" t="b">
        <v>1</v>
      </c>
      <c r="I744" t="b">
        <v>0</v>
      </c>
    </row>
    <row r="745" spans="1:9" x14ac:dyDescent="0.2">
      <c r="A745" t="s">
        <v>1563</v>
      </c>
      <c r="B745" t="s">
        <v>2074</v>
      </c>
      <c r="D745" t="b">
        <f>IFERROR(VLOOKUP(B745,PatData!$A$2:$A$2000,1,),"")&lt;&gt;""</f>
        <v>1</v>
      </c>
      <c r="E745" t="b">
        <v>0</v>
      </c>
      <c r="F745" t="b">
        <v>0</v>
      </c>
      <c r="G745" t="b">
        <v>1</v>
      </c>
      <c r="H745" t="b">
        <v>1</v>
      </c>
      <c r="I745" t="b">
        <v>0</v>
      </c>
    </row>
    <row r="746" spans="1:9" x14ac:dyDescent="0.2">
      <c r="A746" t="s">
        <v>1564</v>
      </c>
      <c r="B746" t="s">
        <v>2075</v>
      </c>
      <c r="D746" t="b">
        <f>IFERROR(VLOOKUP(B746,PatData!$A$2:$A$2000,1,),"")&lt;&gt;""</f>
        <v>1</v>
      </c>
      <c r="E746" t="b">
        <v>0</v>
      </c>
      <c r="F746" t="b">
        <v>0</v>
      </c>
      <c r="G746" t="b">
        <v>1</v>
      </c>
      <c r="H746" t="b">
        <v>1</v>
      </c>
      <c r="I746" t="b">
        <v>0</v>
      </c>
    </row>
    <row r="747" spans="1:9" x14ac:dyDescent="0.2">
      <c r="A747" t="s">
        <v>1565</v>
      </c>
      <c r="B747" t="s">
        <v>2076</v>
      </c>
      <c r="D747" t="b">
        <f>IFERROR(VLOOKUP(B747,PatData!$A$2:$A$2000,1,),"")&lt;&gt;""</f>
        <v>1</v>
      </c>
      <c r="E747" t="b">
        <v>0</v>
      </c>
      <c r="F747" t="b">
        <v>0</v>
      </c>
      <c r="G747" t="b">
        <v>1</v>
      </c>
      <c r="H747" t="b">
        <v>1</v>
      </c>
      <c r="I747" t="b">
        <v>0</v>
      </c>
    </row>
    <row r="748" spans="1:9" x14ac:dyDescent="0.2">
      <c r="A748" t="s">
        <v>1566</v>
      </c>
      <c r="B748" t="s">
        <v>2077</v>
      </c>
      <c r="D748" t="b">
        <f>IFERROR(VLOOKUP(B748,PatData!$A$2:$A$2000,1,),"")&lt;&gt;""</f>
        <v>1</v>
      </c>
      <c r="E748" t="b">
        <v>0</v>
      </c>
      <c r="F748" t="b">
        <v>0</v>
      </c>
      <c r="G748" t="b">
        <v>1</v>
      </c>
      <c r="H748" t="b">
        <v>1</v>
      </c>
      <c r="I748" t="b">
        <v>0</v>
      </c>
    </row>
    <row r="749" spans="1:9" x14ac:dyDescent="0.2">
      <c r="A749" t="s">
        <v>1567</v>
      </c>
      <c r="B749" t="s">
        <v>2078</v>
      </c>
      <c r="D749" t="b">
        <f>IFERROR(VLOOKUP(B749,PatData!$A$2:$A$2000,1,),"")&lt;&gt;""</f>
        <v>1</v>
      </c>
      <c r="E749" t="b">
        <v>0</v>
      </c>
      <c r="F749" t="b">
        <v>0</v>
      </c>
      <c r="G749" t="b">
        <v>1</v>
      </c>
      <c r="H749" t="b">
        <v>1</v>
      </c>
      <c r="I749" t="b">
        <v>0</v>
      </c>
    </row>
    <row r="750" spans="1:9" x14ac:dyDescent="0.2">
      <c r="A750" t="s">
        <v>1568</v>
      </c>
      <c r="B750" t="s">
        <v>2079</v>
      </c>
      <c r="D750" t="b">
        <f>IFERROR(VLOOKUP(B750,PatData!$A$2:$A$2000,1,),"")&lt;&gt;""</f>
        <v>1</v>
      </c>
      <c r="E750" t="b">
        <v>0</v>
      </c>
      <c r="F750" t="b">
        <v>0</v>
      </c>
      <c r="G750" t="b">
        <v>1</v>
      </c>
      <c r="H750" t="b">
        <v>1</v>
      </c>
      <c r="I750" t="b">
        <v>0</v>
      </c>
    </row>
    <row r="751" spans="1:9" x14ac:dyDescent="0.2">
      <c r="A751" t="s">
        <v>1569</v>
      </c>
      <c r="B751" t="s">
        <v>2080</v>
      </c>
      <c r="D751" t="b">
        <f>IFERROR(VLOOKUP(B751,PatData!$A$2:$A$2000,1,),"")&lt;&gt;""</f>
        <v>1</v>
      </c>
      <c r="E751" t="b">
        <v>0</v>
      </c>
      <c r="F751" t="b">
        <v>0</v>
      </c>
      <c r="G751" t="b">
        <v>1</v>
      </c>
      <c r="H751" t="b">
        <v>1</v>
      </c>
      <c r="I751" t="b">
        <v>0</v>
      </c>
    </row>
    <row r="752" spans="1:9" x14ac:dyDescent="0.2">
      <c r="A752" t="s">
        <v>1570</v>
      </c>
      <c r="B752" t="s">
        <v>2081</v>
      </c>
      <c r="D752" t="b">
        <f>IFERROR(VLOOKUP(B752,PatData!$A$2:$A$2000,1,),"")&lt;&gt;""</f>
        <v>1</v>
      </c>
      <c r="E752" t="b">
        <v>0</v>
      </c>
      <c r="F752" t="b">
        <v>0</v>
      </c>
      <c r="G752" t="b">
        <v>1</v>
      </c>
      <c r="H752" t="b">
        <v>1</v>
      </c>
      <c r="I752" t="b">
        <v>0</v>
      </c>
    </row>
    <row r="753" spans="1:9" x14ac:dyDescent="0.2">
      <c r="A753" t="s">
        <v>1571</v>
      </c>
      <c r="B753" t="s">
        <v>2082</v>
      </c>
      <c r="D753" t="b">
        <f>IFERROR(VLOOKUP(B753,PatData!$A$2:$A$2000,1,),"")&lt;&gt;""</f>
        <v>1</v>
      </c>
      <c r="E753" t="b">
        <v>0</v>
      </c>
      <c r="F753" t="b">
        <v>0</v>
      </c>
      <c r="G753" t="b">
        <v>1</v>
      </c>
      <c r="H753" t="b">
        <v>1</v>
      </c>
      <c r="I753" t="b">
        <v>0</v>
      </c>
    </row>
    <row r="754" spans="1:9" x14ac:dyDescent="0.2">
      <c r="A754" t="s">
        <v>1572</v>
      </c>
      <c r="B754" t="s">
        <v>2083</v>
      </c>
      <c r="D754" t="b">
        <f>IFERROR(VLOOKUP(B754,PatData!$A$2:$A$2000,1,),"")&lt;&gt;""</f>
        <v>1</v>
      </c>
      <c r="E754" t="b">
        <v>0</v>
      </c>
      <c r="F754" t="b">
        <v>0</v>
      </c>
      <c r="G754" t="b">
        <v>1</v>
      </c>
      <c r="H754" t="b">
        <v>1</v>
      </c>
      <c r="I754" t="b">
        <v>0</v>
      </c>
    </row>
    <row r="755" spans="1:9" x14ac:dyDescent="0.2">
      <c r="A755" t="s">
        <v>1573</v>
      </c>
      <c r="B755" t="s">
        <v>2084</v>
      </c>
      <c r="D755" t="b">
        <f>IFERROR(VLOOKUP(B755,PatData!$A$2:$A$2000,1,),"")&lt;&gt;""</f>
        <v>1</v>
      </c>
      <c r="E755" t="b">
        <v>0</v>
      </c>
      <c r="F755" t="b">
        <v>0</v>
      </c>
      <c r="G755" t="b">
        <v>1</v>
      </c>
      <c r="H755" t="b">
        <v>1</v>
      </c>
      <c r="I755" t="b">
        <v>0</v>
      </c>
    </row>
    <row r="756" spans="1:9" x14ac:dyDescent="0.2">
      <c r="A756" t="s">
        <v>1574</v>
      </c>
      <c r="B756" t="s">
        <v>2085</v>
      </c>
      <c r="D756" t="b">
        <f>IFERROR(VLOOKUP(B756,PatData!$A$2:$A$2000,1,),"")&lt;&gt;""</f>
        <v>1</v>
      </c>
      <c r="E756" t="b">
        <v>0</v>
      </c>
      <c r="F756" t="b">
        <v>0</v>
      </c>
      <c r="G756" t="b">
        <v>1</v>
      </c>
      <c r="H756" t="b">
        <v>1</v>
      </c>
      <c r="I756" t="b">
        <v>0</v>
      </c>
    </row>
    <row r="757" spans="1:9" x14ac:dyDescent="0.2">
      <c r="A757" t="s">
        <v>1575</v>
      </c>
      <c r="B757" t="s">
        <v>2086</v>
      </c>
      <c r="D757" t="b">
        <f>IFERROR(VLOOKUP(B757,PatData!$A$2:$A$2000,1,),"")&lt;&gt;""</f>
        <v>1</v>
      </c>
      <c r="E757" t="b">
        <v>0</v>
      </c>
      <c r="F757" t="b">
        <v>0</v>
      </c>
      <c r="G757" t="b">
        <v>1</v>
      </c>
      <c r="H757" t="b">
        <v>1</v>
      </c>
      <c r="I757" t="b">
        <v>0</v>
      </c>
    </row>
    <row r="758" spans="1:9" x14ac:dyDescent="0.2">
      <c r="A758" t="s">
        <v>1576</v>
      </c>
      <c r="B758" t="s">
        <v>2087</v>
      </c>
      <c r="D758" t="b">
        <f>IFERROR(VLOOKUP(B758,PatData!$A$2:$A$2000,1,),"")&lt;&gt;""</f>
        <v>1</v>
      </c>
      <c r="E758" t="b">
        <v>0</v>
      </c>
      <c r="F758" t="b">
        <v>0</v>
      </c>
      <c r="G758" t="b">
        <v>1</v>
      </c>
      <c r="H758" t="b">
        <v>1</v>
      </c>
      <c r="I758" t="b">
        <v>0</v>
      </c>
    </row>
    <row r="759" spans="1:9" x14ac:dyDescent="0.2">
      <c r="A759" t="s">
        <v>1577</v>
      </c>
      <c r="B759" t="s">
        <v>2088</v>
      </c>
      <c r="D759" t="b">
        <f>IFERROR(VLOOKUP(B759,PatData!$A$2:$A$2000,1,),"")&lt;&gt;""</f>
        <v>1</v>
      </c>
      <c r="E759" t="b">
        <v>0</v>
      </c>
      <c r="F759" t="b">
        <v>0</v>
      </c>
      <c r="G759" t="b">
        <v>1</v>
      </c>
      <c r="H759" t="b">
        <v>1</v>
      </c>
      <c r="I759" t="b">
        <v>0</v>
      </c>
    </row>
    <row r="760" spans="1:9" x14ac:dyDescent="0.2">
      <c r="A760" t="s">
        <v>1578</v>
      </c>
      <c r="B760" t="s">
        <v>2089</v>
      </c>
      <c r="D760" t="b">
        <f>IFERROR(VLOOKUP(B760,PatData!$A$2:$A$2000,1,),"")&lt;&gt;""</f>
        <v>1</v>
      </c>
      <c r="E760" t="b">
        <v>0</v>
      </c>
      <c r="F760" t="b">
        <v>0</v>
      </c>
      <c r="G760" t="b">
        <v>1</v>
      </c>
      <c r="H760" t="b">
        <v>1</v>
      </c>
      <c r="I760" t="b">
        <v>0</v>
      </c>
    </row>
    <row r="761" spans="1:9" x14ac:dyDescent="0.2">
      <c r="A761" t="s">
        <v>1579</v>
      </c>
      <c r="B761" t="s">
        <v>2090</v>
      </c>
      <c r="D761" t="b">
        <f>IFERROR(VLOOKUP(B761,PatData!$A$2:$A$2000,1,),"")&lt;&gt;""</f>
        <v>1</v>
      </c>
      <c r="E761" t="b">
        <v>0</v>
      </c>
      <c r="F761" t="b">
        <v>0</v>
      </c>
      <c r="G761" t="b">
        <v>1</v>
      </c>
      <c r="H761" t="b">
        <v>1</v>
      </c>
      <c r="I761" t="b">
        <v>0</v>
      </c>
    </row>
    <row r="762" spans="1:9" x14ac:dyDescent="0.2">
      <c r="A762" t="s">
        <v>1580</v>
      </c>
      <c r="B762" t="s">
        <v>2091</v>
      </c>
      <c r="D762" t="b">
        <f>IFERROR(VLOOKUP(B762,PatData!$A$2:$A$2000,1,),"")&lt;&gt;""</f>
        <v>1</v>
      </c>
      <c r="E762" t="b">
        <v>0</v>
      </c>
      <c r="F762" t="b">
        <v>0</v>
      </c>
      <c r="G762" t="b">
        <v>1</v>
      </c>
      <c r="H762" t="b">
        <v>1</v>
      </c>
      <c r="I762" t="b">
        <v>0</v>
      </c>
    </row>
    <row r="763" spans="1:9" x14ac:dyDescent="0.2">
      <c r="A763" t="s">
        <v>1581</v>
      </c>
      <c r="B763" t="s">
        <v>2092</v>
      </c>
      <c r="D763" t="b">
        <f>IFERROR(VLOOKUP(B763,PatData!$A$2:$A$2000,1,),"")&lt;&gt;""</f>
        <v>1</v>
      </c>
      <c r="E763" t="b">
        <v>0</v>
      </c>
      <c r="F763" t="b">
        <v>0</v>
      </c>
      <c r="G763" t="b">
        <v>1</v>
      </c>
      <c r="H763" t="b">
        <v>1</v>
      </c>
      <c r="I763" t="b">
        <v>0</v>
      </c>
    </row>
    <row r="764" spans="1:9" x14ac:dyDescent="0.2">
      <c r="A764" t="s">
        <v>1582</v>
      </c>
      <c r="B764" t="s">
        <v>2093</v>
      </c>
      <c r="D764" t="b">
        <f>IFERROR(VLOOKUP(B764,PatData!$A$2:$A$2000,1,),"")&lt;&gt;""</f>
        <v>1</v>
      </c>
      <c r="E764" t="b">
        <v>0</v>
      </c>
      <c r="F764" t="b">
        <v>0</v>
      </c>
      <c r="G764" t="b">
        <v>1</v>
      </c>
      <c r="H764" t="b">
        <v>1</v>
      </c>
      <c r="I764" t="b">
        <v>0</v>
      </c>
    </row>
    <row r="765" spans="1:9" x14ac:dyDescent="0.2">
      <c r="A765" t="s">
        <v>1583</v>
      </c>
      <c r="B765" t="s">
        <v>2094</v>
      </c>
      <c r="D765" t="b">
        <f>IFERROR(VLOOKUP(B765,PatData!$A$2:$A$2000,1,),"")&lt;&gt;""</f>
        <v>1</v>
      </c>
      <c r="E765" t="b">
        <v>0</v>
      </c>
      <c r="F765" t="b">
        <v>0</v>
      </c>
      <c r="G765" t="b">
        <v>1</v>
      </c>
      <c r="H765" t="b">
        <v>1</v>
      </c>
      <c r="I765" t="b">
        <v>0</v>
      </c>
    </row>
    <row r="766" spans="1:9" x14ac:dyDescent="0.2">
      <c r="A766" t="s">
        <v>1584</v>
      </c>
      <c r="B766" t="s">
        <v>2095</v>
      </c>
      <c r="D766" t="b">
        <f>IFERROR(VLOOKUP(B766,PatData!$A$2:$A$2000,1,),"")&lt;&gt;""</f>
        <v>1</v>
      </c>
      <c r="E766" t="b">
        <v>0</v>
      </c>
      <c r="F766" t="b">
        <v>0</v>
      </c>
      <c r="G766" t="b">
        <v>1</v>
      </c>
      <c r="H766" t="b">
        <v>1</v>
      </c>
      <c r="I766" t="b">
        <v>0</v>
      </c>
    </row>
    <row r="767" spans="1:9" x14ac:dyDescent="0.2">
      <c r="A767" t="s">
        <v>1585</v>
      </c>
      <c r="B767" t="s">
        <v>2096</v>
      </c>
      <c r="D767" t="b">
        <f>IFERROR(VLOOKUP(B767,PatData!$A$2:$A$2000,1,),"")&lt;&gt;""</f>
        <v>1</v>
      </c>
      <c r="E767" t="b">
        <v>0</v>
      </c>
      <c r="F767" t="b">
        <v>0</v>
      </c>
      <c r="G767" t="b">
        <v>1</v>
      </c>
      <c r="H767" t="b">
        <v>1</v>
      </c>
      <c r="I767" t="b">
        <v>0</v>
      </c>
    </row>
    <row r="768" spans="1:9" x14ac:dyDescent="0.2">
      <c r="A768" t="s">
        <v>1586</v>
      </c>
      <c r="B768" t="s">
        <v>2097</v>
      </c>
      <c r="D768" t="b">
        <f>IFERROR(VLOOKUP(B768,PatData!$A$2:$A$2000,1,),"")&lt;&gt;""</f>
        <v>1</v>
      </c>
      <c r="E768" t="b">
        <v>0</v>
      </c>
      <c r="F768" t="b">
        <v>0</v>
      </c>
      <c r="G768" t="b">
        <v>1</v>
      </c>
      <c r="H768" t="b">
        <v>1</v>
      </c>
      <c r="I768" t="b">
        <v>0</v>
      </c>
    </row>
    <row r="769" spans="1:9" x14ac:dyDescent="0.2">
      <c r="A769" t="s">
        <v>1587</v>
      </c>
      <c r="B769" t="s">
        <v>2098</v>
      </c>
      <c r="D769" t="b">
        <f>IFERROR(VLOOKUP(B769,PatData!$A$2:$A$2000,1,),"")&lt;&gt;""</f>
        <v>1</v>
      </c>
      <c r="E769" t="b">
        <v>0</v>
      </c>
      <c r="F769" t="b">
        <v>0</v>
      </c>
      <c r="G769" t="b">
        <v>1</v>
      </c>
      <c r="H769" t="b">
        <v>1</v>
      </c>
      <c r="I769" t="b">
        <v>0</v>
      </c>
    </row>
    <row r="770" spans="1:9" x14ac:dyDescent="0.2">
      <c r="A770" t="s">
        <v>1588</v>
      </c>
      <c r="B770" t="s">
        <v>2099</v>
      </c>
      <c r="D770" t="b">
        <f>IFERROR(VLOOKUP(B770,PatData!$A$2:$A$2000,1,),"")&lt;&gt;""</f>
        <v>1</v>
      </c>
      <c r="E770" t="b">
        <v>0</v>
      </c>
      <c r="F770" t="b">
        <v>0</v>
      </c>
      <c r="G770" t="b">
        <v>1</v>
      </c>
      <c r="H770" t="b">
        <v>1</v>
      </c>
      <c r="I770" t="b">
        <v>0</v>
      </c>
    </row>
    <row r="771" spans="1:9" x14ac:dyDescent="0.2">
      <c r="A771" t="s">
        <v>1502</v>
      </c>
      <c r="B771" t="s">
        <v>2013</v>
      </c>
      <c r="D771" t="b">
        <f>IFERROR(VLOOKUP(B771,PatData!$A$2:$A$2000,1,),"")&lt;&gt;""</f>
        <v>1</v>
      </c>
      <c r="E771" t="b">
        <v>0</v>
      </c>
      <c r="F771" t="b">
        <v>0</v>
      </c>
      <c r="G771" t="b">
        <v>1</v>
      </c>
      <c r="H771" t="b">
        <v>1</v>
      </c>
      <c r="I771" t="b">
        <v>0</v>
      </c>
    </row>
    <row r="772" spans="1:9" x14ac:dyDescent="0.2">
      <c r="A772" t="s">
        <v>1589</v>
      </c>
      <c r="B772" t="s">
        <v>2100</v>
      </c>
      <c r="D772" t="b">
        <f>IFERROR(VLOOKUP(B772,PatData!$A$2:$A$2000,1,),"")&lt;&gt;""</f>
        <v>1</v>
      </c>
      <c r="E772" t="b">
        <v>0</v>
      </c>
      <c r="F772" t="b">
        <v>0</v>
      </c>
      <c r="G772" t="b">
        <v>1</v>
      </c>
      <c r="H772" t="b">
        <v>1</v>
      </c>
      <c r="I772" t="b">
        <v>0</v>
      </c>
    </row>
    <row r="773" spans="1:9" x14ac:dyDescent="0.2">
      <c r="A773" t="s">
        <v>1590</v>
      </c>
      <c r="B773" t="s">
        <v>2101</v>
      </c>
      <c r="D773" t="b">
        <f>IFERROR(VLOOKUP(B773,PatData!$A$2:$A$2000,1,),"")&lt;&gt;""</f>
        <v>1</v>
      </c>
      <c r="E773" t="b">
        <v>0</v>
      </c>
      <c r="F773" t="b">
        <v>0</v>
      </c>
      <c r="G773" t="b">
        <v>1</v>
      </c>
      <c r="H773" t="b">
        <v>1</v>
      </c>
      <c r="I773" t="b">
        <v>0</v>
      </c>
    </row>
    <row r="774" spans="1:9" x14ac:dyDescent="0.2">
      <c r="A774" t="s">
        <v>1591</v>
      </c>
      <c r="B774" t="s">
        <v>2102</v>
      </c>
      <c r="D774" t="b">
        <f>IFERROR(VLOOKUP(B774,PatData!$A$2:$A$2000,1,),"")&lt;&gt;""</f>
        <v>1</v>
      </c>
      <c r="E774">
        <v>0</v>
      </c>
      <c r="F774" t="b">
        <v>0</v>
      </c>
      <c r="G774" t="b">
        <v>1</v>
      </c>
      <c r="H774" t="b">
        <v>1</v>
      </c>
      <c r="I774" t="b">
        <v>0</v>
      </c>
    </row>
    <row r="775" spans="1:9" x14ac:dyDescent="0.2">
      <c r="A775" t="s">
        <v>1592</v>
      </c>
      <c r="B775" t="s">
        <v>2103</v>
      </c>
      <c r="D775" t="b">
        <f>IFERROR(VLOOKUP(B775,PatData!$A$2:$A$2000,1,),"")&lt;&gt;""</f>
        <v>1</v>
      </c>
      <c r="E775">
        <v>1</v>
      </c>
      <c r="F775" t="b">
        <v>0</v>
      </c>
      <c r="G775" t="b">
        <v>1</v>
      </c>
      <c r="H775" t="b">
        <v>1</v>
      </c>
      <c r="I775" t="b">
        <v>0</v>
      </c>
    </row>
    <row r="776" spans="1:9" x14ac:dyDescent="0.2">
      <c r="A776" t="s">
        <v>1593</v>
      </c>
      <c r="B776" t="s">
        <v>2104</v>
      </c>
      <c r="D776" t="b">
        <f>IFERROR(VLOOKUP(B776,PatData!$A$2:$A$2000,1,),"")&lt;&gt;""</f>
        <v>1</v>
      </c>
      <c r="E776">
        <v>0</v>
      </c>
      <c r="F776" t="b">
        <v>0</v>
      </c>
      <c r="G776" t="b">
        <v>1</v>
      </c>
      <c r="H776" t="b">
        <v>1</v>
      </c>
      <c r="I776" t="b">
        <v>0</v>
      </c>
    </row>
    <row r="777" spans="1:9" x14ac:dyDescent="0.2">
      <c r="A777" t="s">
        <v>1594</v>
      </c>
      <c r="B777" t="s">
        <v>2105</v>
      </c>
      <c r="D777" t="b">
        <f>IFERROR(VLOOKUP(B777,PatData!$A$2:$A$2000,1,),"")&lt;&gt;""</f>
        <v>1</v>
      </c>
      <c r="E777">
        <v>1</v>
      </c>
      <c r="F777" t="b">
        <v>0</v>
      </c>
      <c r="G777" t="b">
        <v>1</v>
      </c>
      <c r="H777" t="b">
        <v>1</v>
      </c>
      <c r="I777" t="b">
        <v>0</v>
      </c>
    </row>
    <row r="778" spans="1:9" x14ac:dyDescent="0.2">
      <c r="A778" t="s">
        <v>1595</v>
      </c>
      <c r="B778" t="s">
        <v>2106</v>
      </c>
      <c r="D778" t="b">
        <f>IFERROR(VLOOKUP(B778,PatData!$A$2:$A$2000,1,),"")&lt;&gt;""</f>
        <v>1</v>
      </c>
      <c r="E778">
        <v>0</v>
      </c>
      <c r="F778" t="b">
        <v>0</v>
      </c>
      <c r="G778" t="b">
        <v>1</v>
      </c>
      <c r="H778" t="b">
        <v>1</v>
      </c>
      <c r="I778" t="b">
        <v>0</v>
      </c>
    </row>
    <row r="779" spans="1:9" x14ac:dyDescent="0.2">
      <c r="A779" t="s">
        <v>1596</v>
      </c>
      <c r="B779" t="s">
        <v>2107</v>
      </c>
      <c r="D779" t="b">
        <f>IFERROR(VLOOKUP(B779,PatData!$A$2:$A$2000,1,),"")&lt;&gt;""</f>
        <v>1</v>
      </c>
      <c r="E779">
        <v>1</v>
      </c>
      <c r="F779" t="b">
        <v>0</v>
      </c>
      <c r="G779" t="b">
        <v>1</v>
      </c>
      <c r="H779" t="b">
        <v>1</v>
      </c>
      <c r="I779" t="b">
        <v>0</v>
      </c>
    </row>
    <row r="780" spans="1:9" x14ac:dyDescent="0.2">
      <c r="A780" t="s">
        <v>1597</v>
      </c>
      <c r="B780" t="s">
        <v>2108</v>
      </c>
      <c r="D780" t="b">
        <f>IFERROR(VLOOKUP(B780,PatData!$A$2:$A$2000,1,),"")&lt;&gt;""</f>
        <v>1</v>
      </c>
      <c r="E780">
        <v>0</v>
      </c>
      <c r="F780" t="b">
        <v>0</v>
      </c>
      <c r="G780" t="b">
        <v>1</v>
      </c>
      <c r="H780" t="b">
        <v>1</v>
      </c>
      <c r="I780" t="b">
        <v>0</v>
      </c>
    </row>
    <row r="781" spans="1:9" x14ac:dyDescent="0.2">
      <c r="A781" t="s">
        <v>1598</v>
      </c>
      <c r="B781" t="s">
        <v>2109</v>
      </c>
      <c r="D781" t="b">
        <f>IFERROR(VLOOKUP(B781,PatData!$A$2:$A$2000,1,),"")&lt;&gt;""</f>
        <v>1</v>
      </c>
      <c r="E781">
        <v>1</v>
      </c>
      <c r="F781" t="b">
        <v>0</v>
      </c>
      <c r="G781" t="b">
        <v>1</v>
      </c>
      <c r="H781" t="b">
        <v>1</v>
      </c>
      <c r="I781" t="b">
        <v>0</v>
      </c>
    </row>
    <row r="782" spans="1:9" x14ac:dyDescent="0.2">
      <c r="A782" t="s">
        <v>1599</v>
      </c>
      <c r="B782" t="s">
        <v>2110</v>
      </c>
      <c r="D782" t="b">
        <f>IFERROR(VLOOKUP(B782,PatData!$A$2:$A$2000,1,),"")&lt;&gt;""</f>
        <v>1</v>
      </c>
      <c r="E782">
        <v>0</v>
      </c>
      <c r="F782" t="b">
        <v>0</v>
      </c>
      <c r="G782" t="b">
        <v>1</v>
      </c>
      <c r="H782" t="b">
        <v>1</v>
      </c>
      <c r="I782" t="b">
        <v>0</v>
      </c>
    </row>
    <row r="783" spans="1:9" x14ac:dyDescent="0.2">
      <c r="A783" t="s">
        <v>1600</v>
      </c>
      <c r="B783" t="s">
        <v>2111</v>
      </c>
      <c r="D783" t="b">
        <f>IFERROR(VLOOKUP(B783,PatData!$A$2:$A$2000,1,),"")&lt;&gt;""</f>
        <v>1</v>
      </c>
      <c r="E783">
        <v>0</v>
      </c>
      <c r="F783" t="b">
        <v>0</v>
      </c>
      <c r="G783" t="b">
        <v>1</v>
      </c>
      <c r="H783" t="b">
        <v>1</v>
      </c>
      <c r="I783" t="b">
        <v>0</v>
      </c>
    </row>
    <row r="784" spans="1:9" x14ac:dyDescent="0.2">
      <c r="A784" t="s">
        <v>1601</v>
      </c>
      <c r="B784" t="s">
        <v>2112</v>
      </c>
      <c r="D784" t="b">
        <f>IFERROR(VLOOKUP(B784,PatData!$A$2:$A$2000,1,),"")&lt;&gt;""</f>
        <v>1</v>
      </c>
      <c r="E784">
        <v>0</v>
      </c>
      <c r="F784" t="b">
        <v>0</v>
      </c>
      <c r="G784" t="b">
        <v>1</v>
      </c>
      <c r="H784" t="b">
        <v>1</v>
      </c>
      <c r="I784" t="b">
        <v>0</v>
      </c>
    </row>
    <row r="785" spans="1:9" x14ac:dyDescent="0.2">
      <c r="A785" t="s">
        <v>1602</v>
      </c>
      <c r="B785" t="s">
        <v>2113</v>
      </c>
      <c r="D785" t="b">
        <f>IFERROR(VLOOKUP(B785,PatData!$A$2:$A$2000,1,),"")&lt;&gt;""</f>
        <v>1</v>
      </c>
      <c r="E785">
        <v>0</v>
      </c>
      <c r="F785" t="b">
        <v>0</v>
      </c>
      <c r="G785" t="b">
        <v>1</v>
      </c>
      <c r="H785" t="b">
        <v>1</v>
      </c>
      <c r="I785" t="b">
        <v>0</v>
      </c>
    </row>
    <row r="786" spans="1:9" x14ac:dyDescent="0.2">
      <c r="A786" t="s">
        <v>1603</v>
      </c>
      <c r="B786" t="s">
        <v>2114</v>
      </c>
      <c r="D786" t="b">
        <f>IFERROR(VLOOKUP(B786,PatData!$A$2:$A$2000,1,),"")&lt;&gt;""</f>
        <v>1</v>
      </c>
      <c r="E786">
        <v>1</v>
      </c>
      <c r="F786" t="b">
        <v>0</v>
      </c>
      <c r="G786" t="b">
        <v>1</v>
      </c>
      <c r="H786" t="b">
        <v>1</v>
      </c>
      <c r="I786" t="b">
        <v>0</v>
      </c>
    </row>
    <row r="787" spans="1:9" x14ac:dyDescent="0.2">
      <c r="A787" t="s">
        <v>1604</v>
      </c>
      <c r="B787" t="s">
        <v>2115</v>
      </c>
      <c r="D787" t="b">
        <f>IFERROR(VLOOKUP(B787,PatData!$A$2:$A$2000,1,),"")&lt;&gt;""</f>
        <v>1</v>
      </c>
      <c r="E787">
        <v>1</v>
      </c>
      <c r="F787" t="b">
        <v>0</v>
      </c>
      <c r="G787" t="b">
        <v>1</v>
      </c>
      <c r="H787" t="b">
        <v>1</v>
      </c>
      <c r="I787" t="b">
        <v>0</v>
      </c>
    </row>
    <row r="788" spans="1:9" x14ac:dyDescent="0.2">
      <c r="A788" t="s">
        <v>1605</v>
      </c>
      <c r="B788" t="s">
        <v>2116</v>
      </c>
      <c r="D788" t="b">
        <f>IFERROR(VLOOKUP(B788,PatData!$A$2:$A$2000,1,),"")&lt;&gt;""</f>
        <v>1</v>
      </c>
      <c r="E788">
        <v>1</v>
      </c>
      <c r="F788" t="b">
        <v>0</v>
      </c>
      <c r="G788" t="b">
        <v>1</v>
      </c>
      <c r="H788" t="b">
        <v>1</v>
      </c>
      <c r="I788" t="b">
        <v>0</v>
      </c>
    </row>
    <row r="789" spans="1:9" x14ac:dyDescent="0.2">
      <c r="A789" t="s">
        <v>1606</v>
      </c>
      <c r="B789" t="s">
        <v>2117</v>
      </c>
      <c r="D789" t="b">
        <f>IFERROR(VLOOKUP(B789,PatData!$A$2:$A$2000,1,),"")&lt;&gt;""</f>
        <v>1</v>
      </c>
      <c r="E789">
        <v>1</v>
      </c>
      <c r="F789" t="b">
        <v>0</v>
      </c>
      <c r="G789" t="b">
        <v>1</v>
      </c>
      <c r="H789" t="b">
        <v>1</v>
      </c>
      <c r="I789" t="b">
        <v>0</v>
      </c>
    </row>
    <row r="790" spans="1:9" x14ac:dyDescent="0.2">
      <c r="A790" t="s">
        <v>1607</v>
      </c>
      <c r="B790" t="s">
        <v>2118</v>
      </c>
      <c r="D790" t="b">
        <f>IFERROR(VLOOKUP(B790,PatData!$A$2:$A$2000,1,),"")&lt;&gt;""</f>
        <v>1</v>
      </c>
      <c r="E790">
        <v>1</v>
      </c>
      <c r="F790" t="b">
        <v>0</v>
      </c>
      <c r="G790" t="b">
        <v>1</v>
      </c>
      <c r="H790" t="b">
        <v>1</v>
      </c>
      <c r="I790" t="b">
        <v>0</v>
      </c>
    </row>
    <row r="791" spans="1:9" x14ac:dyDescent="0.2">
      <c r="A791" t="s">
        <v>1608</v>
      </c>
      <c r="B791" t="s">
        <v>2119</v>
      </c>
      <c r="D791" t="b">
        <f>IFERROR(VLOOKUP(B791,PatData!$A$2:$A$2000,1,),"")&lt;&gt;""</f>
        <v>1</v>
      </c>
      <c r="E791">
        <v>1</v>
      </c>
      <c r="F791" t="b">
        <v>0</v>
      </c>
      <c r="G791" t="b">
        <v>1</v>
      </c>
      <c r="H791" t="b">
        <v>1</v>
      </c>
      <c r="I791" t="b">
        <v>0</v>
      </c>
    </row>
    <row r="792" spans="1:9" x14ac:dyDescent="0.2">
      <c r="A792" t="s">
        <v>1609</v>
      </c>
      <c r="B792" t="s">
        <v>2120</v>
      </c>
      <c r="D792" t="b">
        <f>IFERROR(VLOOKUP(B792,PatData!$A$2:$A$2000,1,),"")&lt;&gt;""</f>
        <v>1</v>
      </c>
      <c r="E792">
        <v>1</v>
      </c>
      <c r="F792" t="b">
        <v>0</v>
      </c>
      <c r="G792" t="b">
        <v>1</v>
      </c>
      <c r="H792" t="b">
        <v>1</v>
      </c>
      <c r="I792" t="b">
        <v>0</v>
      </c>
    </row>
    <row r="793" spans="1:9" x14ac:dyDescent="0.2">
      <c r="A793" t="s">
        <v>1610</v>
      </c>
      <c r="B793" t="s">
        <v>2121</v>
      </c>
      <c r="D793" t="b">
        <f>IFERROR(VLOOKUP(B793,PatData!$A$2:$A$2000,1,),"")&lt;&gt;""</f>
        <v>1</v>
      </c>
      <c r="E793">
        <v>1</v>
      </c>
      <c r="F793" t="b">
        <v>0</v>
      </c>
      <c r="G793" t="b">
        <v>1</v>
      </c>
      <c r="H793" t="b">
        <v>1</v>
      </c>
      <c r="I793" t="b">
        <v>0</v>
      </c>
    </row>
    <row r="794" spans="1:9" x14ac:dyDescent="0.2">
      <c r="A794" t="s">
        <v>1611</v>
      </c>
      <c r="B794" t="s">
        <v>2122</v>
      </c>
      <c r="D794" t="b">
        <f>IFERROR(VLOOKUP(B794,PatData!$A$2:$A$2000,1,),"")&lt;&gt;""</f>
        <v>1</v>
      </c>
      <c r="E794">
        <v>1</v>
      </c>
      <c r="F794" t="b">
        <v>0</v>
      </c>
      <c r="G794" t="b">
        <v>1</v>
      </c>
      <c r="H794" t="b">
        <v>1</v>
      </c>
      <c r="I794" t="b">
        <v>0</v>
      </c>
    </row>
    <row r="795" spans="1:9" x14ac:dyDescent="0.2">
      <c r="A795" t="s">
        <v>1612</v>
      </c>
      <c r="B795" t="s">
        <v>2123</v>
      </c>
      <c r="D795" t="b">
        <f>IFERROR(VLOOKUP(B795,PatData!$A$2:$A$2000,1,),"")&lt;&gt;""</f>
        <v>1</v>
      </c>
      <c r="E795">
        <v>1</v>
      </c>
      <c r="F795" t="b">
        <v>0</v>
      </c>
      <c r="G795" t="b">
        <v>1</v>
      </c>
      <c r="H795" t="b">
        <v>1</v>
      </c>
      <c r="I795" t="b">
        <v>0</v>
      </c>
    </row>
    <row r="796" spans="1:9" x14ac:dyDescent="0.2">
      <c r="A796" t="s">
        <v>1613</v>
      </c>
      <c r="B796" t="s">
        <v>2124</v>
      </c>
      <c r="D796" t="b">
        <f>IFERROR(VLOOKUP(B796,PatData!$A$2:$A$2000,1,),"")&lt;&gt;""</f>
        <v>1</v>
      </c>
      <c r="E796">
        <v>0</v>
      </c>
      <c r="F796" t="b">
        <v>0</v>
      </c>
      <c r="G796" t="b">
        <v>1</v>
      </c>
      <c r="H796" t="b">
        <v>1</v>
      </c>
      <c r="I796" t="b">
        <v>0</v>
      </c>
    </row>
    <row r="797" spans="1:9" x14ac:dyDescent="0.2">
      <c r="A797" t="s">
        <v>1230</v>
      </c>
      <c r="B797" t="s">
        <v>2125</v>
      </c>
      <c r="D797" t="b">
        <f>IFERROR(VLOOKUP(B797,PatData!$A$2:$A$2000,1,),"")&lt;&gt;""</f>
        <v>1</v>
      </c>
      <c r="E797">
        <v>50</v>
      </c>
      <c r="F797" t="b">
        <v>0</v>
      </c>
      <c r="G797" t="b">
        <v>1</v>
      </c>
      <c r="H797" t="b">
        <v>1</v>
      </c>
      <c r="I797" t="b">
        <v>0</v>
      </c>
    </row>
    <row r="798" spans="1:9" x14ac:dyDescent="0.2">
      <c r="A798" t="s">
        <v>1502</v>
      </c>
      <c r="B798" t="s">
        <v>2126</v>
      </c>
      <c r="D798" t="b">
        <f>IFERROR(VLOOKUP(B798,PatData!$A$2:$A$2000,1,),"")&lt;&gt;""</f>
        <v>1</v>
      </c>
      <c r="E798" t="b">
        <v>0</v>
      </c>
      <c r="F798" t="b">
        <v>0</v>
      </c>
      <c r="G798" t="b">
        <v>1</v>
      </c>
      <c r="H798" t="b">
        <v>1</v>
      </c>
      <c r="I798" t="b">
        <v>0</v>
      </c>
    </row>
    <row r="799" spans="1:9" x14ac:dyDescent="0.2">
      <c r="A799" t="s">
        <v>1230</v>
      </c>
      <c r="B799" t="s">
        <v>2001</v>
      </c>
      <c r="D799" t="b">
        <f>IFERROR(VLOOKUP(B799,PatData!$A$2:$A$2000,1,),"")&lt;&gt;""</f>
        <v>1</v>
      </c>
      <c r="E799">
        <v>50</v>
      </c>
      <c r="F799" t="b">
        <v>0</v>
      </c>
      <c r="G799" t="b">
        <v>1</v>
      </c>
      <c r="H799" t="b">
        <v>1</v>
      </c>
      <c r="I799" t="b">
        <v>0</v>
      </c>
    </row>
    <row r="800" spans="1:9" x14ac:dyDescent="0.2">
      <c r="A800" t="s">
        <v>4842</v>
      </c>
      <c r="B800" t="s">
        <v>5178</v>
      </c>
      <c r="D800" t="b">
        <f>IFERROR(VLOOKUP(B800,PatData!$A$2:$A$2000,1,),"")&lt;&gt;""</f>
        <v>1</v>
      </c>
      <c r="E800">
        <v>0</v>
      </c>
      <c r="F800" t="b">
        <v>0</v>
      </c>
      <c r="G800" t="b">
        <v>1</v>
      </c>
      <c r="H800" t="b">
        <v>1</v>
      </c>
      <c r="I800" t="b">
        <v>0</v>
      </c>
    </row>
    <row r="801" spans="1:9" x14ac:dyDescent="0.2">
      <c r="A801" t="s">
        <v>4854</v>
      </c>
      <c r="B801" t="s">
        <v>5179</v>
      </c>
      <c r="D801" t="b">
        <f>IFERROR(VLOOKUP(B801,PatData!$A$2:$A$2000,1,),"")&lt;&gt;""</f>
        <v>1</v>
      </c>
      <c r="E801">
        <v>1</v>
      </c>
      <c r="F801" t="b">
        <v>0</v>
      </c>
      <c r="G801" t="b">
        <v>1</v>
      </c>
      <c r="H801" t="b">
        <v>1</v>
      </c>
      <c r="I801" t="b">
        <v>0</v>
      </c>
    </row>
    <row r="802" spans="1:9" x14ac:dyDescent="0.2">
      <c r="A802" t="s">
        <v>4855</v>
      </c>
      <c r="B802" t="s">
        <v>5180</v>
      </c>
      <c r="D802" t="b">
        <f>IFERROR(VLOOKUP(B802,PatData!$A$2:$A$2000,1,),"")&lt;&gt;""</f>
        <v>1</v>
      </c>
      <c r="E802">
        <v>1</v>
      </c>
      <c r="F802" t="b">
        <v>0</v>
      </c>
      <c r="G802" t="b">
        <v>1</v>
      </c>
      <c r="H802" t="b">
        <v>1</v>
      </c>
      <c r="I802" t="b">
        <v>0</v>
      </c>
    </row>
    <row r="803" spans="1:9" x14ac:dyDescent="0.2">
      <c r="A803" t="s">
        <v>4856</v>
      </c>
      <c r="B803" t="s">
        <v>5181</v>
      </c>
      <c r="D803" t="b">
        <f>IFERROR(VLOOKUP(B803,PatData!$A$2:$A$2000,1,),"")&lt;&gt;""</f>
        <v>1</v>
      </c>
      <c r="E803">
        <v>1</v>
      </c>
      <c r="F803" t="b">
        <v>0</v>
      </c>
      <c r="G803" t="b">
        <v>1</v>
      </c>
      <c r="H803" t="b">
        <v>1</v>
      </c>
      <c r="I803" t="b">
        <v>0</v>
      </c>
    </row>
    <row r="804" spans="1:9" x14ac:dyDescent="0.2">
      <c r="A804" t="s">
        <v>4857</v>
      </c>
      <c r="B804" t="s">
        <v>5182</v>
      </c>
      <c r="D804" t="b">
        <f>IFERROR(VLOOKUP(B804,PatData!$A$2:$A$2000,1,),"")&lt;&gt;""</f>
        <v>1</v>
      </c>
      <c r="E804">
        <v>1</v>
      </c>
      <c r="F804" t="b">
        <v>0</v>
      </c>
      <c r="G804" t="b">
        <v>1</v>
      </c>
      <c r="H804" t="b">
        <v>1</v>
      </c>
      <c r="I804" t="b">
        <v>0</v>
      </c>
    </row>
    <row r="805" spans="1:9" x14ac:dyDescent="0.2">
      <c r="A805" t="s">
        <v>4858</v>
      </c>
      <c r="B805" t="s">
        <v>5183</v>
      </c>
      <c r="D805" t="b">
        <f>IFERROR(VLOOKUP(B805,PatData!$A$2:$A$2000,1,),"")&lt;&gt;""</f>
        <v>1</v>
      </c>
      <c r="E805">
        <v>1</v>
      </c>
      <c r="F805" t="b">
        <v>0</v>
      </c>
      <c r="G805" t="b">
        <v>1</v>
      </c>
      <c r="H805" t="b">
        <v>1</v>
      </c>
      <c r="I805" t="b">
        <v>0</v>
      </c>
    </row>
    <row r="806" spans="1:9" x14ac:dyDescent="0.2">
      <c r="A806" t="s">
        <v>4859</v>
      </c>
      <c r="B806" t="s">
        <v>5184</v>
      </c>
      <c r="D806" t="b">
        <f>IFERROR(VLOOKUP(B806,PatData!$A$2:$A$2000,1,),"")&lt;&gt;""</f>
        <v>1</v>
      </c>
      <c r="E806">
        <v>1</v>
      </c>
      <c r="F806" t="b">
        <v>0</v>
      </c>
      <c r="G806" t="b">
        <v>1</v>
      </c>
      <c r="H806" t="b">
        <v>1</v>
      </c>
      <c r="I806" t="b">
        <v>0</v>
      </c>
    </row>
    <row r="807" spans="1:9" x14ac:dyDescent="0.2">
      <c r="A807" t="s">
        <v>4860</v>
      </c>
      <c r="B807" t="s">
        <v>5185</v>
      </c>
      <c r="D807" t="b">
        <f>IFERROR(VLOOKUP(B807,PatData!$A$2:$A$2000,1,),"")&lt;&gt;""</f>
        <v>1</v>
      </c>
      <c r="E807">
        <v>1</v>
      </c>
      <c r="F807" t="b">
        <v>0</v>
      </c>
      <c r="G807" t="b">
        <v>1</v>
      </c>
      <c r="H807" t="b">
        <v>1</v>
      </c>
      <c r="I807" t="b">
        <v>0</v>
      </c>
    </row>
    <row r="808" spans="1:9" x14ac:dyDescent="0.2">
      <c r="A808" t="s">
        <v>4861</v>
      </c>
      <c r="B808" t="s">
        <v>5186</v>
      </c>
      <c r="D808" t="b">
        <f>IFERROR(VLOOKUP(B808,PatData!$A$2:$A$2000,1,),"")&lt;&gt;""</f>
        <v>1</v>
      </c>
      <c r="E808">
        <v>1</v>
      </c>
      <c r="F808" t="b">
        <v>0</v>
      </c>
      <c r="G808" t="b">
        <v>1</v>
      </c>
      <c r="H808" t="b">
        <v>1</v>
      </c>
      <c r="I808" t="b">
        <v>0</v>
      </c>
    </row>
    <row r="809" spans="1:9" x14ac:dyDescent="0.2">
      <c r="A809" t="s">
        <v>4862</v>
      </c>
      <c r="B809" t="s">
        <v>5187</v>
      </c>
      <c r="D809" t="b">
        <f>IFERROR(VLOOKUP(B809,PatData!$A$2:$A$2000,1,),"")&lt;&gt;""</f>
        <v>1</v>
      </c>
      <c r="E809">
        <v>1</v>
      </c>
      <c r="F809" t="b">
        <v>0</v>
      </c>
      <c r="G809" t="b">
        <v>1</v>
      </c>
      <c r="H809" t="b">
        <v>1</v>
      </c>
      <c r="I809" t="b">
        <v>0</v>
      </c>
    </row>
    <row r="810" spans="1:9" x14ac:dyDescent="0.2">
      <c r="A810" t="s">
        <v>4863</v>
      </c>
      <c r="B810" t="s">
        <v>5188</v>
      </c>
      <c r="D810" t="b">
        <f>IFERROR(VLOOKUP(B810,PatData!$A$2:$A$2000,1,),"")&lt;&gt;""</f>
        <v>1</v>
      </c>
      <c r="E810">
        <v>0</v>
      </c>
      <c r="F810" t="b">
        <v>0</v>
      </c>
      <c r="G810" t="b">
        <v>1</v>
      </c>
      <c r="H810" t="b">
        <v>1</v>
      </c>
      <c r="I810" t="b">
        <v>0</v>
      </c>
    </row>
    <row r="811" spans="1:9" x14ac:dyDescent="0.2">
      <c r="A811" t="s">
        <v>4864</v>
      </c>
      <c r="B811" t="s">
        <v>5189</v>
      </c>
      <c r="D811" t="b">
        <f>IFERROR(VLOOKUP(B811,PatData!$A$2:$A$2000,1,),"")&lt;&gt;""</f>
        <v>1</v>
      </c>
      <c r="E811">
        <v>0</v>
      </c>
      <c r="F811" t="b">
        <v>0</v>
      </c>
      <c r="G811" t="b">
        <v>1</v>
      </c>
      <c r="H811" t="b">
        <v>1</v>
      </c>
      <c r="I811" t="b">
        <v>0</v>
      </c>
    </row>
    <row r="812" spans="1:9" s="315" customFormat="1" x14ac:dyDescent="0.2">
      <c r="A812" t="s">
        <v>4865</v>
      </c>
      <c r="B812" t="s">
        <v>5190</v>
      </c>
      <c r="C812"/>
      <c r="D812" t="b">
        <f>IFERROR(VLOOKUP(B812,PatData!$A$2:$A$2000,1,),"")&lt;&gt;""</f>
        <v>1</v>
      </c>
      <c r="E812">
        <v>0</v>
      </c>
      <c r="F812" t="b">
        <v>0</v>
      </c>
      <c r="G812" t="b">
        <v>1</v>
      </c>
      <c r="H812" t="b">
        <v>1</v>
      </c>
      <c r="I812" t="b">
        <v>0</v>
      </c>
    </row>
    <row r="813" spans="1:9" s="315" customFormat="1" x14ac:dyDescent="0.2">
      <c r="A813" t="s">
        <v>4866</v>
      </c>
      <c r="B813" t="s">
        <v>5191</v>
      </c>
      <c r="C813"/>
      <c r="D813" t="b">
        <f>IFERROR(VLOOKUP(B813,PatData!$A$2:$A$2000,1,),"")&lt;&gt;""</f>
        <v>1</v>
      </c>
      <c r="E813">
        <v>0</v>
      </c>
      <c r="F813" t="b">
        <v>0</v>
      </c>
      <c r="G813" t="b">
        <v>1</v>
      </c>
      <c r="H813" t="b">
        <v>1</v>
      </c>
      <c r="I813" t="b">
        <v>0</v>
      </c>
    </row>
    <row r="814" spans="1:9" s="315" customFormat="1" x14ac:dyDescent="0.2">
      <c r="A814" t="s">
        <v>4867</v>
      </c>
      <c r="B814" t="s">
        <v>5192</v>
      </c>
      <c r="C814"/>
      <c r="D814" t="b">
        <f>IFERROR(VLOOKUP(B814,PatData!$A$2:$A$2000,1,),"")&lt;&gt;""</f>
        <v>1</v>
      </c>
      <c r="E814">
        <v>0</v>
      </c>
      <c r="F814" t="b">
        <v>0</v>
      </c>
      <c r="G814" t="b">
        <v>1</v>
      </c>
      <c r="H814" t="b">
        <v>1</v>
      </c>
      <c r="I814" t="b">
        <v>0</v>
      </c>
    </row>
    <row r="815" spans="1:9" s="315" customFormat="1" x14ac:dyDescent="0.2">
      <c r="A815" t="s">
        <v>4868</v>
      </c>
      <c r="B815" t="s">
        <v>5193</v>
      </c>
      <c r="C815"/>
      <c r="D815" t="b">
        <f>IFERROR(VLOOKUP(B815,PatData!$A$2:$A$2000,1,),"")&lt;&gt;""</f>
        <v>1</v>
      </c>
      <c r="E815">
        <v>0</v>
      </c>
      <c r="F815" t="b">
        <v>0</v>
      </c>
      <c r="G815" t="b">
        <v>1</v>
      </c>
      <c r="H815" t="b">
        <v>1</v>
      </c>
      <c r="I815" t="b">
        <v>0</v>
      </c>
    </row>
    <row r="816" spans="1:9" s="315" customFormat="1" x14ac:dyDescent="0.2">
      <c r="A816" t="s">
        <v>4869</v>
      </c>
      <c r="B816" t="s">
        <v>5194</v>
      </c>
      <c r="C816"/>
      <c r="D816" t="b">
        <f>IFERROR(VLOOKUP(B816,PatData!$A$2:$A$2000,1,),"")&lt;&gt;""</f>
        <v>1</v>
      </c>
      <c r="E816">
        <v>0</v>
      </c>
      <c r="F816" t="b">
        <v>0</v>
      </c>
      <c r="G816" t="b">
        <v>1</v>
      </c>
      <c r="H816" t="b">
        <v>1</v>
      </c>
      <c r="I816" t="b">
        <v>0</v>
      </c>
    </row>
    <row r="817" spans="1:9" s="315" customFormat="1" x14ac:dyDescent="0.2">
      <c r="A817" t="s">
        <v>4870</v>
      </c>
      <c r="B817" t="s">
        <v>5195</v>
      </c>
      <c r="C817"/>
      <c r="D817" t="b">
        <f>IFERROR(VLOOKUP(B817,PatData!$A$2:$A$2000,1,),"")&lt;&gt;""</f>
        <v>1</v>
      </c>
      <c r="E817">
        <v>0</v>
      </c>
      <c r="F817" t="b">
        <v>0</v>
      </c>
      <c r="G817" t="b">
        <v>1</v>
      </c>
      <c r="H817" t="b">
        <v>1</v>
      </c>
      <c r="I817" t="b">
        <v>0</v>
      </c>
    </row>
    <row r="818" spans="1:9" s="315" customFormat="1" x14ac:dyDescent="0.2">
      <c r="A818" t="s">
        <v>4871</v>
      </c>
      <c r="B818" t="s">
        <v>5196</v>
      </c>
      <c r="C818"/>
      <c r="D818" t="b">
        <f>IFERROR(VLOOKUP(B818,PatData!$A$2:$A$2000,1,),"")&lt;&gt;""</f>
        <v>1</v>
      </c>
      <c r="E818">
        <v>0</v>
      </c>
      <c r="F818" t="b">
        <v>0</v>
      </c>
      <c r="G818" t="b">
        <v>1</v>
      </c>
      <c r="H818" t="b">
        <v>1</v>
      </c>
      <c r="I818" t="b">
        <v>0</v>
      </c>
    </row>
    <row r="819" spans="1:9" s="315" customFormat="1" x14ac:dyDescent="0.2">
      <c r="A819" t="s">
        <v>4872</v>
      </c>
      <c r="B819" t="s">
        <v>5197</v>
      </c>
      <c r="C819"/>
      <c r="D819" t="b">
        <f>IFERROR(VLOOKUP(B819,PatData!$A$2:$A$2000,1,),"")&lt;&gt;""</f>
        <v>1</v>
      </c>
      <c r="E819"/>
      <c r="F819" t="b">
        <v>0</v>
      </c>
      <c r="G819" t="b">
        <v>1</v>
      </c>
      <c r="H819" t="b">
        <v>1</v>
      </c>
      <c r="I819" t="b">
        <v>0</v>
      </c>
    </row>
    <row r="820" spans="1:9" s="315" customFormat="1" x14ac:dyDescent="0.2">
      <c r="A820" t="s">
        <v>4873</v>
      </c>
      <c r="B820" t="s">
        <v>5198</v>
      </c>
      <c r="C820"/>
      <c r="D820" t="b">
        <f>IFERROR(VLOOKUP(B820,PatData!$A$2:$A$2000,1,),"")&lt;&gt;""</f>
        <v>1</v>
      </c>
      <c r="E820"/>
      <c r="F820" t="b">
        <v>0</v>
      </c>
      <c r="G820" t="b">
        <v>1</v>
      </c>
      <c r="H820" t="b">
        <v>1</v>
      </c>
      <c r="I820" t="b">
        <v>0</v>
      </c>
    </row>
    <row r="821" spans="1:9" s="315" customFormat="1" x14ac:dyDescent="0.2">
      <c r="A821" t="s">
        <v>4876</v>
      </c>
      <c r="B821" t="s">
        <v>5199</v>
      </c>
      <c r="C821"/>
      <c r="D821" t="b">
        <f>IFERROR(VLOOKUP(B821,PatData!$A$2:$A$2000,1,),"")&lt;&gt;""</f>
        <v>1</v>
      </c>
      <c r="E821">
        <v>0</v>
      </c>
      <c r="F821" t="b">
        <v>0</v>
      </c>
      <c r="G821" t="b">
        <v>1</v>
      </c>
      <c r="H821" t="b">
        <v>1</v>
      </c>
      <c r="I821" t="b">
        <v>0</v>
      </c>
    </row>
    <row r="822" spans="1:9" s="315" customFormat="1" x14ac:dyDescent="0.2">
      <c r="A822" t="s">
        <v>4877</v>
      </c>
      <c r="B822" t="s">
        <v>5200</v>
      </c>
      <c r="C822"/>
      <c r="D822" t="b">
        <f>IFERROR(VLOOKUP(B822,PatData!$A$2:$A$2000,1,),"")&lt;&gt;""</f>
        <v>1</v>
      </c>
      <c r="E822">
        <v>0</v>
      </c>
      <c r="F822" t="b">
        <v>0</v>
      </c>
      <c r="G822" t="b">
        <v>1</v>
      </c>
      <c r="H822" t="b">
        <v>1</v>
      </c>
      <c r="I822" t="b">
        <v>0</v>
      </c>
    </row>
    <row r="823" spans="1:9" s="315" customFormat="1" x14ac:dyDescent="0.2">
      <c r="A823" t="s">
        <v>4878</v>
      </c>
      <c r="B823" t="s">
        <v>5201</v>
      </c>
      <c r="C823"/>
      <c r="D823" t="b">
        <f>IFERROR(VLOOKUP(B823,PatData!$A$2:$A$2000,1,),"")&lt;&gt;""</f>
        <v>1</v>
      </c>
      <c r="E823">
        <v>0</v>
      </c>
      <c r="F823" t="b">
        <v>0</v>
      </c>
      <c r="G823" t="b">
        <v>1</v>
      </c>
      <c r="H823" t="b">
        <v>1</v>
      </c>
      <c r="I823" t="b">
        <v>0</v>
      </c>
    </row>
    <row r="824" spans="1:9" s="315" customFormat="1" x14ac:dyDescent="0.2">
      <c r="A824" t="s">
        <v>4879</v>
      </c>
      <c r="B824" t="s">
        <v>5202</v>
      </c>
      <c r="C824"/>
      <c r="D824" t="b">
        <f>IFERROR(VLOOKUP(B824,PatData!$A$2:$A$2000,1,),"")&lt;&gt;""</f>
        <v>1</v>
      </c>
      <c r="E824">
        <v>0</v>
      </c>
      <c r="F824" t="b">
        <v>0</v>
      </c>
      <c r="G824" t="b">
        <v>1</v>
      </c>
      <c r="H824" t="b">
        <v>1</v>
      </c>
      <c r="I824" t="b">
        <v>0</v>
      </c>
    </row>
    <row r="825" spans="1:9" s="315" customFormat="1" x14ac:dyDescent="0.2">
      <c r="A825" t="s">
        <v>4880</v>
      </c>
      <c r="B825" t="s">
        <v>5203</v>
      </c>
      <c r="C825"/>
      <c r="D825" t="b">
        <f>IFERROR(VLOOKUP(B825,PatData!$A$2:$A$2000,1,),"")&lt;&gt;""</f>
        <v>1</v>
      </c>
      <c r="E825">
        <v>0</v>
      </c>
      <c r="F825" t="b">
        <v>0</v>
      </c>
      <c r="G825" t="b">
        <v>1</v>
      </c>
      <c r="H825" t="b">
        <v>1</v>
      </c>
      <c r="I825" t="b">
        <v>0</v>
      </c>
    </row>
    <row r="826" spans="1:9" s="315" customFormat="1" x14ac:dyDescent="0.2">
      <c r="A826" t="s">
        <v>4881</v>
      </c>
      <c r="B826" t="s">
        <v>5204</v>
      </c>
      <c r="C826"/>
      <c r="D826" t="b">
        <f>IFERROR(VLOOKUP(B826,PatData!$A$2:$A$2000,1,),"")&lt;&gt;""</f>
        <v>1</v>
      </c>
      <c r="E826">
        <v>0</v>
      </c>
      <c r="F826" t="b">
        <v>0</v>
      </c>
      <c r="G826" t="b">
        <v>1</v>
      </c>
      <c r="H826" t="b">
        <v>1</v>
      </c>
      <c r="I826" t="b">
        <v>0</v>
      </c>
    </row>
    <row r="827" spans="1:9" s="315" customFormat="1" x14ac:dyDescent="0.2">
      <c r="A827" t="s">
        <v>4882</v>
      </c>
      <c r="B827" t="s">
        <v>5205</v>
      </c>
      <c r="C827"/>
      <c r="D827" t="b">
        <f>IFERROR(VLOOKUP(B827,PatData!$A$2:$A$2000,1,),"")&lt;&gt;""</f>
        <v>1</v>
      </c>
      <c r="E827">
        <v>0</v>
      </c>
      <c r="F827" t="b">
        <v>0</v>
      </c>
      <c r="G827" t="b">
        <v>1</v>
      </c>
      <c r="H827" t="b">
        <v>1</v>
      </c>
      <c r="I827" t="b">
        <v>0</v>
      </c>
    </row>
    <row r="828" spans="1:9" s="315" customFormat="1" x14ac:dyDescent="0.2">
      <c r="A828" t="s">
        <v>4883</v>
      </c>
      <c r="B828" t="s">
        <v>5206</v>
      </c>
      <c r="C828"/>
      <c r="D828" t="b">
        <f>IFERROR(VLOOKUP(B828,PatData!$A$2:$A$2000,1,),"")&lt;&gt;""</f>
        <v>1</v>
      </c>
      <c r="E828">
        <v>0</v>
      </c>
      <c r="F828" t="b">
        <v>0</v>
      </c>
      <c r="G828" t="b">
        <v>1</v>
      </c>
      <c r="H828" t="b">
        <v>1</v>
      </c>
      <c r="I828" t="b">
        <v>0</v>
      </c>
    </row>
    <row r="829" spans="1:9" s="315" customFormat="1" x14ac:dyDescent="0.2">
      <c r="A829" t="s">
        <v>4884</v>
      </c>
      <c r="B829" t="s">
        <v>5207</v>
      </c>
      <c r="C829"/>
      <c r="D829" t="b">
        <f>IFERROR(VLOOKUP(B829,PatData!$A$2:$A$2000,1,),"")&lt;&gt;""</f>
        <v>1</v>
      </c>
      <c r="E829">
        <v>0</v>
      </c>
      <c r="F829" t="b">
        <v>0</v>
      </c>
      <c r="G829" t="b">
        <v>1</v>
      </c>
      <c r="H829" t="b">
        <v>1</v>
      </c>
      <c r="I829" t="b">
        <v>0</v>
      </c>
    </row>
    <row r="830" spans="1:9" s="315" customFormat="1" x14ac:dyDescent="0.2">
      <c r="A830" t="s">
        <v>4885</v>
      </c>
      <c r="B830" t="s">
        <v>5208</v>
      </c>
      <c r="C830"/>
      <c r="D830" t="b">
        <f>IFERROR(VLOOKUP(B830,PatData!$A$2:$A$2000,1,),"")&lt;&gt;""</f>
        <v>1</v>
      </c>
      <c r="E830">
        <v>1</v>
      </c>
      <c r="F830" t="b">
        <v>0</v>
      </c>
      <c r="G830" t="b">
        <v>1</v>
      </c>
      <c r="H830" t="b">
        <v>1</v>
      </c>
      <c r="I830" t="b">
        <v>0</v>
      </c>
    </row>
    <row r="831" spans="1:9" s="315" customFormat="1" x14ac:dyDescent="0.2">
      <c r="A831" t="s">
        <v>4886</v>
      </c>
      <c r="B831" t="s">
        <v>5209</v>
      </c>
      <c r="C831"/>
      <c r="D831" t="b">
        <f>IFERROR(VLOOKUP(B831,PatData!$A$2:$A$2000,1,),"")&lt;&gt;""</f>
        <v>1</v>
      </c>
      <c r="E831">
        <v>1</v>
      </c>
      <c r="F831" t="b">
        <v>0</v>
      </c>
      <c r="G831" t="b">
        <v>1</v>
      </c>
      <c r="H831" t="b">
        <v>1</v>
      </c>
      <c r="I831" t="b">
        <v>0</v>
      </c>
    </row>
    <row r="832" spans="1:9" s="315" customFormat="1" x14ac:dyDescent="0.2">
      <c r="A832" t="s">
        <v>4887</v>
      </c>
      <c r="B832" t="s">
        <v>5210</v>
      </c>
      <c r="C832"/>
      <c r="D832" t="b">
        <f>IFERROR(VLOOKUP(B832,PatData!$A$2:$A$2000,1,),"")&lt;&gt;""</f>
        <v>1</v>
      </c>
      <c r="E832">
        <v>1</v>
      </c>
      <c r="F832" t="b">
        <v>0</v>
      </c>
      <c r="G832" t="b">
        <v>1</v>
      </c>
      <c r="H832" t="b">
        <v>1</v>
      </c>
      <c r="I832" t="b">
        <v>0</v>
      </c>
    </row>
    <row r="833" spans="1:9" s="315" customFormat="1" x14ac:dyDescent="0.2">
      <c r="A833" t="s">
        <v>4888</v>
      </c>
      <c r="B833" t="s">
        <v>5211</v>
      </c>
      <c r="C833"/>
      <c r="D833" t="b">
        <f>IFERROR(VLOOKUP(B833,PatData!$A$2:$A$2000,1,),"")&lt;&gt;""</f>
        <v>1</v>
      </c>
      <c r="E833">
        <v>1</v>
      </c>
      <c r="F833" t="b">
        <v>0</v>
      </c>
      <c r="G833" t="b">
        <v>1</v>
      </c>
      <c r="H833" t="b">
        <v>1</v>
      </c>
      <c r="I833" t="b">
        <v>0</v>
      </c>
    </row>
    <row r="834" spans="1:9" s="315" customFormat="1" x14ac:dyDescent="0.2">
      <c r="A834" t="s">
        <v>4889</v>
      </c>
      <c r="B834" t="s">
        <v>5212</v>
      </c>
      <c r="C834"/>
      <c r="D834" t="b">
        <f>IFERROR(VLOOKUP(B834,PatData!$A$2:$A$2000,1,),"")&lt;&gt;""</f>
        <v>1</v>
      </c>
      <c r="E834">
        <v>1</v>
      </c>
      <c r="F834" t="b">
        <v>0</v>
      </c>
      <c r="G834" t="b">
        <v>1</v>
      </c>
      <c r="H834" t="b">
        <v>1</v>
      </c>
      <c r="I834" t="b">
        <v>0</v>
      </c>
    </row>
    <row r="835" spans="1:9" s="315" customFormat="1" x14ac:dyDescent="0.2">
      <c r="A835" t="s">
        <v>4890</v>
      </c>
      <c r="B835" t="s">
        <v>5213</v>
      </c>
      <c r="C835"/>
      <c r="D835" t="b">
        <f>IFERROR(VLOOKUP(B835,PatData!$A$2:$A$2000,1,),"")&lt;&gt;""</f>
        <v>1</v>
      </c>
      <c r="E835">
        <v>1</v>
      </c>
      <c r="F835" t="b">
        <v>0</v>
      </c>
      <c r="G835" t="b">
        <v>1</v>
      </c>
      <c r="H835" t="b">
        <v>1</v>
      </c>
      <c r="I835" t="b">
        <v>0</v>
      </c>
    </row>
    <row r="836" spans="1:9" s="315" customFormat="1" x14ac:dyDescent="0.2">
      <c r="A836" t="s">
        <v>4891</v>
      </c>
      <c r="B836" t="s">
        <v>5214</v>
      </c>
      <c r="C836"/>
      <c r="D836" t="b">
        <f>IFERROR(VLOOKUP(B836,PatData!$A$2:$A$2000,1,),"")&lt;&gt;""</f>
        <v>1</v>
      </c>
      <c r="E836">
        <v>1</v>
      </c>
      <c r="F836" t="b">
        <v>0</v>
      </c>
      <c r="G836" t="b">
        <v>1</v>
      </c>
      <c r="H836" t="b">
        <v>1</v>
      </c>
      <c r="I836" t="b">
        <v>0</v>
      </c>
    </row>
    <row r="837" spans="1:9" s="315" customFormat="1" x14ac:dyDescent="0.2">
      <c r="A837" t="s">
        <v>4892</v>
      </c>
      <c r="B837" t="s">
        <v>5215</v>
      </c>
      <c r="C837"/>
      <c r="D837" t="b">
        <f>IFERROR(VLOOKUP(B837,PatData!$A$2:$A$2000,1,),"")&lt;&gt;""</f>
        <v>1</v>
      </c>
      <c r="E837">
        <v>1</v>
      </c>
      <c r="F837" t="b">
        <v>0</v>
      </c>
      <c r="G837" t="b">
        <v>1</v>
      </c>
      <c r="H837" t="b">
        <v>1</v>
      </c>
      <c r="I837" t="b">
        <v>0</v>
      </c>
    </row>
    <row r="838" spans="1:9" s="315" customFormat="1" x14ac:dyDescent="0.2">
      <c r="A838" t="s">
        <v>4893</v>
      </c>
      <c r="B838" t="s">
        <v>5216</v>
      </c>
      <c r="C838"/>
      <c r="D838" t="b">
        <f>IFERROR(VLOOKUP(B838,PatData!$A$2:$A$2000,1,),"")&lt;&gt;""</f>
        <v>1</v>
      </c>
      <c r="E838">
        <v>1</v>
      </c>
      <c r="F838" t="b">
        <v>0</v>
      </c>
      <c r="G838" t="b">
        <v>1</v>
      </c>
      <c r="H838" t="b">
        <v>1</v>
      </c>
      <c r="I838" t="b">
        <v>0</v>
      </c>
    </row>
    <row r="839" spans="1:9" s="315" customFormat="1" x14ac:dyDescent="0.2">
      <c r="A839" t="s">
        <v>4894</v>
      </c>
      <c r="B839" t="s">
        <v>5217</v>
      </c>
      <c r="C839"/>
      <c r="D839" t="b">
        <f>IFERROR(VLOOKUP(B839,PatData!$A$2:$A$2000,1,),"")&lt;&gt;""</f>
        <v>1</v>
      </c>
      <c r="E839">
        <v>0</v>
      </c>
      <c r="F839" t="b">
        <v>0</v>
      </c>
      <c r="G839" t="b">
        <v>1</v>
      </c>
      <c r="H839" t="b">
        <v>1</v>
      </c>
      <c r="I839" t="b">
        <v>0</v>
      </c>
    </row>
    <row r="840" spans="1:9" s="315" customFormat="1" x14ac:dyDescent="0.2">
      <c r="A840" t="s">
        <v>4895</v>
      </c>
      <c r="B840" t="s">
        <v>5218</v>
      </c>
      <c r="C840"/>
      <c r="D840" t="b">
        <f>IFERROR(VLOOKUP(B840,PatData!$A$2:$A$2000,1,),"")&lt;&gt;""</f>
        <v>1</v>
      </c>
      <c r="E840">
        <v>0</v>
      </c>
      <c r="F840" t="b">
        <v>0</v>
      </c>
      <c r="G840" t="b">
        <v>1</v>
      </c>
      <c r="H840" t="b">
        <v>1</v>
      </c>
      <c r="I840" t="b">
        <v>0</v>
      </c>
    </row>
    <row r="841" spans="1:9" s="315" customFormat="1" x14ac:dyDescent="0.2">
      <c r="A841" t="s">
        <v>4896</v>
      </c>
      <c r="B841" t="s">
        <v>5219</v>
      </c>
      <c r="C841"/>
      <c r="D841" t="b">
        <f>IFERROR(VLOOKUP(B841,PatData!$A$2:$A$2000,1,),"")&lt;&gt;""</f>
        <v>1</v>
      </c>
      <c r="E841">
        <v>0</v>
      </c>
      <c r="F841" t="b">
        <v>0</v>
      </c>
      <c r="G841" t="b">
        <v>1</v>
      </c>
      <c r="H841" t="b">
        <v>1</v>
      </c>
      <c r="I841" t="b">
        <v>0</v>
      </c>
    </row>
    <row r="842" spans="1:9" s="315" customFormat="1" x14ac:dyDescent="0.2">
      <c r="A842" t="s">
        <v>4910</v>
      </c>
      <c r="B842" t="s">
        <v>5220</v>
      </c>
      <c r="C842"/>
      <c r="D842" t="b">
        <f>IFERROR(VLOOKUP(B842,PatData!$A$2:$A$2000,1,),"")&lt;&gt;""</f>
        <v>1</v>
      </c>
      <c r="E842">
        <v>0</v>
      </c>
      <c r="F842" t="b">
        <v>0</v>
      </c>
      <c r="G842" t="b">
        <v>1</v>
      </c>
      <c r="H842" t="b">
        <v>1</v>
      </c>
      <c r="I842" t="b">
        <v>0</v>
      </c>
    </row>
    <row r="843" spans="1:9" s="315" customFormat="1" x14ac:dyDescent="0.2">
      <c r="A843" t="s">
        <v>4911</v>
      </c>
      <c r="B843" t="s">
        <v>5221</v>
      </c>
      <c r="C843"/>
      <c r="D843" t="b">
        <f>IFERROR(VLOOKUP(B843,PatData!$A$2:$A$2000,1,),"")&lt;&gt;""</f>
        <v>1</v>
      </c>
      <c r="E843">
        <v>0</v>
      </c>
      <c r="F843" t="b">
        <v>0</v>
      </c>
      <c r="G843" t="b">
        <v>1</v>
      </c>
      <c r="H843" t="b">
        <v>1</v>
      </c>
      <c r="I843" t="b">
        <v>0</v>
      </c>
    </row>
    <row r="844" spans="1:9" s="315" customFormat="1" x14ac:dyDescent="0.2">
      <c r="A844" t="s">
        <v>4912</v>
      </c>
      <c r="B844" t="s">
        <v>5222</v>
      </c>
      <c r="C844"/>
      <c r="D844" t="b">
        <f>IFERROR(VLOOKUP(B844,PatData!$A$2:$A$2000,1,),"")&lt;&gt;""</f>
        <v>1</v>
      </c>
      <c r="E844">
        <v>0</v>
      </c>
      <c r="F844" t="b">
        <v>0</v>
      </c>
      <c r="G844" t="b">
        <v>1</v>
      </c>
      <c r="H844" t="b">
        <v>1</v>
      </c>
      <c r="I844" t="b">
        <v>0</v>
      </c>
    </row>
    <row r="845" spans="1:9" s="315" customFormat="1" x14ac:dyDescent="0.2">
      <c r="A845" t="s">
        <v>4913</v>
      </c>
      <c r="B845" t="s">
        <v>5223</v>
      </c>
      <c r="C845"/>
      <c r="D845" t="b">
        <f>IFERROR(VLOOKUP(B845,PatData!$A$2:$A$2000,1,),"")&lt;&gt;""</f>
        <v>1</v>
      </c>
      <c r="E845">
        <v>0</v>
      </c>
      <c r="F845" t="b">
        <v>0</v>
      </c>
      <c r="G845" t="b">
        <v>1</v>
      </c>
      <c r="H845" t="b">
        <v>1</v>
      </c>
      <c r="I845" t="b">
        <v>0</v>
      </c>
    </row>
    <row r="846" spans="1:9" s="315" customFormat="1" x14ac:dyDescent="0.2">
      <c r="A846" t="s">
        <v>4914</v>
      </c>
      <c r="B846" t="s">
        <v>5224</v>
      </c>
      <c r="C846"/>
      <c r="D846" t="b">
        <f>IFERROR(VLOOKUP(B846,PatData!$A$2:$A$2000,1,),"")&lt;&gt;""</f>
        <v>1</v>
      </c>
      <c r="E846">
        <v>0</v>
      </c>
      <c r="F846" t="b">
        <v>0</v>
      </c>
      <c r="G846" t="b">
        <v>1</v>
      </c>
      <c r="H846" t="b">
        <v>1</v>
      </c>
      <c r="I846" t="b">
        <v>0</v>
      </c>
    </row>
    <row r="847" spans="1:9" s="315" customFormat="1" x14ac:dyDescent="0.2">
      <c r="A847" t="s">
        <v>4915</v>
      </c>
      <c r="B847" t="s">
        <v>5225</v>
      </c>
      <c r="C847"/>
      <c r="D847" t="b">
        <f>IFERROR(VLOOKUP(B847,PatData!$A$2:$A$2000,1,),"")&lt;&gt;""</f>
        <v>1</v>
      </c>
      <c r="E847">
        <v>0</v>
      </c>
      <c r="F847" t="b">
        <v>0</v>
      </c>
      <c r="G847" t="b">
        <v>1</v>
      </c>
      <c r="H847" t="b">
        <v>1</v>
      </c>
      <c r="I847" t="b">
        <v>0</v>
      </c>
    </row>
    <row r="848" spans="1:9" s="315" customFormat="1" x14ac:dyDescent="0.2">
      <c r="A848" t="s">
        <v>4916</v>
      </c>
      <c r="B848" t="s">
        <v>5226</v>
      </c>
      <c r="C848"/>
      <c r="D848" t="b">
        <f>IFERROR(VLOOKUP(B848,PatData!$A$2:$A$2000,1,),"")&lt;&gt;""</f>
        <v>1</v>
      </c>
      <c r="E848">
        <v>0</v>
      </c>
      <c r="F848" t="b">
        <v>0</v>
      </c>
      <c r="G848" t="b">
        <v>1</v>
      </c>
      <c r="H848" t="b">
        <v>1</v>
      </c>
      <c r="I848" t="b">
        <v>0</v>
      </c>
    </row>
    <row r="849" spans="1:9" s="315" customFormat="1" x14ac:dyDescent="0.2">
      <c r="A849" t="s">
        <v>4917</v>
      </c>
      <c r="B849" t="s">
        <v>5227</v>
      </c>
      <c r="C849"/>
      <c r="D849" t="b">
        <f>IFERROR(VLOOKUP(B849,PatData!$A$2:$A$2000,1,),"")&lt;&gt;""</f>
        <v>1</v>
      </c>
      <c r="E849">
        <v>0</v>
      </c>
      <c r="F849" t="b">
        <v>0</v>
      </c>
      <c r="G849" t="b">
        <v>1</v>
      </c>
      <c r="H849" t="b">
        <v>1</v>
      </c>
      <c r="I849" t="b">
        <v>0</v>
      </c>
    </row>
    <row r="850" spans="1:9" s="315" customFormat="1" x14ac:dyDescent="0.2">
      <c r="A850" t="s">
        <v>4918</v>
      </c>
      <c r="B850" t="s">
        <v>5228</v>
      </c>
      <c r="C850"/>
      <c r="D850" t="b">
        <f>IFERROR(VLOOKUP(B850,PatData!$A$2:$A$2000,1,),"")&lt;&gt;""</f>
        <v>1</v>
      </c>
      <c r="E850">
        <v>0</v>
      </c>
      <c r="F850" t="b">
        <v>0</v>
      </c>
      <c r="G850" t="b">
        <v>1</v>
      </c>
      <c r="H850" t="b">
        <v>1</v>
      </c>
      <c r="I850" t="b">
        <v>0</v>
      </c>
    </row>
    <row r="851" spans="1:9" s="315" customFormat="1" x14ac:dyDescent="0.2">
      <c r="A851" t="s">
        <v>4919</v>
      </c>
      <c r="B851" t="s">
        <v>5229</v>
      </c>
      <c r="C851"/>
      <c r="D851" t="b">
        <f>IFERROR(VLOOKUP(B851,PatData!$A$2:$A$2000,1,),"")&lt;&gt;""</f>
        <v>1</v>
      </c>
      <c r="E851">
        <v>0</v>
      </c>
      <c r="F851" t="b">
        <v>0</v>
      </c>
      <c r="G851" t="b">
        <v>1</v>
      </c>
      <c r="H851" t="b">
        <v>1</v>
      </c>
      <c r="I851" t="b">
        <v>0</v>
      </c>
    </row>
    <row r="852" spans="1:9" s="315" customFormat="1" x14ac:dyDescent="0.2">
      <c r="A852" t="s">
        <v>4920</v>
      </c>
      <c r="B852" t="s">
        <v>5230</v>
      </c>
      <c r="C852"/>
      <c r="D852" t="b">
        <f>IFERROR(VLOOKUP(B852,PatData!$A$2:$A$2000,1,),"")&lt;&gt;""</f>
        <v>1</v>
      </c>
      <c r="E852">
        <v>0</v>
      </c>
      <c r="F852" t="b">
        <v>0</v>
      </c>
      <c r="G852" t="b">
        <v>1</v>
      </c>
      <c r="H852" t="b">
        <v>1</v>
      </c>
      <c r="I852" t="b">
        <v>0</v>
      </c>
    </row>
    <row r="853" spans="1:9" s="315" customFormat="1" x14ac:dyDescent="0.2">
      <c r="A853" t="s">
        <v>4921</v>
      </c>
      <c r="B853" t="s">
        <v>5231</v>
      </c>
      <c r="C853"/>
      <c r="D853" t="b">
        <f>IFERROR(VLOOKUP(B853,PatData!$A$2:$A$2000,1,),"")&lt;&gt;""</f>
        <v>1</v>
      </c>
      <c r="E853">
        <v>0</v>
      </c>
      <c r="F853" t="b">
        <v>0</v>
      </c>
      <c r="G853" t="b">
        <v>1</v>
      </c>
      <c r="H853" t="b">
        <v>1</v>
      </c>
      <c r="I853" t="b">
        <v>0</v>
      </c>
    </row>
    <row r="854" spans="1:9" s="315" customFormat="1" x14ac:dyDescent="0.2">
      <c r="A854" t="s">
        <v>4932</v>
      </c>
      <c r="B854" t="s">
        <v>5232</v>
      </c>
      <c r="C854"/>
      <c r="D854" t="b">
        <f>IFERROR(VLOOKUP(B854,PatData!$A$2:$A$2000,1,),"")&lt;&gt;""</f>
        <v>1</v>
      </c>
      <c r="E854">
        <v>2</v>
      </c>
      <c r="F854" t="b">
        <v>0</v>
      </c>
      <c r="G854" t="b">
        <v>1</v>
      </c>
      <c r="H854" t="b">
        <v>1</v>
      </c>
      <c r="I854" t="b">
        <v>0</v>
      </c>
    </row>
    <row r="855" spans="1:9" s="315" customFormat="1" x14ac:dyDescent="0.2">
      <c r="A855" t="s">
        <v>4933</v>
      </c>
      <c r="B855" t="s">
        <v>5233</v>
      </c>
      <c r="C855"/>
      <c r="D855" t="b">
        <f>IFERROR(VLOOKUP(B855,PatData!$A$2:$A$2000,1,),"")&lt;&gt;""</f>
        <v>1</v>
      </c>
      <c r="E855">
        <v>0</v>
      </c>
      <c r="F855" t="b">
        <v>0</v>
      </c>
      <c r="G855" t="b">
        <v>1</v>
      </c>
      <c r="H855" t="b">
        <v>1</v>
      </c>
      <c r="I855" t="b">
        <v>0</v>
      </c>
    </row>
    <row r="856" spans="1:9" s="315" customFormat="1" x14ac:dyDescent="0.2">
      <c r="A856" t="s">
        <v>4934</v>
      </c>
      <c r="B856" t="s">
        <v>5234</v>
      </c>
      <c r="C856"/>
      <c r="D856" t="b">
        <f>IFERROR(VLOOKUP(B856,PatData!$A$2:$A$2000,1,),"")&lt;&gt;""</f>
        <v>1</v>
      </c>
      <c r="E856">
        <v>0</v>
      </c>
      <c r="F856" t="b">
        <v>0</v>
      </c>
      <c r="G856" t="b">
        <v>1</v>
      </c>
      <c r="H856" t="b">
        <v>1</v>
      </c>
      <c r="I856" t="b">
        <v>0</v>
      </c>
    </row>
    <row r="857" spans="1:9" s="315" customFormat="1" x14ac:dyDescent="0.2">
      <c r="A857" t="s">
        <v>4935</v>
      </c>
      <c r="B857" t="s">
        <v>5235</v>
      </c>
      <c r="C857"/>
      <c r="D857" t="b">
        <f>IFERROR(VLOOKUP(B857,PatData!$A$2:$A$2000,1,),"")&lt;&gt;""</f>
        <v>1</v>
      </c>
      <c r="E857">
        <v>0</v>
      </c>
      <c r="F857" t="b">
        <v>0</v>
      </c>
      <c r="G857" t="b">
        <v>1</v>
      </c>
      <c r="H857" t="b">
        <v>1</v>
      </c>
      <c r="I857" t="b">
        <v>0</v>
      </c>
    </row>
    <row r="858" spans="1:9" s="315" customFormat="1" x14ac:dyDescent="0.2">
      <c r="A858" t="s">
        <v>4936</v>
      </c>
      <c r="B858" t="s">
        <v>5236</v>
      </c>
      <c r="C858"/>
      <c r="D858" t="b">
        <f>IFERROR(VLOOKUP(B858,PatData!$A$2:$A$2000,1,),"")&lt;&gt;""</f>
        <v>1</v>
      </c>
      <c r="E858">
        <v>0</v>
      </c>
      <c r="F858" t="b">
        <v>0</v>
      </c>
      <c r="G858" t="b">
        <v>1</v>
      </c>
      <c r="H858" t="b">
        <v>1</v>
      </c>
      <c r="I858" t="b">
        <v>0</v>
      </c>
    </row>
    <row r="859" spans="1:9" s="315" customFormat="1" x14ac:dyDescent="0.2">
      <c r="A859" t="s">
        <v>4937</v>
      </c>
      <c r="B859" t="s">
        <v>5237</v>
      </c>
      <c r="C859"/>
      <c r="D859" t="b">
        <f>IFERROR(VLOOKUP(B859,PatData!$A$2:$A$2000,1,),"")&lt;&gt;""</f>
        <v>1</v>
      </c>
      <c r="E859">
        <v>0</v>
      </c>
      <c r="F859" t="b">
        <v>0</v>
      </c>
      <c r="G859" t="b">
        <v>1</v>
      </c>
      <c r="H859" t="b">
        <v>1</v>
      </c>
      <c r="I859" t="b">
        <v>0</v>
      </c>
    </row>
    <row r="860" spans="1:9" s="315" customFormat="1" x14ac:dyDescent="0.2">
      <c r="A860" t="s">
        <v>4938</v>
      </c>
      <c r="B860" t="s">
        <v>5238</v>
      </c>
      <c r="C860"/>
      <c r="D860" t="b">
        <f>IFERROR(VLOOKUP(B860,PatData!$A$2:$A$2000,1,),"")&lt;&gt;""</f>
        <v>1</v>
      </c>
      <c r="E860">
        <v>0</v>
      </c>
      <c r="F860" t="b">
        <v>0</v>
      </c>
      <c r="G860" t="b">
        <v>1</v>
      </c>
      <c r="H860" t="b">
        <v>1</v>
      </c>
      <c r="I860" t="b">
        <v>0</v>
      </c>
    </row>
    <row r="861" spans="1:9" s="315" customFormat="1" x14ac:dyDescent="0.2">
      <c r="A861" t="s">
        <v>4939</v>
      </c>
      <c r="B861" t="s">
        <v>5239</v>
      </c>
      <c r="C861"/>
      <c r="D861" t="b">
        <f>IFERROR(VLOOKUP(B861,PatData!$A$2:$A$2000,1,),"")&lt;&gt;""</f>
        <v>1</v>
      </c>
      <c r="E861">
        <v>0</v>
      </c>
      <c r="F861" t="b">
        <v>0</v>
      </c>
      <c r="G861" t="b">
        <v>1</v>
      </c>
      <c r="H861" t="b">
        <v>1</v>
      </c>
      <c r="I861" t="b">
        <v>0</v>
      </c>
    </row>
    <row r="862" spans="1:9" s="315" customFormat="1" x14ac:dyDescent="0.2">
      <c r="A862" t="s">
        <v>4940</v>
      </c>
      <c r="B862" t="s">
        <v>5240</v>
      </c>
      <c r="C862"/>
      <c r="D862" t="b">
        <f>IFERROR(VLOOKUP(B862,PatData!$A$2:$A$2000,1,),"")&lt;&gt;""</f>
        <v>1</v>
      </c>
      <c r="E862">
        <v>0</v>
      </c>
      <c r="F862" t="b">
        <v>0</v>
      </c>
      <c r="G862" t="b">
        <v>1</v>
      </c>
      <c r="H862" t="b">
        <v>1</v>
      </c>
      <c r="I862" t="b">
        <v>0</v>
      </c>
    </row>
    <row r="863" spans="1:9" s="315" customFormat="1" x14ac:dyDescent="0.2">
      <c r="A863" t="s">
        <v>4941</v>
      </c>
      <c r="B863" t="s">
        <v>5241</v>
      </c>
      <c r="C863"/>
      <c r="D863" t="b">
        <f>IFERROR(VLOOKUP(B863,PatData!$A$2:$A$2000,1,),"")&lt;&gt;""</f>
        <v>1</v>
      </c>
      <c r="E863">
        <v>0</v>
      </c>
      <c r="F863" t="b">
        <v>0</v>
      </c>
      <c r="G863" t="b">
        <v>1</v>
      </c>
      <c r="H863" t="b">
        <v>1</v>
      </c>
      <c r="I863" t="b">
        <v>0</v>
      </c>
    </row>
    <row r="864" spans="1:9" s="315" customFormat="1" x14ac:dyDescent="0.2">
      <c r="A864" t="s">
        <v>4942</v>
      </c>
      <c r="B864" t="s">
        <v>5242</v>
      </c>
      <c r="C864"/>
      <c r="D864" t="b">
        <f>IFERROR(VLOOKUP(B864,PatData!$A$2:$A$2000,1,),"")&lt;&gt;""</f>
        <v>1</v>
      </c>
      <c r="E864" t="b">
        <v>0</v>
      </c>
      <c r="F864" t="b">
        <v>0</v>
      </c>
      <c r="G864" t="b">
        <v>1</v>
      </c>
      <c r="H864" t="b">
        <v>1</v>
      </c>
      <c r="I864" t="b">
        <v>0</v>
      </c>
    </row>
    <row r="865" spans="1:9" s="315" customFormat="1" x14ac:dyDescent="0.2">
      <c r="A865" t="s">
        <v>4943</v>
      </c>
      <c r="B865" t="s">
        <v>5243</v>
      </c>
      <c r="C865"/>
      <c r="D865" t="b">
        <f>IFERROR(VLOOKUP(B865,PatData!$A$2:$A$2000,1,),"")&lt;&gt;""</f>
        <v>1</v>
      </c>
      <c r="E865" t="b">
        <v>0</v>
      </c>
      <c r="F865" t="b">
        <v>0</v>
      </c>
      <c r="G865" t="b">
        <v>1</v>
      </c>
      <c r="H865" t="b">
        <v>1</v>
      </c>
      <c r="I865" t="b">
        <v>0</v>
      </c>
    </row>
    <row r="866" spans="1:9" s="315" customFormat="1" x14ac:dyDescent="0.2">
      <c r="A866" t="s">
        <v>4944</v>
      </c>
      <c r="B866" t="s">
        <v>5244</v>
      </c>
      <c r="C866"/>
      <c r="D866" t="b">
        <f>IFERROR(VLOOKUP(B866,PatData!$A$2:$A$2000,1,),"")&lt;&gt;""</f>
        <v>1</v>
      </c>
      <c r="E866" t="b">
        <v>0</v>
      </c>
      <c r="F866" t="b">
        <v>0</v>
      </c>
      <c r="G866" t="b">
        <v>1</v>
      </c>
      <c r="H866" t="b">
        <v>1</v>
      </c>
      <c r="I866" t="b">
        <v>0</v>
      </c>
    </row>
    <row r="867" spans="1:9" s="315" customFormat="1" x14ac:dyDescent="0.2">
      <c r="A867" t="s">
        <v>4945</v>
      </c>
      <c r="B867" t="s">
        <v>5245</v>
      </c>
      <c r="C867"/>
      <c r="D867" t="b">
        <f>IFERROR(VLOOKUP(B867,PatData!$A$2:$A$2000,1,),"")&lt;&gt;""</f>
        <v>1</v>
      </c>
      <c r="E867" t="b">
        <v>0</v>
      </c>
      <c r="F867" t="b">
        <v>0</v>
      </c>
      <c r="G867" t="b">
        <v>1</v>
      </c>
      <c r="H867" t="b">
        <v>1</v>
      </c>
      <c r="I867" t="b">
        <v>0</v>
      </c>
    </row>
    <row r="868" spans="1:9" s="315" customFormat="1" x14ac:dyDescent="0.2">
      <c r="A868" t="s">
        <v>4845</v>
      </c>
      <c r="B868" t="s">
        <v>5246</v>
      </c>
      <c r="C868"/>
      <c r="D868" t="b">
        <f>IFERROR(VLOOKUP(B868,PatData!$A$2:$A$2000,1,),"")&lt;&gt;""</f>
        <v>1</v>
      </c>
      <c r="E868">
        <v>0</v>
      </c>
      <c r="F868" t="b">
        <v>0</v>
      </c>
      <c r="G868" t="b">
        <v>1</v>
      </c>
      <c r="H868" t="b">
        <v>1</v>
      </c>
      <c r="I868" t="b">
        <v>0</v>
      </c>
    </row>
    <row r="869" spans="1:9" s="315" customFormat="1" x14ac:dyDescent="0.2">
      <c r="A869" t="s">
        <v>4846</v>
      </c>
      <c r="B869" t="s">
        <v>5247</v>
      </c>
      <c r="C869"/>
      <c r="D869" t="b">
        <f>IFERROR(VLOOKUP(B869,PatData!$A$2:$A$2000,1,),"")&lt;&gt;""</f>
        <v>1</v>
      </c>
      <c r="E869">
        <v>0</v>
      </c>
      <c r="F869" t="b">
        <v>0</v>
      </c>
      <c r="G869" t="b">
        <v>1</v>
      </c>
      <c r="H869" t="b">
        <v>1</v>
      </c>
      <c r="I869" t="b">
        <v>0</v>
      </c>
    </row>
    <row r="870" spans="1:9" s="315" customFormat="1" x14ac:dyDescent="0.2">
      <c r="A870" t="s">
        <v>4848</v>
      </c>
      <c r="B870" t="s">
        <v>5248</v>
      </c>
      <c r="C870"/>
      <c r="D870" t="b">
        <f>IFERROR(VLOOKUP(B870,PatData!$A$2:$A$2000,1,),"")&lt;&gt;""</f>
        <v>1</v>
      </c>
      <c r="E870">
        <v>0</v>
      </c>
      <c r="F870" t="b">
        <v>0</v>
      </c>
      <c r="G870" t="b">
        <v>1</v>
      </c>
      <c r="H870" t="b">
        <v>1</v>
      </c>
      <c r="I870" t="b">
        <v>0</v>
      </c>
    </row>
    <row r="871" spans="1:9" s="315" customFormat="1" x14ac:dyDescent="0.2">
      <c r="A871" t="s">
        <v>4849</v>
      </c>
      <c r="B871" t="s">
        <v>5249</v>
      </c>
      <c r="C871"/>
      <c r="D871" t="b">
        <f>IFERROR(VLOOKUP(B871,PatData!$A$2:$A$2000,1,),"")&lt;&gt;""</f>
        <v>1</v>
      </c>
      <c r="E871">
        <v>0</v>
      </c>
      <c r="F871" t="b">
        <v>0</v>
      </c>
      <c r="G871" t="b">
        <v>1</v>
      </c>
      <c r="H871" t="b">
        <v>1</v>
      </c>
      <c r="I871" t="b">
        <v>0</v>
      </c>
    </row>
    <row r="872" spans="1:9" s="315" customFormat="1" x14ac:dyDescent="0.2">
      <c r="A872" t="s">
        <v>4898</v>
      </c>
      <c r="B872" t="s">
        <v>5250</v>
      </c>
      <c r="C872"/>
      <c r="D872" t="b">
        <f>IFERROR(VLOOKUP(B872,PatData!$A$2:$A$2000,1,),"")&lt;&gt;""</f>
        <v>1</v>
      </c>
      <c r="E872">
        <v>1</v>
      </c>
      <c r="F872" t="b">
        <v>0</v>
      </c>
      <c r="G872" t="b">
        <v>1</v>
      </c>
      <c r="H872" t="b">
        <v>1</v>
      </c>
      <c r="I872" t="b">
        <v>0</v>
      </c>
    </row>
    <row r="873" spans="1:9" s="315" customFormat="1" x14ac:dyDescent="0.2">
      <c r="A873" t="s">
        <v>4899</v>
      </c>
      <c r="B873" t="s">
        <v>5251</v>
      </c>
      <c r="C873"/>
      <c r="D873" t="b">
        <f>IFERROR(VLOOKUP(B873,PatData!$A$2:$A$2000,1,),"")&lt;&gt;""</f>
        <v>1</v>
      </c>
      <c r="E873">
        <v>1</v>
      </c>
      <c r="F873" t="b">
        <v>0</v>
      </c>
      <c r="G873" t="b">
        <v>1</v>
      </c>
      <c r="H873" t="b">
        <v>1</v>
      </c>
      <c r="I873" t="b">
        <v>0</v>
      </c>
    </row>
    <row r="874" spans="1:9" s="315" customFormat="1" x14ac:dyDescent="0.2">
      <c r="A874" t="s">
        <v>4900</v>
      </c>
      <c r="B874" t="s">
        <v>5252</v>
      </c>
      <c r="C874"/>
      <c r="D874" t="b">
        <f>IFERROR(VLOOKUP(B874,PatData!$A$2:$A$2000,1,),"")&lt;&gt;""</f>
        <v>1</v>
      </c>
      <c r="E874">
        <v>1</v>
      </c>
      <c r="F874" t="b">
        <v>0</v>
      </c>
      <c r="G874" t="b">
        <v>1</v>
      </c>
      <c r="H874" t="b">
        <v>1</v>
      </c>
      <c r="I874" t="b">
        <v>0</v>
      </c>
    </row>
    <row r="875" spans="1:9" s="315" customFormat="1" x14ac:dyDescent="0.2">
      <c r="A875" t="s">
        <v>4901</v>
      </c>
      <c r="B875" t="s">
        <v>5253</v>
      </c>
      <c r="C875"/>
      <c r="D875" t="b">
        <f>IFERROR(VLOOKUP(B875,PatData!$A$2:$A$2000,1,),"")&lt;&gt;""</f>
        <v>1</v>
      </c>
      <c r="E875">
        <v>1</v>
      </c>
      <c r="F875" t="b">
        <v>0</v>
      </c>
      <c r="G875" t="b">
        <v>1</v>
      </c>
      <c r="H875" t="b">
        <v>1</v>
      </c>
      <c r="I875" t="b">
        <v>0</v>
      </c>
    </row>
    <row r="876" spans="1:9" s="315" customFormat="1" x14ac:dyDescent="0.2">
      <c r="A876" t="s">
        <v>4902</v>
      </c>
      <c r="B876" t="s">
        <v>5254</v>
      </c>
      <c r="C876"/>
      <c r="D876" t="b">
        <f>IFERROR(VLOOKUP(B876,PatData!$A$2:$A$2000,1,),"")&lt;&gt;""</f>
        <v>1</v>
      </c>
      <c r="E876">
        <v>1</v>
      </c>
      <c r="F876" t="b">
        <v>0</v>
      </c>
      <c r="G876" t="b">
        <v>1</v>
      </c>
      <c r="H876" t="b">
        <v>1</v>
      </c>
      <c r="I876" t="b">
        <v>0</v>
      </c>
    </row>
    <row r="877" spans="1:9" s="315" customFormat="1" x14ac:dyDescent="0.2">
      <c r="A877" t="s">
        <v>4903</v>
      </c>
      <c r="B877" t="s">
        <v>5255</v>
      </c>
      <c r="C877"/>
      <c r="D877" t="b">
        <f>IFERROR(VLOOKUP(B877,PatData!$A$2:$A$2000,1,),"")&lt;&gt;""</f>
        <v>1</v>
      </c>
      <c r="E877">
        <v>1</v>
      </c>
      <c r="F877" t="b">
        <v>0</v>
      </c>
      <c r="G877" t="b">
        <v>1</v>
      </c>
      <c r="H877" t="b">
        <v>1</v>
      </c>
      <c r="I877" t="b">
        <v>0</v>
      </c>
    </row>
    <row r="878" spans="1:9" s="315" customFormat="1" x14ac:dyDescent="0.2">
      <c r="A878" t="s">
        <v>4904</v>
      </c>
      <c r="B878" t="s">
        <v>5256</v>
      </c>
      <c r="C878"/>
      <c r="D878" t="b">
        <f>IFERROR(VLOOKUP(B878,PatData!$A$2:$A$2000,1,),"")&lt;&gt;""</f>
        <v>1</v>
      </c>
      <c r="E878">
        <v>1</v>
      </c>
      <c r="F878" t="b">
        <v>0</v>
      </c>
      <c r="G878" t="b">
        <v>1</v>
      </c>
      <c r="H878" t="b">
        <v>1</v>
      </c>
      <c r="I878" t="b">
        <v>0</v>
      </c>
    </row>
    <row r="879" spans="1:9" s="315" customFormat="1" x14ac:dyDescent="0.2">
      <c r="A879" t="s">
        <v>4905</v>
      </c>
      <c r="B879" t="s">
        <v>5257</v>
      </c>
      <c r="C879"/>
      <c r="D879" t="b">
        <f>IFERROR(VLOOKUP(B879,PatData!$A$2:$A$2000,1,),"")&lt;&gt;""</f>
        <v>1</v>
      </c>
      <c r="E879">
        <v>1</v>
      </c>
      <c r="F879" t="b">
        <v>0</v>
      </c>
      <c r="G879" t="b">
        <v>1</v>
      </c>
      <c r="H879" t="b">
        <v>1</v>
      </c>
      <c r="I879" t="b">
        <v>0</v>
      </c>
    </row>
    <row r="880" spans="1:9" s="315" customFormat="1" x14ac:dyDescent="0.2">
      <c r="A880" t="s">
        <v>4906</v>
      </c>
      <c r="B880" t="s">
        <v>5258</v>
      </c>
      <c r="C880"/>
      <c r="D880" t="b">
        <f>IFERROR(VLOOKUP(B880,PatData!$A$2:$A$2000,1,),"")&lt;&gt;""</f>
        <v>1</v>
      </c>
      <c r="E880">
        <v>1</v>
      </c>
      <c r="F880" t="b">
        <v>0</v>
      </c>
      <c r="G880" t="b">
        <v>1</v>
      </c>
      <c r="H880" t="b">
        <v>1</v>
      </c>
      <c r="I880" t="b">
        <v>0</v>
      </c>
    </row>
    <row r="881" spans="1:9" s="315" customFormat="1" x14ac:dyDescent="0.2">
      <c r="A881" t="s">
        <v>4922</v>
      </c>
      <c r="B881" t="s">
        <v>5259</v>
      </c>
      <c r="C881"/>
      <c r="D881" t="b">
        <f>IFERROR(VLOOKUP(B881,PatData!$A$2:$A$2000,1,),"")&lt;&gt;""</f>
        <v>1</v>
      </c>
      <c r="E881">
        <v>1</v>
      </c>
      <c r="F881" t="b">
        <v>0</v>
      </c>
      <c r="G881" t="b">
        <v>1</v>
      </c>
      <c r="H881" t="b">
        <v>1</v>
      </c>
      <c r="I881" t="b">
        <v>0</v>
      </c>
    </row>
    <row r="882" spans="1:9" s="315" customFormat="1" x14ac:dyDescent="0.2">
      <c r="A882" t="s">
        <v>4923</v>
      </c>
      <c r="B882" t="s">
        <v>5260</v>
      </c>
      <c r="C882"/>
      <c r="D882" t="b">
        <f>IFERROR(VLOOKUP(B882,PatData!$A$2:$A$2000,1,),"")&lt;&gt;""</f>
        <v>1</v>
      </c>
      <c r="E882">
        <v>1</v>
      </c>
      <c r="F882" t="b">
        <v>0</v>
      </c>
      <c r="G882" t="b">
        <v>1</v>
      </c>
      <c r="H882" t="b">
        <v>1</v>
      </c>
      <c r="I882" t="b">
        <v>0</v>
      </c>
    </row>
    <row r="883" spans="1:9" s="315" customFormat="1" x14ac:dyDescent="0.2">
      <c r="A883" t="s">
        <v>4924</v>
      </c>
      <c r="B883" t="s">
        <v>5261</v>
      </c>
      <c r="C883"/>
      <c r="D883" t="b">
        <f>IFERROR(VLOOKUP(B883,PatData!$A$2:$A$2000,1,),"")&lt;&gt;""</f>
        <v>1</v>
      </c>
      <c r="E883">
        <v>1</v>
      </c>
      <c r="F883" t="b">
        <v>0</v>
      </c>
      <c r="G883" t="b">
        <v>1</v>
      </c>
      <c r="H883" t="b">
        <v>1</v>
      </c>
      <c r="I883" t="b">
        <v>0</v>
      </c>
    </row>
    <row r="884" spans="1:9" s="315" customFormat="1" x14ac:dyDescent="0.2">
      <c r="A884" t="s">
        <v>4925</v>
      </c>
      <c r="B884" t="s">
        <v>5262</v>
      </c>
      <c r="C884"/>
      <c r="D884" t="b">
        <f>IFERROR(VLOOKUP(B884,PatData!$A$2:$A$2000,1,),"")&lt;&gt;""</f>
        <v>1</v>
      </c>
      <c r="E884">
        <v>1</v>
      </c>
      <c r="F884" t="b">
        <v>0</v>
      </c>
      <c r="G884" t="b">
        <v>1</v>
      </c>
      <c r="H884" t="b">
        <v>1</v>
      </c>
      <c r="I884" t="b">
        <v>0</v>
      </c>
    </row>
    <row r="885" spans="1:9" s="315" customFormat="1" x14ac:dyDescent="0.2">
      <c r="A885" t="s">
        <v>4926</v>
      </c>
      <c r="B885" t="s">
        <v>5263</v>
      </c>
      <c r="C885"/>
      <c r="D885" t="b">
        <f>IFERROR(VLOOKUP(B885,PatData!$A$2:$A$2000,1,),"")&lt;&gt;""</f>
        <v>1</v>
      </c>
      <c r="E885">
        <v>1</v>
      </c>
      <c r="F885" t="b">
        <v>0</v>
      </c>
      <c r="G885" t="b">
        <v>1</v>
      </c>
      <c r="H885" t="b">
        <v>1</v>
      </c>
      <c r="I885" t="b">
        <v>0</v>
      </c>
    </row>
    <row r="886" spans="1:9" s="315" customFormat="1" x14ac:dyDescent="0.2">
      <c r="A886" t="s">
        <v>4927</v>
      </c>
      <c r="B886" t="s">
        <v>5264</v>
      </c>
      <c r="C886"/>
      <c r="D886" t="b">
        <f>IFERROR(VLOOKUP(B886,PatData!$A$2:$A$2000,1,),"")&lt;&gt;""</f>
        <v>1</v>
      </c>
      <c r="E886">
        <v>1</v>
      </c>
      <c r="F886" t="b">
        <v>0</v>
      </c>
      <c r="G886" t="b">
        <v>1</v>
      </c>
      <c r="H886" t="b">
        <v>1</v>
      </c>
      <c r="I886" t="b">
        <v>0</v>
      </c>
    </row>
    <row r="887" spans="1:9" s="315" customFormat="1" x14ac:dyDescent="0.2">
      <c r="A887" t="s">
        <v>4928</v>
      </c>
      <c r="B887" t="s">
        <v>5265</v>
      </c>
      <c r="C887"/>
      <c r="D887" t="b">
        <f>IFERROR(VLOOKUP(B887,PatData!$A$2:$A$2000,1,),"")&lt;&gt;""</f>
        <v>1</v>
      </c>
      <c r="E887">
        <v>1</v>
      </c>
      <c r="F887" t="b">
        <v>0</v>
      </c>
      <c r="G887" t="b">
        <v>1</v>
      </c>
      <c r="H887" t="b">
        <v>1</v>
      </c>
      <c r="I887" t="b">
        <v>0</v>
      </c>
    </row>
    <row r="888" spans="1:9" s="315" customFormat="1" x14ac:dyDescent="0.2">
      <c r="A888" t="s">
        <v>4929</v>
      </c>
      <c r="B888" t="s">
        <v>5266</v>
      </c>
      <c r="C888"/>
      <c r="D888" t="b">
        <f>IFERROR(VLOOKUP(B888,PatData!$A$2:$A$2000,1,),"")&lt;&gt;""</f>
        <v>1</v>
      </c>
      <c r="E888">
        <v>1</v>
      </c>
      <c r="F888" t="b">
        <v>0</v>
      </c>
      <c r="G888" t="b">
        <v>1</v>
      </c>
      <c r="H888" t="b">
        <v>1</v>
      </c>
      <c r="I888" t="b">
        <v>0</v>
      </c>
    </row>
    <row r="889" spans="1:9" s="315" customFormat="1" x14ac:dyDescent="0.2">
      <c r="A889" t="s">
        <v>4946</v>
      </c>
      <c r="B889" t="s">
        <v>5267</v>
      </c>
      <c r="C889"/>
      <c r="D889" t="b">
        <f>IFERROR(VLOOKUP(B889,PatData!$A$2:$A$2000,1,),"")&lt;&gt;""</f>
        <v>1</v>
      </c>
      <c r="E889">
        <v>7</v>
      </c>
      <c r="F889" t="b">
        <v>0</v>
      </c>
      <c r="G889" t="b">
        <v>1</v>
      </c>
      <c r="H889" t="b">
        <v>1</v>
      </c>
      <c r="I889" t="b">
        <v>0</v>
      </c>
    </row>
    <row r="890" spans="1:9" s="315" customFormat="1" x14ac:dyDescent="0.2">
      <c r="A890" t="s">
        <v>4930</v>
      </c>
      <c r="B890" t="s">
        <v>5268</v>
      </c>
      <c r="C890"/>
      <c r="D890" t="b">
        <f>IFERROR(VLOOKUP(B890,PatData!$A$2:$A$2000,1,),"")&lt;&gt;""</f>
        <v>1</v>
      </c>
      <c r="E890">
        <v>5000</v>
      </c>
      <c r="F890" t="b">
        <v>0</v>
      </c>
      <c r="G890" t="b">
        <v>1</v>
      </c>
      <c r="H890" t="b">
        <v>1</v>
      </c>
      <c r="I890" t="b">
        <v>0</v>
      </c>
    </row>
    <row r="891" spans="1:9" s="315" customFormat="1" x14ac:dyDescent="0.2">
      <c r="A891" t="s">
        <v>4843</v>
      </c>
      <c r="B891" t="s">
        <v>5269</v>
      </c>
      <c r="C891"/>
      <c r="D891" t="b">
        <f>IFERROR(VLOOKUP(B891,PatData!$A$2:$A$2000,1,),"")&lt;&gt;""</f>
        <v>1</v>
      </c>
      <c r="E891">
        <v>1</v>
      </c>
      <c r="F891" t="b">
        <v>0</v>
      </c>
      <c r="G891" t="b">
        <v>1</v>
      </c>
      <c r="H891" t="b">
        <v>1</v>
      </c>
      <c r="I891" t="b">
        <v>0</v>
      </c>
    </row>
    <row r="892" spans="1:9" s="315" customFormat="1" x14ac:dyDescent="0.2">
      <c r="A892" t="s">
        <v>4844</v>
      </c>
      <c r="B892" t="s">
        <v>5270</v>
      </c>
      <c r="C892"/>
      <c r="D892" t="b">
        <f>IFERROR(VLOOKUP(B892,PatData!$A$2:$A$2000,1,),"")&lt;&gt;""</f>
        <v>1</v>
      </c>
      <c r="E892">
        <v>2</v>
      </c>
      <c r="F892" t="b">
        <v>0</v>
      </c>
      <c r="G892" t="b">
        <v>1</v>
      </c>
      <c r="H892" t="b">
        <v>1</v>
      </c>
      <c r="I892" t="b">
        <v>0</v>
      </c>
    </row>
    <row r="893" spans="1:9" s="315" customFormat="1" x14ac:dyDescent="0.2">
      <c r="A893" t="s">
        <v>4847</v>
      </c>
      <c r="B893" t="s">
        <v>5271</v>
      </c>
      <c r="C893"/>
      <c r="D893" t="b">
        <f>IFERROR(VLOOKUP(B893,PatData!$A$2:$A$2000,1,),"")&lt;&gt;""</f>
        <v>1</v>
      </c>
      <c r="E893">
        <v>2</v>
      </c>
      <c r="F893" t="b">
        <v>0</v>
      </c>
      <c r="G893" t="b">
        <v>1</v>
      </c>
      <c r="H893" t="b">
        <v>1</v>
      </c>
      <c r="I893" t="b">
        <v>0</v>
      </c>
    </row>
    <row r="894" spans="1:9" s="315" customFormat="1" x14ac:dyDescent="0.2">
      <c r="A894" t="s">
        <v>4850</v>
      </c>
      <c r="B894" t="s">
        <v>5272</v>
      </c>
      <c r="C894"/>
      <c r="D894" t="b">
        <f>IFERROR(VLOOKUP(B894,PatData!$A$2:$A$2000,1,),"")&lt;&gt;""</f>
        <v>1</v>
      </c>
      <c r="E894">
        <v>5000</v>
      </c>
      <c r="F894" t="b">
        <v>0</v>
      </c>
      <c r="G894" t="b">
        <v>1</v>
      </c>
      <c r="H894" t="b">
        <v>1</v>
      </c>
      <c r="I894" t="b">
        <v>0</v>
      </c>
    </row>
    <row r="895" spans="1:9" s="315" customFormat="1" x14ac:dyDescent="0.2">
      <c r="A895" t="s">
        <v>4851</v>
      </c>
      <c r="B895" t="s">
        <v>5273</v>
      </c>
      <c r="C895"/>
      <c r="D895" t="b">
        <f>IFERROR(VLOOKUP(B895,PatData!$A$2:$A$2000,1,),"")&lt;&gt;""</f>
        <v>1</v>
      </c>
      <c r="E895">
        <v>5000</v>
      </c>
      <c r="F895" t="b">
        <v>0</v>
      </c>
      <c r="G895" t="b">
        <v>1</v>
      </c>
      <c r="H895" t="b">
        <v>1</v>
      </c>
      <c r="I895" t="b">
        <v>0</v>
      </c>
    </row>
    <row r="896" spans="1:9" s="315" customFormat="1" x14ac:dyDescent="0.2">
      <c r="A896" t="s">
        <v>4852</v>
      </c>
      <c r="B896" t="s">
        <v>5274</v>
      </c>
      <c r="C896"/>
      <c r="D896" t="b">
        <f>IFERROR(VLOOKUP(B896,PatData!$A$2:$A$2000,1,),"")&lt;&gt;""</f>
        <v>1</v>
      </c>
      <c r="E896">
        <v>1</v>
      </c>
      <c r="F896" t="b">
        <v>0</v>
      </c>
      <c r="G896" t="b">
        <v>1</v>
      </c>
      <c r="H896" t="b">
        <v>1</v>
      </c>
      <c r="I896" t="b">
        <v>0</v>
      </c>
    </row>
    <row r="897" spans="1:9" s="315" customFormat="1" x14ac:dyDescent="0.2">
      <c r="A897" t="s">
        <v>4853</v>
      </c>
      <c r="B897" t="s">
        <v>5275</v>
      </c>
      <c r="C897"/>
      <c r="D897" t="b">
        <f>IFERROR(VLOOKUP(B897,PatData!$A$2:$A$2000,1,),"")&lt;&gt;""</f>
        <v>1</v>
      </c>
      <c r="E897">
        <v>5000</v>
      </c>
      <c r="F897" t="b">
        <v>0</v>
      </c>
      <c r="G897" t="b">
        <v>1</v>
      </c>
      <c r="H897" t="b">
        <v>1</v>
      </c>
      <c r="I897" t="b">
        <v>0</v>
      </c>
    </row>
    <row r="898" spans="1:9" s="315" customFormat="1" x14ac:dyDescent="0.2">
      <c r="A898" t="s">
        <v>4874</v>
      </c>
      <c r="B898" t="s">
        <v>5276</v>
      </c>
      <c r="C898"/>
      <c r="D898" t="b">
        <f>IFERROR(VLOOKUP(B898,PatData!$A$2:$A$2000,1,),"")&lt;&gt;""</f>
        <v>1</v>
      </c>
      <c r="E898">
        <v>5000</v>
      </c>
      <c r="F898" t="b">
        <v>0</v>
      </c>
      <c r="G898" t="b">
        <v>1</v>
      </c>
      <c r="H898" t="b">
        <v>1</v>
      </c>
      <c r="I898" t="b">
        <v>0</v>
      </c>
    </row>
    <row r="899" spans="1:9" s="315" customFormat="1" x14ac:dyDescent="0.2">
      <c r="A899" t="s">
        <v>4931</v>
      </c>
      <c r="B899" t="s">
        <v>5277</v>
      </c>
      <c r="C899"/>
      <c r="D899" t="b">
        <f>IFERROR(VLOOKUP(B899,PatData!$A$2:$A$2000,1,),"")&lt;&gt;""</f>
        <v>1</v>
      </c>
      <c r="E899">
        <v>5000</v>
      </c>
      <c r="F899" t="b">
        <v>0</v>
      </c>
      <c r="G899" t="b">
        <v>1</v>
      </c>
      <c r="H899" t="b">
        <v>1</v>
      </c>
      <c r="I899" t="b">
        <v>0</v>
      </c>
    </row>
    <row r="900" spans="1:9" s="315" customFormat="1" x14ac:dyDescent="0.2">
      <c r="A900" t="s">
        <v>4875</v>
      </c>
      <c r="B900" t="s">
        <v>5278</v>
      </c>
      <c r="C900"/>
      <c r="D900" t="b">
        <f>IFERROR(VLOOKUP(B900,PatData!$A$2:$A$2000,1,),"")&lt;&gt;""</f>
        <v>1</v>
      </c>
      <c r="E900">
        <v>5000</v>
      </c>
      <c r="F900" t="b">
        <v>0</v>
      </c>
      <c r="G900" t="b">
        <v>1</v>
      </c>
      <c r="H900" t="b">
        <v>1</v>
      </c>
      <c r="I900" t="b">
        <v>0</v>
      </c>
    </row>
    <row r="901" spans="1:9" s="315" customFormat="1" x14ac:dyDescent="0.2">
      <c r="A901" t="s">
        <v>4897</v>
      </c>
      <c r="B901" t="s">
        <v>5279</v>
      </c>
      <c r="C901"/>
      <c r="D901" t="b">
        <f>IFERROR(VLOOKUP(B901,PatData!$A$2:$A$2000,1,),"")&lt;&gt;""</f>
        <v>1</v>
      </c>
      <c r="E901" t="b">
        <v>0</v>
      </c>
      <c r="F901" t="b">
        <v>0</v>
      </c>
      <c r="G901" t="b">
        <v>1</v>
      </c>
      <c r="H901" t="b">
        <v>1</v>
      </c>
      <c r="I901" t="b">
        <v>0</v>
      </c>
    </row>
    <row r="902" spans="1:9" s="315" customFormat="1" x14ac:dyDescent="0.2">
      <c r="A902" t="s">
        <v>4907</v>
      </c>
      <c r="B902" t="s">
        <v>5280</v>
      </c>
      <c r="C902"/>
      <c r="D902" t="b">
        <f>IFERROR(VLOOKUP(B902,PatData!$A$2:$A$2000,1,),"")&lt;&gt;""</f>
        <v>1</v>
      </c>
      <c r="E902">
        <v>5000</v>
      </c>
      <c r="F902" t="b">
        <v>0</v>
      </c>
      <c r="G902" t="b">
        <v>1</v>
      </c>
      <c r="H902" t="b">
        <v>1</v>
      </c>
      <c r="I902" t="b">
        <v>0</v>
      </c>
    </row>
    <row r="903" spans="1:9" s="315" customFormat="1" x14ac:dyDescent="0.2">
      <c r="A903" t="s">
        <v>4908</v>
      </c>
      <c r="B903" t="s">
        <v>5281</v>
      </c>
      <c r="C903"/>
      <c r="D903" t="b">
        <f>IFERROR(VLOOKUP(B903,PatData!$A$2:$A$2000,1,),"")&lt;&gt;""</f>
        <v>1</v>
      </c>
      <c r="E903">
        <v>5000</v>
      </c>
      <c r="F903" t="b">
        <v>0</v>
      </c>
      <c r="G903" t="b">
        <v>1</v>
      </c>
      <c r="H903" t="b">
        <v>1</v>
      </c>
      <c r="I903" t="b">
        <v>0</v>
      </c>
    </row>
    <row r="904" spans="1:9" s="315" customFormat="1" x14ac:dyDescent="0.2">
      <c r="A904" t="s">
        <v>4909</v>
      </c>
      <c r="B904" t="s">
        <v>5282</v>
      </c>
      <c r="C904"/>
      <c r="D904" t="b">
        <f>IFERROR(VLOOKUP(B904,PatData!$A$2:$A$2000,1,),"")&lt;&gt;""</f>
        <v>1</v>
      </c>
      <c r="E904">
        <v>5000</v>
      </c>
      <c r="F904" t="b">
        <v>0</v>
      </c>
      <c r="G904" t="b">
        <v>1</v>
      </c>
      <c r="H904" t="b">
        <v>1</v>
      </c>
      <c r="I904" t="b">
        <v>0</v>
      </c>
    </row>
    <row r="905" spans="1:9" s="315" customFormat="1" x14ac:dyDescent="0.2">
      <c r="A905" t="s">
        <v>1628</v>
      </c>
      <c r="B905" t="s">
        <v>2957</v>
      </c>
      <c r="C905"/>
      <c r="D905" t="b">
        <f>IFERROR(VLOOKUP(B905,PatData!$A$2:$A$2000,1,),"")&lt;&gt;""</f>
        <v>1</v>
      </c>
      <c r="E905" t="b">
        <v>0</v>
      </c>
      <c r="F905" t="b">
        <v>0</v>
      </c>
      <c r="G905" t="b">
        <v>1</v>
      </c>
      <c r="H905" t="b">
        <v>1</v>
      </c>
      <c r="I905" t="b">
        <v>0</v>
      </c>
    </row>
    <row r="906" spans="1:9" s="315" customFormat="1" x14ac:dyDescent="0.2">
      <c r="A906" t="s">
        <v>1639</v>
      </c>
      <c r="B906" t="s">
        <v>2958</v>
      </c>
      <c r="C906"/>
      <c r="D906" t="b">
        <f>IFERROR(VLOOKUP(B906,PatData!$A$2:$A$2000,1,),"")&lt;&gt;""</f>
        <v>1</v>
      </c>
      <c r="E906" t="b">
        <v>0</v>
      </c>
      <c r="F906" t="b">
        <v>0</v>
      </c>
      <c r="G906" t="b">
        <v>1</v>
      </c>
      <c r="H906" t="b">
        <v>1</v>
      </c>
      <c r="I906" t="b">
        <v>0</v>
      </c>
    </row>
    <row r="907" spans="1:9" s="315" customFormat="1" x14ac:dyDescent="0.2">
      <c r="A907" t="s">
        <v>1650</v>
      </c>
      <c r="B907" t="s">
        <v>2959</v>
      </c>
      <c r="C907"/>
      <c r="D907" t="b">
        <f>IFERROR(VLOOKUP(B907,PatData!$A$2:$A$2000,1,),"")&lt;&gt;""</f>
        <v>1</v>
      </c>
      <c r="E907" t="b">
        <v>0</v>
      </c>
      <c r="F907" t="b">
        <v>0</v>
      </c>
      <c r="G907" t="b">
        <v>1</v>
      </c>
      <c r="H907" t="b">
        <v>1</v>
      </c>
      <c r="I907" t="b">
        <v>0</v>
      </c>
    </row>
    <row r="908" spans="1:9" s="315" customFormat="1" x14ac:dyDescent="0.2">
      <c r="A908" t="s">
        <v>1653</v>
      </c>
      <c r="B908" t="s">
        <v>2960</v>
      </c>
      <c r="C908"/>
      <c r="D908" t="b">
        <f>IFERROR(VLOOKUP(B908,PatData!$A$2:$A$2000,1,),"")&lt;&gt;""</f>
        <v>1</v>
      </c>
      <c r="E908" t="b">
        <v>0</v>
      </c>
      <c r="F908" t="b">
        <v>0</v>
      </c>
      <c r="G908" t="b">
        <v>1</v>
      </c>
      <c r="H908" t="b">
        <v>1</v>
      </c>
      <c r="I908" t="b">
        <v>0</v>
      </c>
    </row>
    <row r="909" spans="1:9" s="315" customFormat="1" x14ac:dyDescent="0.2">
      <c r="A909" t="s">
        <v>1654</v>
      </c>
      <c r="B909" t="s">
        <v>2961</v>
      </c>
      <c r="C909"/>
      <c r="D909" t="b">
        <f>IFERROR(VLOOKUP(B909,PatData!$A$2:$A$2000,1,),"")&lt;&gt;""</f>
        <v>1</v>
      </c>
      <c r="E909" t="b">
        <v>0</v>
      </c>
      <c r="F909" t="b">
        <v>0</v>
      </c>
      <c r="G909" t="b">
        <v>1</v>
      </c>
      <c r="H909" t="b">
        <v>1</v>
      </c>
      <c r="I909" t="b">
        <v>0</v>
      </c>
    </row>
    <row r="910" spans="1:9" s="315" customFormat="1" x14ac:dyDescent="0.2">
      <c r="A910" t="s">
        <v>1655</v>
      </c>
      <c r="B910" t="s">
        <v>2962</v>
      </c>
      <c r="C910"/>
      <c r="D910" t="b">
        <f>IFERROR(VLOOKUP(B910,PatData!$A$2:$A$2000,1,),"")&lt;&gt;""</f>
        <v>1</v>
      </c>
      <c r="E910" t="b">
        <v>0</v>
      </c>
      <c r="F910" t="b">
        <v>0</v>
      </c>
      <c r="G910" t="b">
        <v>1</v>
      </c>
      <c r="H910" t="b">
        <v>1</v>
      </c>
      <c r="I910" t="b">
        <v>0</v>
      </c>
    </row>
    <row r="911" spans="1:9" s="315" customFormat="1" x14ac:dyDescent="0.2">
      <c r="A911" t="s">
        <v>1656</v>
      </c>
      <c r="B911" t="s">
        <v>2963</v>
      </c>
      <c r="C911"/>
      <c r="D911" t="b">
        <f>IFERROR(VLOOKUP(B911,PatData!$A$2:$A$2000,1,),"")&lt;&gt;""</f>
        <v>1</v>
      </c>
      <c r="E911" t="b">
        <v>0</v>
      </c>
      <c r="F911" t="b">
        <v>0</v>
      </c>
      <c r="G911" t="b">
        <v>1</v>
      </c>
      <c r="H911" t="b">
        <v>1</v>
      </c>
      <c r="I911" t="b">
        <v>0</v>
      </c>
    </row>
    <row r="912" spans="1:9" s="315" customFormat="1" x14ac:dyDescent="0.2">
      <c r="A912" t="s">
        <v>1657</v>
      </c>
      <c r="B912" t="s">
        <v>2964</v>
      </c>
      <c r="C912"/>
      <c r="D912" t="b">
        <f>IFERROR(VLOOKUP(B912,PatData!$A$2:$A$2000,1,),"")&lt;&gt;""</f>
        <v>1</v>
      </c>
      <c r="E912" t="b">
        <v>0</v>
      </c>
      <c r="F912" t="b">
        <v>0</v>
      </c>
      <c r="G912" t="b">
        <v>1</v>
      </c>
      <c r="H912" t="b">
        <v>1</v>
      </c>
      <c r="I912" t="b">
        <v>0</v>
      </c>
    </row>
    <row r="913" spans="1:9" s="315" customFormat="1" x14ac:dyDescent="0.2">
      <c r="A913" t="s">
        <v>1658</v>
      </c>
      <c r="B913" t="s">
        <v>2965</v>
      </c>
      <c r="C913"/>
      <c r="D913" t="b">
        <f>IFERROR(VLOOKUP(B913,PatData!$A$2:$A$2000,1,),"")&lt;&gt;""</f>
        <v>1</v>
      </c>
      <c r="E913" t="b">
        <v>0</v>
      </c>
      <c r="F913" t="b">
        <v>0</v>
      </c>
      <c r="G913" t="b">
        <v>1</v>
      </c>
      <c r="H913" t="b">
        <v>1</v>
      </c>
      <c r="I913" t="b">
        <v>0</v>
      </c>
    </row>
    <row r="914" spans="1:9" s="315" customFormat="1" x14ac:dyDescent="0.2">
      <c r="A914" t="s">
        <v>1629</v>
      </c>
      <c r="B914" t="s">
        <v>2966</v>
      </c>
      <c r="C914"/>
      <c r="D914" t="b">
        <f>IFERROR(VLOOKUP(B914,PatData!$A$2:$A$2000,1,),"")&lt;&gt;""</f>
        <v>1</v>
      </c>
      <c r="E914" t="b">
        <v>0</v>
      </c>
      <c r="F914" t="b">
        <v>0</v>
      </c>
      <c r="G914" t="b">
        <v>1</v>
      </c>
      <c r="H914" t="b">
        <v>1</v>
      </c>
      <c r="I914" t="b">
        <v>0</v>
      </c>
    </row>
    <row r="915" spans="1:9" s="315" customFormat="1" x14ac:dyDescent="0.2">
      <c r="A915" t="s">
        <v>1630</v>
      </c>
      <c r="B915" t="s">
        <v>2967</v>
      </c>
      <c r="C915"/>
      <c r="D915" t="b">
        <f>IFERROR(VLOOKUP(B915,PatData!$A$2:$A$2000,1,),"")&lt;&gt;""</f>
        <v>1</v>
      </c>
      <c r="E915" t="b">
        <v>0</v>
      </c>
      <c r="F915" t="b">
        <v>0</v>
      </c>
      <c r="G915" t="b">
        <v>1</v>
      </c>
      <c r="H915" t="b">
        <v>1</v>
      </c>
      <c r="I915" t="b">
        <v>0</v>
      </c>
    </row>
    <row r="916" spans="1:9" s="315" customFormat="1" x14ac:dyDescent="0.2">
      <c r="A916" t="s">
        <v>1631</v>
      </c>
      <c r="B916" t="s">
        <v>2968</v>
      </c>
      <c r="C916"/>
      <c r="D916" t="b">
        <f>IFERROR(VLOOKUP(B916,PatData!$A$2:$A$2000,1,),"")&lt;&gt;""</f>
        <v>1</v>
      </c>
      <c r="E916" t="b">
        <v>0</v>
      </c>
      <c r="F916" t="b">
        <v>0</v>
      </c>
      <c r="G916" t="b">
        <v>1</v>
      </c>
      <c r="H916" t="b">
        <v>1</v>
      </c>
      <c r="I916" t="b">
        <v>0</v>
      </c>
    </row>
    <row r="917" spans="1:9" s="315" customFormat="1" x14ac:dyDescent="0.2">
      <c r="A917" t="s">
        <v>1632</v>
      </c>
      <c r="B917" t="s">
        <v>2969</v>
      </c>
      <c r="C917"/>
      <c r="D917" t="b">
        <f>IFERROR(VLOOKUP(B917,PatData!$A$2:$A$2000,1,),"")&lt;&gt;""</f>
        <v>1</v>
      </c>
      <c r="E917" t="b">
        <v>0</v>
      </c>
      <c r="F917" t="b">
        <v>0</v>
      </c>
      <c r="G917" t="b">
        <v>1</v>
      </c>
      <c r="H917" t="b">
        <v>1</v>
      </c>
      <c r="I917" t="b">
        <v>0</v>
      </c>
    </row>
    <row r="918" spans="1:9" s="315" customFormat="1" x14ac:dyDescent="0.2">
      <c r="A918" t="s">
        <v>1633</v>
      </c>
      <c r="B918" t="s">
        <v>2970</v>
      </c>
      <c r="C918"/>
      <c r="D918" t="b">
        <f>IFERROR(VLOOKUP(B918,PatData!$A$2:$A$2000,1,),"")&lt;&gt;""</f>
        <v>1</v>
      </c>
      <c r="E918" t="b">
        <v>0</v>
      </c>
      <c r="F918" t="b">
        <v>0</v>
      </c>
      <c r="G918" t="b">
        <v>1</v>
      </c>
      <c r="H918" t="b">
        <v>1</v>
      </c>
      <c r="I918" t="b">
        <v>0</v>
      </c>
    </row>
    <row r="919" spans="1:9" s="315" customFormat="1" x14ac:dyDescent="0.2">
      <c r="A919" t="s">
        <v>1634</v>
      </c>
      <c r="B919" t="s">
        <v>2971</v>
      </c>
      <c r="C919"/>
      <c r="D919" t="b">
        <f>IFERROR(VLOOKUP(B919,PatData!$A$2:$A$2000,1,),"")&lt;&gt;""</f>
        <v>1</v>
      </c>
      <c r="E919" t="b">
        <v>0</v>
      </c>
      <c r="F919" t="b">
        <v>0</v>
      </c>
      <c r="G919" t="b">
        <v>1</v>
      </c>
      <c r="H919" t="b">
        <v>1</v>
      </c>
      <c r="I919" t="b">
        <v>0</v>
      </c>
    </row>
    <row r="920" spans="1:9" s="315" customFormat="1" x14ac:dyDescent="0.2">
      <c r="A920" t="s">
        <v>1635</v>
      </c>
      <c r="B920" t="s">
        <v>2972</v>
      </c>
      <c r="C920"/>
      <c r="D920" t="b">
        <f>IFERROR(VLOOKUP(B920,PatData!$A$2:$A$2000,1,),"")&lt;&gt;""</f>
        <v>1</v>
      </c>
      <c r="E920" t="b">
        <v>0</v>
      </c>
      <c r="F920" t="b">
        <v>0</v>
      </c>
      <c r="G920" t="b">
        <v>1</v>
      </c>
      <c r="H920" t="b">
        <v>1</v>
      </c>
      <c r="I920" t="b">
        <v>0</v>
      </c>
    </row>
    <row r="921" spans="1:9" s="315" customFormat="1" x14ac:dyDescent="0.2">
      <c r="A921" t="s">
        <v>1636</v>
      </c>
      <c r="B921" t="s">
        <v>2973</v>
      </c>
      <c r="C921"/>
      <c r="D921" t="b">
        <f>IFERROR(VLOOKUP(B921,PatData!$A$2:$A$2000,1,),"")&lt;&gt;""</f>
        <v>1</v>
      </c>
      <c r="E921" t="b">
        <v>0</v>
      </c>
      <c r="F921" t="b">
        <v>0</v>
      </c>
      <c r="G921" t="b">
        <v>1</v>
      </c>
      <c r="H921" t="b">
        <v>1</v>
      </c>
      <c r="I921" t="b">
        <v>0</v>
      </c>
    </row>
    <row r="922" spans="1:9" s="315" customFormat="1" x14ac:dyDescent="0.2">
      <c r="A922" t="s">
        <v>1637</v>
      </c>
      <c r="B922" t="s">
        <v>2974</v>
      </c>
      <c r="C922"/>
      <c r="D922" t="b">
        <f>IFERROR(VLOOKUP(B922,PatData!$A$2:$A$2000,1,),"")&lt;&gt;""</f>
        <v>1</v>
      </c>
      <c r="E922" t="b">
        <v>0</v>
      </c>
      <c r="F922" t="b">
        <v>0</v>
      </c>
      <c r="G922" t="b">
        <v>1</v>
      </c>
      <c r="H922" t="b">
        <v>1</v>
      </c>
      <c r="I922" t="b">
        <v>0</v>
      </c>
    </row>
    <row r="923" spans="1:9" s="315" customFormat="1" x14ac:dyDescent="0.2">
      <c r="A923" t="s">
        <v>1638</v>
      </c>
      <c r="B923" t="s">
        <v>2975</v>
      </c>
      <c r="C923"/>
      <c r="D923" t="b">
        <f>IFERROR(VLOOKUP(B923,PatData!$A$2:$A$2000,1,),"")&lt;&gt;""</f>
        <v>1</v>
      </c>
      <c r="E923" t="b">
        <v>0</v>
      </c>
      <c r="F923" t="b">
        <v>0</v>
      </c>
      <c r="G923" t="b">
        <v>1</v>
      </c>
      <c r="H923" t="b">
        <v>1</v>
      </c>
      <c r="I923" t="b">
        <v>0</v>
      </c>
    </row>
    <row r="924" spans="1:9" s="315" customFormat="1" x14ac:dyDescent="0.2">
      <c r="A924" t="s">
        <v>1640</v>
      </c>
      <c r="B924" t="s">
        <v>2976</v>
      </c>
      <c r="C924"/>
      <c r="D924" t="b">
        <f>IFERROR(VLOOKUP(B924,PatData!$A$2:$A$2000,1,),"")&lt;&gt;""</f>
        <v>1</v>
      </c>
      <c r="E924" t="b">
        <v>0</v>
      </c>
      <c r="F924" t="b">
        <v>0</v>
      </c>
      <c r="G924" t="b">
        <v>1</v>
      </c>
      <c r="H924" t="b">
        <v>1</v>
      </c>
      <c r="I924" t="b">
        <v>0</v>
      </c>
    </row>
    <row r="925" spans="1:9" s="315" customFormat="1" x14ac:dyDescent="0.2">
      <c r="A925" t="s">
        <v>1641</v>
      </c>
      <c r="B925" t="s">
        <v>2977</v>
      </c>
      <c r="C925"/>
      <c r="D925" t="b">
        <f>IFERROR(VLOOKUP(B925,PatData!$A$2:$A$2000,1,),"")&lt;&gt;""</f>
        <v>1</v>
      </c>
      <c r="E925" t="b">
        <v>0</v>
      </c>
      <c r="F925" t="b">
        <v>0</v>
      </c>
      <c r="G925" t="b">
        <v>1</v>
      </c>
      <c r="H925" t="b">
        <v>1</v>
      </c>
      <c r="I925" t="b">
        <v>0</v>
      </c>
    </row>
    <row r="926" spans="1:9" s="315" customFormat="1" x14ac:dyDescent="0.2">
      <c r="A926" t="s">
        <v>1642</v>
      </c>
      <c r="B926" t="s">
        <v>2978</v>
      </c>
      <c r="C926"/>
      <c r="D926" t="b">
        <f>IFERROR(VLOOKUP(B926,PatData!$A$2:$A$2000,1,),"")&lt;&gt;""</f>
        <v>1</v>
      </c>
      <c r="E926" t="b">
        <v>0</v>
      </c>
      <c r="F926" t="b">
        <v>0</v>
      </c>
      <c r="G926" t="b">
        <v>1</v>
      </c>
      <c r="H926" t="b">
        <v>1</v>
      </c>
      <c r="I926" t="b">
        <v>0</v>
      </c>
    </row>
    <row r="927" spans="1:9" s="315" customFormat="1" x14ac:dyDescent="0.2">
      <c r="A927" t="s">
        <v>1643</v>
      </c>
      <c r="B927" t="s">
        <v>2979</v>
      </c>
      <c r="C927"/>
      <c r="D927" t="b">
        <f>IFERROR(VLOOKUP(B927,PatData!$A$2:$A$2000,1,),"")&lt;&gt;""</f>
        <v>1</v>
      </c>
      <c r="E927" t="b">
        <v>0</v>
      </c>
      <c r="F927" t="b">
        <v>0</v>
      </c>
      <c r="G927" t="b">
        <v>1</v>
      </c>
      <c r="H927" t="b">
        <v>1</v>
      </c>
      <c r="I927" t="b">
        <v>0</v>
      </c>
    </row>
    <row r="928" spans="1:9" s="315" customFormat="1" x14ac:dyDescent="0.2">
      <c r="A928" t="s">
        <v>1644</v>
      </c>
      <c r="B928" t="s">
        <v>2980</v>
      </c>
      <c r="C928"/>
      <c r="D928" t="b">
        <f>IFERROR(VLOOKUP(B928,PatData!$A$2:$A$2000,1,),"")&lt;&gt;""</f>
        <v>1</v>
      </c>
      <c r="E928" t="b">
        <v>0</v>
      </c>
      <c r="F928" t="b">
        <v>0</v>
      </c>
      <c r="G928" t="b">
        <v>1</v>
      </c>
      <c r="H928" t="b">
        <v>1</v>
      </c>
      <c r="I928" t="b">
        <v>0</v>
      </c>
    </row>
    <row r="929" spans="1:9" x14ac:dyDescent="0.2">
      <c r="A929" t="s">
        <v>1645</v>
      </c>
      <c r="B929" t="s">
        <v>2981</v>
      </c>
      <c r="D929" t="b">
        <f>IFERROR(VLOOKUP(B929,PatData!$A$2:$A$2000,1,),"")&lt;&gt;""</f>
        <v>1</v>
      </c>
      <c r="E929" t="b">
        <v>0</v>
      </c>
      <c r="F929" t="b">
        <v>0</v>
      </c>
      <c r="G929" t="b">
        <v>1</v>
      </c>
      <c r="H929" t="b">
        <v>1</v>
      </c>
      <c r="I929" t="b">
        <v>0</v>
      </c>
    </row>
    <row r="930" spans="1:9" x14ac:dyDescent="0.2">
      <c r="A930" t="s">
        <v>1646</v>
      </c>
      <c r="B930" t="s">
        <v>2982</v>
      </c>
      <c r="D930" t="b">
        <f>IFERROR(VLOOKUP(B930,PatData!$A$2:$A$2000,1,),"")&lt;&gt;""</f>
        <v>1</v>
      </c>
      <c r="E930" t="b">
        <v>0</v>
      </c>
      <c r="F930" t="b">
        <v>0</v>
      </c>
      <c r="G930" t="b">
        <v>1</v>
      </c>
      <c r="H930" t="b">
        <v>1</v>
      </c>
      <c r="I930" t="b">
        <v>0</v>
      </c>
    </row>
    <row r="931" spans="1:9" x14ac:dyDescent="0.2">
      <c r="A931" t="s">
        <v>1647</v>
      </c>
      <c r="B931" t="s">
        <v>2983</v>
      </c>
      <c r="D931" t="b">
        <f>IFERROR(VLOOKUP(B931,PatData!$A$2:$A$2000,1,),"")&lt;&gt;""</f>
        <v>1</v>
      </c>
      <c r="E931" t="b">
        <v>0</v>
      </c>
      <c r="F931" t="b">
        <v>0</v>
      </c>
      <c r="G931" t="b">
        <v>1</v>
      </c>
      <c r="H931" t="b">
        <v>1</v>
      </c>
      <c r="I931" t="b">
        <v>0</v>
      </c>
    </row>
    <row r="932" spans="1:9" x14ac:dyDescent="0.2">
      <c r="A932" t="s">
        <v>1648</v>
      </c>
      <c r="B932" t="s">
        <v>2984</v>
      </c>
      <c r="D932" t="b">
        <f>IFERROR(VLOOKUP(B932,PatData!$A$2:$A$2000,1,),"")&lt;&gt;""</f>
        <v>1</v>
      </c>
      <c r="E932" t="b">
        <v>0</v>
      </c>
      <c r="F932" t="b">
        <v>0</v>
      </c>
      <c r="G932" t="b">
        <v>1</v>
      </c>
      <c r="H932" t="b">
        <v>1</v>
      </c>
      <c r="I932" t="b">
        <v>0</v>
      </c>
    </row>
    <row r="933" spans="1:9" x14ac:dyDescent="0.2">
      <c r="A933" t="s">
        <v>1649</v>
      </c>
      <c r="B933" t="s">
        <v>2985</v>
      </c>
      <c r="D933" t="b">
        <f>IFERROR(VLOOKUP(B933,PatData!$A$2:$A$2000,1,),"")&lt;&gt;""</f>
        <v>1</v>
      </c>
      <c r="E933" t="b">
        <v>0</v>
      </c>
      <c r="F933" t="b">
        <v>0</v>
      </c>
      <c r="G933" t="b">
        <v>1</v>
      </c>
      <c r="H933" t="b">
        <v>1</v>
      </c>
      <c r="I933" t="b">
        <v>0</v>
      </c>
    </row>
    <row r="934" spans="1:9" x14ac:dyDescent="0.2">
      <c r="A934" t="s">
        <v>1651</v>
      </c>
      <c r="B934" t="s">
        <v>2986</v>
      </c>
      <c r="D934" t="b">
        <f>IFERROR(VLOOKUP(B934,PatData!$A$2:$A$2000,1,),"")&lt;&gt;""</f>
        <v>1</v>
      </c>
      <c r="E934" t="b">
        <v>0</v>
      </c>
      <c r="F934" t="b">
        <v>0</v>
      </c>
      <c r="G934" t="b">
        <v>1</v>
      </c>
      <c r="H934" t="b">
        <v>1</v>
      </c>
      <c r="I934" t="b">
        <v>0</v>
      </c>
    </row>
    <row r="935" spans="1:9" x14ac:dyDescent="0.2">
      <c r="A935" t="s">
        <v>1652</v>
      </c>
      <c r="B935" t="s">
        <v>2987</v>
      </c>
      <c r="D935" t="b">
        <f>IFERROR(VLOOKUP(B935,PatData!$A$2:$A$2000,1,),"")&lt;&gt;""</f>
        <v>1</v>
      </c>
      <c r="E935" t="b">
        <v>0</v>
      </c>
      <c r="F935" t="b">
        <v>0</v>
      </c>
      <c r="G935" t="b">
        <v>1</v>
      </c>
      <c r="H935" t="b">
        <v>1</v>
      </c>
      <c r="I935" t="b">
        <v>0</v>
      </c>
    </row>
    <row r="936" spans="1:9" x14ac:dyDescent="0.2">
      <c r="A936" t="s">
        <v>1659</v>
      </c>
      <c r="B936" t="s">
        <v>2988</v>
      </c>
      <c r="D936" t="b">
        <f>IFERROR(VLOOKUP(B936,PatData!$A$2:$A$2000,1,),"")&lt;&gt;""</f>
        <v>1</v>
      </c>
      <c r="E936" t="b">
        <v>0</v>
      </c>
      <c r="F936" t="b">
        <v>0</v>
      </c>
      <c r="G936" t="b">
        <v>1</v>
      </c>
      <c r="H936" t="b">
        <v>1</v>
      </c>
      <c r="I936" t="b">
        <v>0</v>
      </c>
    </row>
    <row r="937" spans="1:9" x14ac:dyDescent="0.2">
      <c r="A937" t="s">
        <v>1670</v>
      </c>
      <c r="B937" t="s">
        <v>2989</v>
      </c>
      <c r="D937" t="b">
        <f>IFERROR(VLOOKUP(B937,PatData!$A$2:$A$2000,1,),"")&lt;&gt;""</f>
        <v>1</v>
      </c>
      <c r="E937" t="b">
        <v>0</v>
      </c>
      <c r="F937" t="b">
        <v>0</v>
      </c>
      <c r="G937" t="b">
        <v>1</v>
      </c>
      <c r="H937" t="b">
        <v>1</v>
      </c>
      <c r="I937" t="b">
        <v>0</v>
      </c>
    </row>
    <row r="938" spans="1:9" x14ac:dyDescent="0.2">
      <c r="A938" t="s">
        <v>1681</v>
      </c>
      <c r="B938" t="s">
        <v>2990</v>
      </c>
      <c r="D938" t="b">
        <f>IFERROR(VLOOKUP(B938,PatData!$A$2:$A$2000,1,),"")&lt;&gt;""</f>
        <v>1</v>
      </c>
      <c r="E938" t="b">
        <v>0</v>
      </c>
      <c r="F938" t="b">
        <v>0</v>
      </c>
      <c r="G938" t="b">
        <v>1</v>
      </c>
      <c r="H938" t="b">
        <v>1</v>
      </c>
      <c r="I938" t="b">
        <v>0</v>
      </c>
    </row>
    <row r="939" spans="1:9" x14ac:dyDescent="0.2">
      <c r="A939" t="s">
        <v>1684</v>
      </c>
      <c r="B939" t="s">
        <v>2991</v>
      </c>
      <c r="D939" t="b">
        <f>IFERROR(VLOOKUP(B939,PatData!$A$2:$A$2000,1,),"")&lt;&gt;""</f>
        <v>1</v>
      </c>
      <c r="E939" t="b">
        <v>0</v>
      </c>
      <c r="F939" t="b">
        <v>0</v>
      </c>
      <c r="G939" t="b">
        <v>1</v>
      </c>
      <c r="H939" t="b">
        <v>1</v>
      </c>
      <c r="I939" t="b">
        <v>0</v>
      </c>
    </row>
    <row r="940" spans="1:9" x14ac:dyDescent="0.2">
      <c r="A940" t="s">
        <v>1685</v>
      </c>
      <c r="B940" t="s">
        <v>2992</v>
      </c>
      <c r="D940" t="b">
        <f>IFERROR(VLOOKUP(B940,PatData!$A$2:$A$2000,1,),"")&lt;&gt;""</f>
        <v>1</v>
      </c>
      <c r="E940" t="b">
        <v>0</v>
      </c>
      <c r="F940" t="b">
        <v>0</v>
      </c>
      <c r="G940" t="b">
        <v>1</v>
      </c>
      <c r="H940" t="b">
        <v>1</v>
      </c>
      <c r="I940" t="b">
        <v>0</v>
      </c>
    </row>
    <row r="941" spans="1:9" x14ac:dyDescent="0.2">
      <c r="A941" t="s">
        <v>1686</v>
      </c>
      <c r="B941" t="s">
        <v>2993</v>
      </c>
      <c r="D941" t="b">
        <f>IFERROR(VLOOKUP(B941,PatData!$A$2:$A$2000,1,),"")&lt;&gt;""</f>
        <v>1</v>
      </c>
      <c r="E941" t="b">
        <v>0</v>
      </c>
      <c r="F941" t="b">
        <v>0</v>
      </c>
      <c r="G941" t="b">
        <v>1</v>
      </c>
      <c r="H941" t="b">
        <v>1</v>
      </c>
      <c r="I941" t="b">
        <v>0</v>
      </c>
    </row>
    <row r="942" spans="1:9" x14ac:dyDescent="0.2">
      <c r="A942" t="s">
        <v>1687</v>
      </c>
      <c r="B942" t="s">
        <v>2994</v>
      </c>
      <c r="D942" t="b">
        <f>IFERROR(VLOOKUP(B942,PatData!$A$2:$A$2000,1,),"")&lt;&gt;""</f>
        <v>1</v>
      </c>
      <c r="E942" t="b">
        <v>0</v>
      </c>
      <c r="F942" t="b">
        <v>0</v>
      </c>
      <c r="G942" t="b">
        <v>1</v>
      </c>
      <c r="H942" t="b">
        <v>1</v>
      </c>
      <c r="I942" t="b">
        <v>0</v>
      </c>
    </row>
    <row r="943" spans="1:9" x14ac:dyDescent="0.2">
      <c r="A943" t="s">
        <v>1688</v>
      </c>
      <c r="B943" t="s">
        <v>2995</v>
      </c>
      <c r="D943" t="b">
        <f>IFERROR(VLOOKUP(B943,PatData!$A$2:$A$2000,1,),"")&lt;&gt;""</f>
        <v>1</v>
      </c>
      <c r="E943" t="b">
        <v>0</v>
      </c>
      <c r="F943" t="b">
        <v>0</v>
      </c>
      <c r="G943" t="b">
        <v>1</v>
      </c>
      <c r="H943" t="b">
        <v>1</v>
      </c>
      <c r="I943" t="b">
        <v>0</v>
      </c>
    </row>
    <row r="944" spans="1:9" x14ac:dyDescent="0.2">
      <c r="A944" t="s">
        <v>1689</v>
      </c>
      <c r="B944" t="s">
        <v>2996</v>
      </c>
      <c r="D944" t="b">
        <f>IFERROR(VLOOKUP(B944,PatData!$A$2:$A$2000,1,),"")&lt;&gt;""</f>
        <v>1</v>
      </c>
      <c r="E944" t="b">
        <v>0</v>
      </c>
      <c r="F944" t="b">
        <v>0</v>
      </c>
      <c r="G944" t="b">
        <v>1</v>
      </c>
      <c r="H944" t="b">
        <v>1</v>
      </c>
      <c r="I944" t="b">
        <v>0</v>
      </c>
    </row>
    <row r="945" spans="1:9" x14ac:dyDescent="0.2">
      <c r="A945" t="s">
        <v>1660</v>
      </c>
      <c r="B945" t="s">
        <v>2997</v>
      </c>
      <c r="D945" t="b">
        <f>IFERROR(VLOOKUP(B945,PatData!$A$2:$A$2000,1,),"")&lt;&gt;""</f>
        <v>1</v>
      </c>
      <c r="E945" t="b">
        <v>0</v>
      </c>
      <c r="F945" t="b">
        <v>0</v>
      </c>
      <c r="G945" t="b">
        <v>1</v>
      </c>
      <c r="H945" t="b">
        <v>1</v>
      </c>
      <c r="I945" t="b">
        <v>0</v>
      </c>
    </row>
    <row r="946" spans="1:9" x14ac:dyDescent="0.2">
      <c r="A946" t="s">
        <v>1661</v>
      </c>
      <c r="B946" t="s">
        <v>2998</v>
      </c>
      <c r="D946" t="b">
        <f>IFERROR(VLOOKUP(B946,PatData!$A$2:$A$2000,1,),"")&lt;&gt;""</f>
        <v>1</v>
      </c>
      <c r="E946" t="b">
        <v>0</v>
      </c>
      <c r="F946" t="b">
        <v>0</v>
      </c>
      <c r="G946" t="b">
        <v>1</v>
      </c>
      <c r="H946" t="b">
        <v>1</v>
      </c>
      <c r="I946" t="b">
        <v>0</v>
      </c>
    </row>
    <row r="947" spans="1:9" x14ac:dyDescent="0.2">
      <c r="A947" t="s">
        <v>1662</v>
      </c>
      <c r="B947" t="s">
        <v>2999</v>
      </c>
      <c r="D947" t="b">
        <f>IFERROR(VLOOKUP(B947,PatData!$A$2:$A$2000,1,),"")&lt;&gt;""</f>
        <v>1</v>
      </c>
      <c r="E947" t="b">
        <v>0</v>
      </c>
      <c r="F947" t="b">
        <v>0</v>
      </c>
      <c r="G947" t="b">
        <v>1</v>
      </c>
      <c r="H947" t="b">
        <v>1</v>
      </c>
      <c r="I947" t="b">
        <v>0</v>
      </c>
    </row>
    <row r="948" spans="1:9" x14ac:dyDescent="0.2">
      <c r="A948" t="s">
        <v>1663</v>
      </c>
      <c r="B948" t="s">
        <v>3000</v>
      </c>
      <c r="D948" t="b">
        <f>IFERROR(VLOOKUP(B948,PatData!$A$2:$A$2000,1,),"")&lt;&gt;""</f>
        <v>1</v>
      </c>
      <c r="E948" t="b">
        <v>0</v>
      </c>
      <c r="F948" t="b">
        <v>0</v>
      </c>
      <c r="G948" t="b">
        <v>1</v>
      </c>
      <c r="H948" t="b">
        <v>1</v>
      </c>
      <c r="I948" t="b">
        <v>0</v>
      </c>
    </row>
    <row r="949" spans="1:9" x14ac:dyDescent="0.2">
      <c r="A949" t="s">
        <v>1664</v>
      </c>
      <c r="B949" t="s">
        <v>3001</v>
      </c>
      <c r="D949" t="b">
        <f>IFERROR(VLOOKUP(B949,PatData!$A$2:$A$2000,1,),"")&lt;&gt;""</f>
        <v>1</v>
      </c>
      <c r="E949" t="b">
        <v>0</v>
      </c>
      <c r="F949" t="b">
        <v>0</v>
      </c>
      <c r="G949" t="b">
        <v>1</v>
      </c>
      <c r="H949" t="b">
        <v>1</v>
      </c>
      <c r="I949" t="b">
        <v>0</v>
      </c>
    </row>
    <row r="950" spans="1:9" x14ac:dyDescent="0.2">
      <c r="A950" t="s">
        <v>1665</v>
      </c>
      <c r="B950" t="s">
        <v>3002</v>
      </c>
      <c r="D950" t="b">
        <f>IFERROR(VLOOKUP(B950,PatData!$A$2:$A$2000,1,),"")&lt;&gt;""</f>
        <v>1</v>
      </c>
      <c r="E950" t="b">
        <v>0</v>
      </c>
      <c r="F950" t="b">
        <v>0</v>
      </c>
      <c r="G950" t="b">
        <v>1</v>
      </c>
      <c r="H950" t="b">
        <v>1</v>
      </c>
      <c r="I950" t="b">
        <v>0</v>
      </c>
    </row>
    <row r="951" spans="1:9" x14ac:dyDescent="0.2">
      <c r="A951" t="s">
        <v>1666</v>
      </c>
      <c r="B951" t="s">
        <v>3003</v>
      </c>
      <c r="D951" t="b">
        <f>IFERROR(VLOOKUP(B951,PatData!$A$2:$A$2000,1,),"")&lt;&gt;""</f>
        <v>1</v>
      </c>
      <c r="E951" t="b">
        <v>0</v>
      </c>
      <c r="F951" t="b">
        <v>0</v>
      </c>
      <c r="G951" t="b">
        <v>1</v>
      </c>
      <c r="H951" t="b">
        <v>1</v>
      </c>
      <c r="I951" t="b">
        <v>0</v>
      </c>
    </row>
    <row r="952" spans="1:9" x14ac:dyDescent="0.2">
      <c r="A952" t="s">
        <v>1667</v>
      </c>
      <c r="B952" t="s">
        <v>3004</v>
      </c>
      <c r="D952" t="b">
        <f>IFERROR(VLOOKUP(B952,PatData!$A$2:$A$2000,1,),"")&lt;&gt;""</f>
        <v>1</v>
      </c>
      <c r="E952" t="b">
        <v>0</v>
      </c>
      <c r="F952" t="b">
        <v>0</v>
      </c>
      <c r="G952" t="b">
        <v>1</v>
      </c>
      <c r="H952" t="b">
        <v>1</v>
      </c>
      <c r="I952" t="b">
        <v>0</v>
      </c>
    </row>
    <row r="953" spans="1:9" x14ac:dyDescent="0.2">
      <c r="A953" t="s">
        <v>1668</v>
      </c>
      <c r="B953" t="s">
        <v>3005</v>
      </c>
      <c r="D953" t="b">
        <f>IFERROR(VLOOKUP(B953,PatData!$A$2:$A$2000,1,),"")&lt;&gt;""</f>
        <v>1</v>
      </c>
      <c r="E953" t="b">
        <v>0</v>
      </c>
      <c r="F953" t="b">
        <v>0</v>
      </c>
      <c r="G953" t="b">
        <v>1</v>
      </c>
      <c r="H953" t="b">
        <v>1</v>
      </c>
      <c r="I953" t="b">
        <v>0</v>
      </c>
    </row>
    <row r="954" spans="1:9" x14ac:dyDescent="0.2">
      <c r="A954" t="s">
        <v>1669</v>
      </c>
      <c r="B954" t="s">
        <v>3006</v>
      </c>
      <c r="D954" t="b">
        <f>IFERROR(VLOOKUP(B954,PatData!$A$2:$A$2000,1,),"")&lt;&gt;""</f>
        <v>1</v>
      </c>
      <c r="E954" t="b">
        <v>0</v>
      </c>
      <c r="F954" t="b">
        <v>0</v>
      </c>
      <c r="G954" t="b">
        <v>1</v>
      </c>
      <c r="H954" t="b">
        <v>1</v>
      </c>
      <c r="I954" t="b">
        <v>0</v>
      </c>
    </row>
    <row r="955" spans="1:9" x14ac:dyDescent="0.2">
      <c r="A955" t="s">
        <v>1671</v>
      </c>
      <c r="B955" t="s">
        <v>3007</v>
      </c>
      <c r="D955" t="b">
        <f>IFERROR(VLOOKUP(B955,PatData!$A$2:$A$2000,1,),"")&lt;&gt;""</f>
        <v>1</v>
      </c>
      <c r="E955" t="b">
        <v>0</v>
      </c>
      <c r="F955" t="b">
        <v>0</v>
      </c>
      <c r="G955" t="b">
        <v>1</v>
      </c>
      <c r="H955" t="b">
        <v>1</v>
      </c>
      <c r="I955" t="b">
        <v>0</v>
      </c>
    </row>
    <row r="956" spans="1:9" x14ac:dyDescent="0.2">
      <c r="A956" t="s">
        <v>1672</v>
      </c>
      <c r="B956" t="s">
        <v>3008</v>
      </c>
      <c r="D956" t="b">
        <f>IFERROR(VLOOKUP(B956,PatData!$A$2:$A$2000,1,),"")&lt;&gt;""</f>
        <v>1</v>
      </c>
      <c r="E956" t="b">
        <v>0</v>
      </c>
      <c r="F956" t="b">
        <v>0</v>
      </c>
      <c r="G956" t="b">
        <v>1</v>
      </c>
      <c r="H956" t="b">
        <v>1</v>
      </c>
      <c r="I956" t="b">
        <v>0</v>
      </c>
    </row>
    <row r="957" spans="1:9" x14ac:dyDescent="0.2">
      <c r="A957" t="s">
        <v>1673</v>
      </c>
      <c r="B957" t="s">
        <v>3009</v>
      </c>
      <c r="D957" t="b">
        <f>IFERROR(VLOOKUP(B957,PatData!$A$2:$A$2000,1,),"")&lt;&gt;""</f>
        <v>1</v>
      </c>
      <c r="E957" t="b">
        <v>0</v>
      </c>
      <c r="F957" t="b">
        <v>0</v>
      </c>
      <c r="G957" t="b">
        <v>1</v>
      </c>
      <c r="H957" t="b">
        <v>1</v>
      </c>
      <c r="I957" t="b">
        <v>0</v>
      </c>
    </row>
    <row r="958" spans="1:9" x14ac:dyDescent="0.2">
      <c r="A958" t="s">
        <v>1674</v>
      </c>
      <c r="B958" t="s">
        <v>3010</v>
      </c>
      <c r="D958" t="b">
        <f>IFERROR(VLOOKUP(B958,PatData!$A$2:$A$2000,1,),"")&lt;&gt;""</f>
        <v>1</v>
      </c>
      <c r="E958" t="b">
        <v>0</v>
      </c>
      <c r="F958" t="b">
        <v>0</v>
      </c>
      <c r="G958" t="b">
        <v>1</v>
      </c>
      <c r="H958" t="b">
        <v>1</v>
      </c>
      <c r="I958" t="b">
        <v>0</v>
      </c>
    </row>
    <row r="959" spans="1:9" x14ac:dyDescent="0.2">
      <c r="A959" t="s">
        <v>1675</v>
      </c>
      <c r="B959" t="s">
        <v>3011</v>
      </c>
      <c r="D959" t="b">
        <f>IFERROR(VLOOKUP(B959,PatData!$A$2:$A$2000,1,),"")&lt;&gt;""</f>
        <v>1</v>
      </c>
      <c r="E959" t="b">
        <v>0</v>
      </c>
      <c r="F959" t="b">
        <v>0</v>
      </c>
      <c r="G959" t="b">
        <v>1</v>
      </c>
      <c r="H959" t="b">
        <v>1</v>
      </c>
      <c r="I959" t="b">
        <v>0</v>
      </c>
    </row>
    <row r="960" spans="1:9" x14ac:dyDescent="0.2">
      <c r="A960" t="s">
        <v>1676</v>
      </c>
      <c r="B960" t="s">
        <v>3012</v>
      </c>
      <c r="D960" t="b">
        <f>IFERROR(VLOOKUP(B960,PatData!$A$2:$A$2000,1,),"")&lt;&gt;""</f>
        <v>1</v>
      </c>
      <c r="E960" t="b">
        <v>0</v>
      </c>
      <c r="F960" t="b">
        <v>0</v>
      </c>
      <c r="G960" t="b">
        <v>1</v>
      </c>
      <c r="H960" t="b">
        <v>1</v>
      </c>
      <c r="I960" t="b">
        <v>0</v>
      </c>
    </row>
    <row r="961" spans="1:9" x14ac:dyDescent="0.2">
      <c r="A961" t="s">
        <v>1677</v>
      </c>
      <c r="B961" t="s">
        <v>3013</v>
      </c>
      <c r="D961" t="b">
        <f>IFERROR(VLOOKUP(B961,PatData!$A$2:$A$2000,1,),"")&lt;&gt;""</f>
        <v>1</v>
      </c>
      <c r="E961" t="b">
        <v>0</v>
      </c>
      <c r="F961" t="b">
        <v>0</v>
      </c>
      <c r="G961" t="b">
        <v>1</v>
      </c>
      <c r="H961" t="b">
        <v>1</v>
      </c>
      <c r="I961" t="b">
        <v>0</v>
      </c>
    </row>
    <row r="962" spans="1:9" x14ac:dyDescent="0.2">
      <c r="A962" t="s">
        <v>1678</v>
      </c>
      <c r="B962" t="s">
        <v>3014</v>
      </c>
      <c r="D962" t="b">
        <f>IFERROR(VLOOKUP(B962,PatData!$A$2:$A$2000,1,),"")&lt;&gt;""</f>
        <v>1</v>
      </c>
      <c r="E962" t="b">
        <v>0</v>
      </c>
      <c r="F962" t="b">
        <v>0</v>
      </c>
      <c r="G962" t="b">
        <v>1</v>
      </c>
      <c r="H962" t="b">
        <v>1</v>
      </c>
      <c r="I962" t="b">
        <v>0</v>
      </c>
    </row>
    <row r="963" spans="1:9" x14ac:dyDescent="0.2">
      <c r="A963" t="s">
        <v>1679</v>
      </c>
      <c r="B963" t="s">
        <v>3015</v>
      </c>
      <c r="D963" t="b">
        <f>IFERROR(VLOOKUP(B963,PatData!$A$2:$A$2000,1,),"")&lt;&gt;""</f>
        <v>1</v>
      </c>
      <c r="E963" t="b">
        <v>0</v>
      </c>
      <c r="F963" t="b">
        <v>0</v>
      </c>
      <c r="G963" t="b">
        <v>1</v>
      </c>
      <c r="H963" t="b">
        <v>1</v>
      </c>
      <c r="I963" t="b">
        <v>0</v>
      </c>
    </row>
    <row r="964" spans="1:9" x14ac:dyDescent="0.2">
      <c r="A964" t="s">
        <v>1680</v>
      </c>
      <c r="B964" t="s">
        <v>3016</v>
      </c>
      <c r="D964" t="b">
        <f>IFERROR(VLOOKUP(B964,PatData!$A$2:$A$2000,1,),"")&lt;&gt;""</f>
        <v>1</v>
      </c>
      <c r="E964" t="b">
        <v>0</v>
      </c>
      <c r="F964" t="b">
        <v>0</v>
      </c>
      <c r="G964" t="b">
        <v>1</v>
      </c>
      <c r="H964" t="b">
        <v>1</v>
      </c>
      <c r="I964" t="b">
        <v>0</v>
      </c>
    </row>
    <row r="965" spans="1:9" x14ac:dyDescent="0.2">
      <c r="A965" t="s">
        <v>1682</v>
      </c>
      <c r="B965" t="s">
        <v>3017</v>
      </c>
      <c r="D965" t="b">
        <f>IFERROR(VLOOKUP(B965,PatData!$A$2:$A$2000,1,),"")&lt;&gt;""</f>
        <v>1</v>
      </c>
      <c r="E965" t="b">
        <v>0</v>
      </c>
      <c r="F965" t="b">
        <v>0</v>
      </c>
      <c r="G965" t="b">
        <v>1</v>
      </c>
      <c r="H965" t="b">
        <v>1</v>
      </c>
      <c r="I965" t="b">
        <v>0</v>
      </c>
    </row>
    <row r="966" spans="1:9" x14ac:dyDescent="0.2">
      <c r="A966" t="s">
        <v>1683</v>
      </c>
      <c r="B966" t="s">
        <v>3018</v>
      </c>
      <c r="D966" t="b">
        <f>IFERROR(VLOOKUP(B966,PatData!$A$2:$A$2000,1,),"")&lt;&gt;""</f>
        <v>1</v>
      </c>
      <c r="E966" t="b">
        <v>0</v>
      </c>
      <c r="F966" t="b">
        <v>0</v>
      </c>
      <c r="G966" t="b">
        <v>1</v>
      </c>
      <c r="H966" t="b">
        <v>1</v>
      </c>
      <c r="I966" t="b">
        <v>0</v>
      </c>
    </row>
    <row r="967" spans="1:9" x14ac:dyDescent="0.2">
      <c r="A967" t="s">
        <v>1690</v>
      </c>
      <c r="B967" t="s">
        <v>3019</v>
      </c>
      <c r="D967" t="b">
        <f>IFERROR(VLOOKUP(B967,PatData!$A$2:$A$2000,1,),"")&lt;&gt;""</f>
        <v>1</v>
      </c>
      <c r="E967" t="b">
        <v>0</v>
      </c>
      <c r="F967" t="b">
        <v>0</v>
      </c>
      <c r="G967" t="b">
        <v>1</v>
      </c>
      <c r="H967" t="b">
        <v>1</v>
      </c>
      <c r="I967" t="b">
        <v>0</v>
      </c>
    </row>
    <row r="968" spans="1:9" x14ac:dyDescent="0.2">
      <c r="A968" t="s">
        <v>1701</v>
      </c>
      <c r="B968" t="s">
        <v>3020</v>
      </c>
      <c r="D968" t="b">
        <f>IFERROR(VLOOKUP(B968,PatData!$A$2:$A$2000,1,),"")&lt;&gt;""</f>
        <v>1</v>
      </c>
      <c r="E968" t="b">
        <v>0</v>
      </c>
      <c r="F968" t="b">
        <v>0</v>
      </c>
      <c r="G968" t="b">
        <v>1</v>
      </c>
      <c r="H968" t="b">
        <v>1</v>
      </c>
      <c r="I968" t="b">
        <v>0</v>
      </c>
    </row>
    <row r="969" spans="1:9" x14ac:dyDescent="0.2">
      <c r="A969" t="s">
        <v>1712</v>
      </c>
      <c r="B969" t="s">
        <v>3021</v>
      </c>
      <c r="D969" t="b">
        <f>IFERROR(VLOOKUP(B969,PatData!$A$2:$A$2000,1,),"")&lt;&gt;""</f>
        <v>1</v>
      </c>
      <c r="E969" t="b">
        <v>0</v>
      </c>
      <c r="F969" t="b">
        <v>0</v>
      </c>
      <c r="G969" t="b">
        <v>1</v>
      </c>
      <c r="H969" t="b">
        <v>1</v>
      </c>
      <c r="I969" t="b">
        <v>0</v>
      </c>
    </row>
    <row r="970" spans="1:9" x14ac:dyDescent="0.2">
      <c r="A970" t="s">
        <v>1715</v>
      </c>
      <c r="B970" t="s">
        <v>3022</v>
      </c>
      <c r="D970" t="b">
        <f>IFERROR(VLOOKUP(B970,PatData!$A$2:$A$2000,1,),"")&lt;&gt;""</f>
        <v>1</v>
      </c>
      <c r="E970" t="b">
        <v>0</v>
      </c>
      <c r="F970" t="b">
        <v>0</v>
      </c>
      <c r="G970" t="b">
        <v>1</v>
      </c>
      <c r="H970" t="b">
        <v>1</v>
      </c>
      <c r="I970" t="b">
        <v>0</v>
      </c>
    </row>
    <row r="971" spans="1:9" x14ac:dyDescent="0.2">
      <c r="A971" t="s">
        <v>1716</v>
      </c>
      <c r="B971" t="s">
        <v>3023</v>
      </c>
      <c r="D971" t="b">
        <f>IFERROR(VLOOKUP(B971,PatData!$A$2:$A$2000,1,),"")&lt;&gt;""</f>
        <v>1</v>
      </c>
      <c r="E971" t="b">
        <v>0</v>
      </c>
      <c r="F971" t="b">
        <v>0</v>
      </c>
      <c r="G971" t="b">
        <v>1</v>
      </c>
      <c r="H971" t="b">
        <v>1</v>
      </c>
      <c r="I971" t="b">
        <v>0</v>
      </c>
    </row>
    <row r="972" spans="1:9" x14ac:dyDescent="0.2">
      <c r="A972" t="s">
        <v>1717</v>
      </c>
      <c r="B972" t="s">
        <v>3024</v>
      </c>
      <c r="D972" t="b">
        <f>IFERROR(VLOOKUP(B972,PatData!$A$2:$A$2000,1,),"")&lt;&gt;""</f>
        <v>1</v>
      </c>
      <c r="E972" t="b">
        <v>0</v>
      </c>
      <c r="F972" t="b">
        <v>0</v>
      </c>
      <c r="G972" t="b">
        <v>1</v>
      </c>
      <c r="H972" t="b">
        <v>1</v>
      </c>
      <c r="I972" t="b">
        <v>0</v>
      </c>
    </row>
    <row r="973" spans="1:9" x14ac:dyDescent="0.2">
      <c r="A973" t="s">
        <v>1718</v>
      </c>
      <c r="B973" t="s">
        <v>3025</v>
      </c>
      <c r="D973" t="b">
        <f>IFERROR(VLOOKUP(B973,PatData!$A$2:$A$2000,1,),"")&lt;&gt;""</f>
        <v>1</v>
      </c>
      <c r="E973" t="b">
        <v>0</v>
      </c>
      <c r="F973" t="b">
        <v>0</v>
      </c>
      <c r="G973" t="b">
        <v>1</v>
      </c>
      <c r="H973" t="b">
        <v>1</v>
      </c>
      <c r="I973" t="b">
        <v>0</v>
      </c>
    </row>
    <row r="974" spans="1:9" x14ac:dyDescent="0.2">
      <c r="A974" t="s">
        <v>1719</v>
      </c>
      <c r="B974" t="s">
        <v>3026</v>
      </c>
      <c r="D974" t="b">
        <f>IFERROR(VLOOKUP(B974,PatData!$A$2:$A$2000,1,),"")&lt;&gt;""</f>
        <v>1</v>
      </c>
      <c r="E974" t="b">
        <v>0</v>
      </c>
      <c r="F974" t="b">
        <v>0</v>
      </c>
      <c r="G974" t="b">
        <v>1</v>
      </c>
      <c r="H974" t="b">
        <v>1</v>
      </c>
      <c r="I974" t="b">
        <v>0</v>
      </c>
    </row>
    <row r="975" spans="1:9" x14ac:dyDescent="0.2">
      <c r="A975" t="s">
        <v>1720</v>
      </c>
      <c r="B975" t="s">
        <v>3027</v>
      </c>
      <c r="D975" t="b">
        <f>IFERROR(VLOOKUP(B975,PatData!$A$2:$A$2000,1,),"")&lt;&gt;""</f>
        <v>1</v>
      </c>
      <c r="E975" t="b">
        <v>0</v>
      </c>
      <c r="F975" t="b">
        <v>0</v>
      </c>
      <c r="G975" t="b">
        <v>1</v>
      </c>
      <c r="H975" t="b">
        <v>1</v>
      </c>
      <c r="I975" t="b">
        <v>0</v>
      </c>
    </row>
    <row r="976" spans="1:9" x14ac:dyDescent="0.2">
      <c r="A976" t="s">
        <v>1691</v>
      </c>
      <c r="B976" t="s">
        <v>3028</v>
      </c>
      <c r="D976" t="b">
        <f>IFERROR(VLOOKUP(B976,PatData!$A$2:$A$2000,1,),"")&lt;&gt;""</f>
        <v>1</v>
      </c>
      <c r="E976" t="b">
        <v>0</v>
      </c>
      <c r="F976" t="b">
        <v>0</v>
      </c>
      <c r="G976" t="b">
        <v>1</v>
      </c>
      <c r="H976" t="b">
        <v>1</v>
      </c>
      <c r="I976" t="b">
        <v>0</v>
      </c>
    </row>
    <row r="977" spans="1:9" x14ac:dyDescent="0.2">
      <c r="A977" t="s">
        <v>1692</v>
      </c>
      <c r="B977" t="s">
        <v>3029</v>
      </c>
      <c r="D977" t="b">
        <f>IFERROR(VLOOKUP(B977,PatData!$A$2:$A$2000,1,),"")&lt;&gt;""</f>
        <v>1</v>
      </c>
      <c r="E977" t="b">
        <v>0</v>
      </c>
      <c r="F977" t="b">
        <v>0</v>
      </c>
      <c r="G977" t="b">
        <v>1</v>
      </c>
      <c r="H977" t="b">
        <v>1</v>
      </c>
      <c r="I977" t="b">
        <v>0</v>
      </c>
    </row>
    <row r="978" spans="1:9" x14ac:dyDescent="0.2">
      <c r="A978" t="s">
        <v>1693</v>
      </c>
      <c r="B978" t="s">
        <v>3030</v>
      </c>
      <c r="D978" t="b">
        <f>IFERROR(VLOOKUP(B978,PatData!$A$2:$A$2000,1,),"")&lt;&gt;""</f>
        <v>1</v>
      </c>
      <c r="E978" t="b">
        <v>0</v>
      </c>
      <c r="F978" t="b">
        <v>0</v>
      </c>
      <c r="G978" t="b">
        <v>1</v>
      </c>
      <c r="H978" t="b">
        <v>1</v>
      </c>
      <c r="I978" t="b">
        <v>0</v>
      </c>
    </row>
    <row r="979" spans="1:9" x14ac:dyDescent="0.2">
      <c r="A979" t="s">
        <v>1694</v>
      </c>
      <c r="B979" t="s">
        <v>3031</v>
      </c>
      <c r="D979" t="b">
        <f>IFERROR(VLOOKUP(B979,PatData!$A$2:$A$2000,1,),"")&lt;&gt;""</f>
        <v>1</v>
      </c>
      <c r="E979" t="b">
        <v>0</v>
      </c>
      <c r="F979" t="b">
        <v>0</v>
      </c>
      <c r="G979" t="b">
        <v>1</v>
      </c>
      <c r="H979" t="b">
        <v>1</v>
      </c>
      <c r="I979" t="b">
        <v>0</v>
      </c>
    </row>
    <row r="980" spans="1:9" x14ac:dyDescent="0.2">
      <c r="A980" t="s">
        <v>1695</v>
      </c>
      <c r="B980" t="s">
        <v>3032</v>
      </c>
      <c r="D980" t="b">
        <f>IFERROR(VLOOKUP(B980,PatData!$A$2:$A$2000,1,),"")&lt;&gt;""</f>
        <v>1</v>
      </c>
      <c r="E980" t="b">
        <v>0</v>
      </c>
      <c r="F980" t="b">
        <v>0</v>
      </c>
      <c r="G980" t="b">
        <v>1</v>
      </c>
      <c r="H980" t="b">
        <v>1</v>
      </c>
      <c r="I980" t="b">
        <v>0</v>
      </c>
    </row>
    <row r="981" spans="1:9" x14ac:dyDescent="0.2">
      <c r="A981" t="s">
        <v>1696</v>
      </c>
      <c r="B981" t="s">
        <v>3033</v>
      </c>
      <c r="D981" t="b">
        <f>IFERROR(VLOOKUP(B981,PatData!$A$2:$A$2000,1,),"")&lt;&gt;""</f>
        <v>1</v>
      </c>
      <c r="E981" t="b">
        <v>0</v>
      </c>
      <c r="F981" t="b">
        <v>0</v>
      </c>
      <c r="G981" t="b">
        <v>1</v>
      </c>
      <c r="H981" t="b">
        <v>1</v>
      </c>
      <c r="I981" t="b">
        <v>0</v>
      </c>
    </row>
    <row r="982" spans="1:9" x14ac:dyDescent="0.2">
      <c r="A982" t="s">
        <v>1697</v>
      </c>
      <c r="B982" t="s">
        <v>3034</v>
      </c>
      <c r="D982" t="b">
        <f>IFERROR(VLOOKUP(B982,PatData!$A$2:$A$2000,1,),"")&lt;&gt;""</f>
        <v>1</v>
      </c>
      <c r="E982" t="b">
        <v>0</v>
      </c>
      <c r="F982" t="b">
        <v>0</v>
      </c>
      <c r="G982" t="b">
        <v>1</v>
      </c>
      <c r="H982" t="b">
        <v>1</v>
      </c>
      <c r="I982" t="b">
        <v>0</v>
      </c>
    </row>
    <row r="983" spans="1:9" x14ac:dyDescent="0.2">
      <c r="A983" t="s">
        <v>1698</v>
      </c>
      <c r="B983" t="s">
        <v>3035</v>
      </c>
      <c r="D983" t="b">
        <f>IFERROR(VLOOKUP(B983,PatData!$A$2:$A$2000,1,),"")&lt;&gt;""</f>
        <v>1</v>
      </c>
      <c r="E983" t="b">
        <v>0</v>
      </c>
      <c r="F983" t="b">
        <v>0</v>
      </c>
      <c r="G983" t="b">
        <v>1</v>
      </c>
      <c r="H983" t="b">
        <v>1</v>
      </c>
      <c r="I983" t="b">
        <v>0</v>
      </c>
    </row>
    <row r="984" spans="1:9" x14ac:dyDescent="0.2">
      <c r="A984" t="s">
        <v>1699</v>
      </c>
      <c r="B984" t="s">
        <v>3036</v>
      </c>
      <c r="D984" t="b">
        <f>IFERROR(VLOOKUP(B984,PatData!$A$2:$A$2000,1,),"")&lt;&gt;""</f>
        <v>1</v>
      </c>
      <c r="E984" t="b">
        <v>0</v>
      </c>
      <c r="F984" t="b">
        <v>0</v>
      </c>
      <c r="G984" t="b">
        <v>1</v>
      </c>
      <c r="H984" t="b">
        <v>1</v>
      </c>
      <c r="I984" t="b">
        <v>0</v>
      </c>
    </row>
    <row r="985" spans="1:9" x14ac:dyDescent="0.2">
      <c r="A985" t="s">
        <v>1700</v>
      </c>
      <c r="B985" t="s">
        <v>3037</v>
      </c>
      <c r="D985" t="b">
        <f>IFERROR(VLOOKUP(B985,PatData!$A$2:$A$2000,1,),"")&lt;&gt;""</f>
        <v>1</v>
      </c>
      <c r="E985" t="b">
        <v>0</v>
      </c>
      <c r="F985" t="b">
        <v>0</v>
      </c>
      <c r="G985" t="b">
        <v>1</v>
      </c>
      <c r="H985" t="b">
        <v>1</v>
      </c>
      <c r="I985" t="b">
        <v>0</v>
      </c>
    </row>
    <row r="986" spans="1:9" x14ac:dyDescent="0.2">
      <c r="A986" t="s">
        <v>1702</v>
      </c>
      <c r="B986" t="s">
        <v>3038</v>
      </c>
      <c r="D986" t="b">
        <f>IFERROR(VLOOKUP(B986,PatData!$A$2:$A$2000,1,),"")&lt;&gt;""</f>
        <v>1</v>
      </c>
      <c r="E986" t="b">
        <v>0</v>
      </c>
      <c r="F986" t="b">
        <v>0</v>
      </c>
      <c r="G986" t="b">
        <v>1</v>
      </c>
      <c r="H986" t="b">
        <v>1</v>
      </c>
      <c r="I986" t="b">
        <v>0</v>
      </c>
    </row>
    <row r="987" spans="1:9" x14ac:dyDescent="0.2">
      <c r="A987" t="s">
        <v>1703</v>
      </c>
      <c r="B987" t="s">
        <v>3039</v>
      </c>
      <c r="D987" t="b">
        <f>IFERROR(VLOOKUP(B987,PatData!$A$2:$A$2000,1,),"")&lt;&gt;""</f>
        <v>1</v>
      </c>
      <c r="E987" t="b">
        <v>0</v>
      </c>
      <c r="F987" t="b">
        <v>0</v>
      </c>
      <c r="G987" t="b">
        <v>1</v>
      </c>
      <c r="H987" t="b">
        <v>1</v>
      </c>
      <c r="I987" t="b">
        <v>0</v>
      </c>
    </row>
    <row r="988" spans="1:9" x14ac:dyDescent="0.2">
      <c r="A988" t="s">
        <v>1704</v>
      </c>
      <c r="B988" t="s">
        <v>3040</v>
      </c>
      <c r="D988" t="b">
        <f>IFERROR(VLOOKUP(B988,PatData!$A$2:$A$2000,1,),"")&lt;&gt;""</f>
        <v>1</v>
      </c>
      <c r="E988" t="b">
        <v>0</v>
      </c>
      <c r="F988" t="b">
        <v>0</v>
      </c>
      <c r="G988" t="b">
        <v>1</v>
      </c>
      <c r="H988" t="b">
        <v>1</v>
      </c>
      <c r="I988" t="b">
        <v>0</v>
      </c>
    </row>
    <row r="989" spans="1:9" x14ac:dyDescent="0.2">
      <c r="A989" t="s">
        <v>1705</v>
      </c>
      <c r="B989" t="s">
        <v>3041</v>
      </c>
      <c r="D989" t="b">
        <f>IFERROR(VLOOKUP(B989,PatData!$A$2:$A$2000,1,),"")&lt;&gt;""</f>
        <v>1</v>
      </c>
      <c r="E989" t="b">
        <v>0</v>
      </c>
      <c r="F989" t="b">
        <v>0</v>
      </c>
      <c r="G989" t="b">
        <v>1</v>
      </c>
      <c r="H989" t="b">
        <v>1</v>
      </c>
      <c r="I989" t="b">
        <v>0</v>
      </c>
    </row>
    <row r="990" spans="1:9" x14ac:dyDescent="0.2">
      <c r="A990" t="s">
        <v>1706</v>
      </c>
      <c r="B990" t="s">
        <v>3042</v>
      </c>
      <c r="D990" t="b">
        <f>IFERROR(VLOOKUP(B990,PatData!$A$2:$A$2000,1,),"")&lt;&gt;""</f>
        <v>1</v>
      </c>
      <c r="E990" t="b">
        <v>0</v>
      </c>
      <c r="F990" t="b">
        <v>0</v>
      </c>
      <c r="G990" t="b">
        <v>1</v>
      </c>
      <c r="H990" t="b">
        <v>1</v>
      </c>
      <c r="I990" t="b">
        <v>0</v>
      </c>
    </row>
    <row r="991" spans="1:9" x14ac:dyDescent="0.2">
      <c r="A991" t="s">
        <v>1707</v>
      </c>
      <c r="B991" t="s">
        <v>3043</v>
      </c>
      <c r="D991" t="b">
        <f>IFERROR(VLOOKUP(B991,PatData!$A$2:$A$2000,1,),"")&lt;&gt;""</f>
        <v>1</v>
      </c>
      <c r="E991" t="b">
        <v>0</v>
      </c>
      <c r="F991" t="b">
        <v>0</v>
      </c>
      <c r="G991" t="b">
        <v>1</v>
      </c>
      <c r="H991" t="b">
        <v>1</v>
      </c>
      <c r="I991" t="b">
        <v>0</v>
      </c>
    </row>
    <row r="992" spans="1:9" x14ac:dyDescent="0.2">
      <c r="A992" t="s">
        <v>1708</v>
      </c>
      <c r="B992" t="s">
        <v>3044</v>
      </c>
      <c r="D992" t="b">
        <f>IFERROR(VLOOKUP(B992,PatData!$A$2:$A$2000,1,),"")&lt;&gt;""</f>
        <v>1</v>
      </c>
      <c r="E992" t="b">
        <v>0</v>
      </c>
      <c r="F992" t="b">
        <v>0</v>
      </c>
      <c r="G992" t="b">
        <v>1</v>
      </c>
      <c r="H992" t="b">
        <v>1</v>
      </c>
      <c r="I992" t="b">
        <v>0</v>
      </c>
    </row>
    <row r="993" spans="1:9" x14ac:dyDescent="0.2">
      <c r="A993" t="s">
        <v>1709</v>
      </c>
      <c r="B993" t="s">
        <v>3045</v>
      </c>
      <c r="D993" t="b">
        <f>IFERROR(VLOOKUP(B993,PatData!$A$2:$A$2000,1,),"")&lt;&gt;""</f>
        <v>1</v>
      </c>
      <c r="E993" t="b">
        <v>0</v>
      </c>
      <c r="F993" t="b">
        <v>0</v>
      </c>
      <c r="G993" t="b">
        <v>1</v>
      </c>
      <c r="H993" t="b">
        <v>1</v>
      </c>
      <c r="I993" t="b">
        <v>0</v>
      </c>
    </row>
    <row r="994" spans="1:9" x14ac:dyDescent="0.2">
      <c r="A994" t="s">
        <v>1710</v>
      </c>
      <c r="B994" t="s">
        <v>3046</v>
      </c>
      <c r="D994" t="b">
        <f>IFERROR(VLOOKUP(B994,PatData!$A$2:$A$2000,1,),"")&lt;&gt;""</f>
        <v>1</v>
      </c>
      <c r="E994" t="b">
        <v>0</v>
      </c>
      <c r="F994" t="b">
        <v>0</v>
      </c>
      <c r="G994" t="b">
        <v>1</v>
      </c>
      <c r="H994" t="b">
        <v>1</v>
      </c>
      <c r="I994" t="b">
        <v>0</v>
      </c>
    </row>
    <row r="995" spans="1:9" x14ac:dyDescent="0.2">
      <c r="A995" t="s">
        <v>1711</v>
      </c>
      <c r="B995" t="s">
        <v>3047</v>
      </c>
      <c r="D995" t="b">
        <f>IFERROR(VLOOKUP(B995,PatData!$A$2:$A$2000,1,),"")&lt;&gt;""</f>
        <v>1</v>
      </c>
      <c r="E995" t="b">
        <v>0</v>
      </c>
      <c r="F995" t="b">
        <v>0</v>
      </c>
      <c r="G995" t="b">
        <v>1</v>
      </c>
      <c r="H995" t="b">
        <v>1</v>
      </c>
      <c r="I995" t="b">
        <v>0</v>
      </c>
    </row>
    <row r="996" spans="1:9" x14ac:dyDescent="0.2">
      <c r="A996" t="s">
        <v>1713</v>
      </c>
      <c r="B996" t="s">
        <v>3048</v>
      </c>
      <c r="D996" t="b">
        <f>IFERROR(VLOOKUP(B996,PatData!$A$2:$A$2000,1,),"")&lt;&gt;""</f>
        <v>1</v>
      </c>
      <c r="E996" t="b">
        <v>0</v>
      </c>
      <c r="F996" t="b">
        <v>0</v>
      </c>
      <c r="G996" t="b">
        <v>1</v>
      </c>
      <c r="H996" t="b">
        <v>1</v>
      </c>
      <c r="I996" t="b">
        <v>0</v>
      </c>
    </row>
    <row r="997" spans="1:9" x14ac:dyDescent="0.2">
      <c r="A997" t="s">
        <v>1714</v>
      </c>
      <c r="B997" t="s">
        <v>3049</v>
      </c>
      <c r="D997" t="b">
        <f>IFERROR(VLOOKUP(B997,PatData!$A$2:$A$2000,1,),"")&lt;&gt;""</f>
        <v>1</v>
      </c>
      <c r="E997" t="b">
        <v>0</v>
      </c>
      <c r="F997" t="b">
        <v>0</v>
      </c>
      <c r="G997" t="b">
        <v>1</v>
      </c>
      <c r="H997" t="b">
        <v>1</v>
      </c>
      <c r="I997" t="b">
        <v>0</v>
      </c>
    </row>
    <row r="998" spans="1:9" x14ac:dyDescent="0.2">
      <c r="A998" t="s">
        <v>1721</v>
      </c>
      <c r="B998" t="s">
        <v>3050</v>
      </c>
      <c r="D998" t="b">
        <f>IFERROR(VLOOKUP(B998,PatData!$A$2:$A$2000,1,),"")&lt;&gt;""</f>
        <v>1</v>
      </c>
      <c r="E998" t="b">
        <v>0</v>
      </c>
      <c r="F998" t="b">
        <v>0</v>
      </c>
      <c r="G998" t="b">
        <v>1</v>
      </c>
      <c r="H998" t="b">
        <v>1</v>
      </c>
      <c r="I998" t="b">
        <v>0</v>
      </c>
    </row>
    <row r="999" spans="1:9" x14ac:dyDescent="0.2">
      <c r="A999" t="s">
        <v>1732</v>
      </c>
      <c r="B999" t="s">
        <v>3051</v>
      </c>
      <c r="D999" t="b">
        <f>IFERROR(VLOOKUP(B999,PatData!$A$2:$A$2000,1,),"")&lt;&gt;""</f>
        <v>1</v>
      </c>
      <c r="E999" t="b">
        <v>0</v>
      </c>
      <c r="F999" t="b">
        <v>0</v>
      </c>
      <c r="G999" t="b">
        <v>1</v>
      </c>
      <c r="H999" t="b">
        <v>1</v>
      </c>
      <c r="I999" t="b">
        <v>0</v>
      </c>
    </row>
    <row r="1000" spans="1:9" x14ac:dyDescent="0.2">
      <c r="A1000" t="s">
        <v>1743</v>
      </c>
      <c r="B1000" t="s">
        <v>3052</v>
      </c>
      <c r="D1000" t="b">
        <f>IFERROR(VLOOKUP(B1000,PatData!$A$2:$A$2000,1,),"")&lt;&gt;""</f>
        <v>1</v>
      </c>
      <c r="E1000" t="b">
        <v>0</v>
      </c>
      <c r="F1000" t="b">
        <v>0</v>
      </c>
      <c r="G1000" t="b">
        <v>1</v>
      </c>
      <c r="H1000" t="b">
        <v>1</v>
      </c>
      <c r="I1000" t="b">
        <v>0</v>
      </c>
    </row>
    <row r="1001" spans="1:9" x14ac:dyDescent="0.2">
      <c r="A1001" t="s">
        <v>1746</v>
      </c>
      <c r="B1001" t="s">
        <v>3053</v>
      </c>
      <c r="D1001" t="b">
        <f>IFERROR(VLOOKUP(B1001,PatData!$A$2:$A$2000,1,),"")&lt;&gt;""</f>
        <v>1</v>
      </c>
      <c r="E1001" t="b">
        <v>0</v>
      </c>
      <c r="F1001" t="b">
        <v>0</v>
      </c>
      <c r="G1001" t="b">
        <v>1</v>
      </c>
      <c r="H1001" t="b">
        <v>1</v>
      </c>
      <c r="I1001" t="b">
        <v>0</v>
      </c>
    </row>
    <row r="1002" spans="1:9" x14ac:dyDescent="0.2">
      <c r="A1002" t="s">
        <v>1747</v>
      </c>
      <c r="B1002" t="s">
        <v>3054</v>
      </c>
      <c r="D1002" t="b">
        <f>IFERROR(VLOOKUP(B1002,PatData!$A$2:$A$2000,1,),"")&lt;&gt;""</f>
        <v>1</v>
      </c>
      <c r="E1002" t="b">
        <v>0</v>
      </c>
      <c r="F1002" t="b">
        <v>0</v>
      </c>
      <c r="G1002" t="b">
        <v>1</v>
      </c>
      <c r="H1002" t="b">
        <v>1</v>
      </c>
      <c r="I1002" t="b">
        <v>0</v>
      </c>
    </row>
    <row r="1003" spans="1:9" x14ac:dyDescent="0.2">
      <c r="A1003" t="s">
        <v>1748</v>
      </c>
      <c r="B1003" t="s">
        <v>3055</v>
      </c>
      <c r="D1003" t="b">
        <f>IFERROR(VLOOKUP(B1003,PatData!$A$2:$A$2000,1,),"")&lt;&gt;""</f>
        <v>1</v>
      </c>
      <c r="E1003" t="b">
        <v>0</v>
      </c>
      <c r="F1003" t="b">
        <v>0</v>
      </c>
      <c r="G1003" t="b">
        <v>1</v>
      </c>
      <c r="H1003" t="b">
        <v>1</v>
      </c>
      <c r="I1003" t="b">
        <v>0</v>
      </c>
    </row>
    <row r="1004" spans="1:9" x14ac:dyDescent="0.2">
      <c r="A1004" t="s">
        <v>1749</v>
      </c>
      <c r="B1004" t="s">
        <v>3056</v>
      </c>
      <c r="D1004" t="b">
        <f>IFERROR(VLOOKUP(B1004,PatData!$A$2:$A$2000,1,),"")&lt;&gt;""</f>
        <v>1</v>
      </c>
      <c r="E1004" t="b">
        <v>0</v>
      </c>
      <c r="F1004" t="b">
        <v>0</v>
      </c>
      <c r="G1004" t="b">
        <v>1</v>
      </c>
      <c r="H1004" t="b">
        <v>1</v>
      </c>
      <c r="I1004" t="b">
        <v>0</v>
      </c>
    </row>
    <row r="1005" spans="1:9" x14ac:dyDescent="0.2">
      <c r="A1005" t="s">
        <v>1750</v>
      </c>
      <c r="B1005" t="s">
        <v>3057</v>
      </c>
      <c r="D1005" t="b">
        <f>IFERROR(VLOOKUP(B1005,PatData!$A$2:$A$2000,1,),"")&lt;&gt;""</f>
        <v>1</v>
      </c>
      <c r="E1005" t="b">
        <v>0</v>
      </c>
      <c r="F1005" t="b">
        <v>0</v>
      </c>
      <c r="G1005" t="b">
        <v>1</v>
      </c>
      <c r="H1005" t="b">
        <v>1</v>
      </c>
      <c r="I1005" t="b">
        <v>0</v>
      </c>
    </row>
    <row r="1006" spans="1:9" x14ac:dyDescent="0.2">
      <c r="A1006" t="s">
        <v>1751</v>
      </c>
      <c r="B1006" t="s">
        <v>3058</v>
      </c>
      <c r="D1006" t="b">
        <f>IFERROR(VLOOKUP(B1006,PatData!$A$2:$A$2000,1,),"")&lt;&gt;""</f>
        <v>1</v>
      </c>
      <c r="E1006" t="b">
        <v>0</v>
      </c>
      <c r="F1006" t="b">
        <v>0</v>
      </c>
      <c r="G1006" t="b">
        <v>1</v>
      </c>
      <c r="H1006" t="b">
        <v>1</v>
      </c>
      <c r="I1006" t="b">
        <v>0</v>
      </c>
    </row>
    <row r="1007" spans="1:9" x14ac:dyDescent="0.2">
      <c r="A1007" t="s">
        <v>1722</v>
      </c>
      <c r="B1007" t="s">
        <v>3059</v>
      </c>
      <c r="D1007" t="b">
        <f>IFERROR(VLOOKUP(B1007,PatData!$A$2:$A$2000,1,),"")&lt;&gt;""</f>
        <v>1</v>
      </c>
      <c r="E1007" t="b">
        <v>0</v>
      </c>
      <c r="F1007" t="b">
        <v>0</v>
      </c>
      <c r="G1007" t="b">
        <v>1</v>
      </c>
      <c r="H1007" t="b">
        <v>1</v>
      </c>
      <c r="I1007" t="b">
        <v>0</v>
      </c>
    </row>
    <row r="1008" spans="1:9" x14ac:dyDescent="0.2">
      <c r="A1008" t="s">
        <v>1723</v>
      </c>
      <c r="B1008" t="s">
        <v>3060</v>
      </c>
      <c r="D1008" t="b">
        <f>IFERROR(VLOOKUP(B1008,PatData!$A$2:$A$2000,1,),"")&lt;&gt;""</f>
        <v>1</v>
      </c>
      <c r="E1008" t="b">
        <v>0</v>
      </c>
      <c r="F1008" t="b">
        <v>0</v>
      </c>
      <c r="G1008" t="b">
        <v>1</v>
      </c>
      <c r="H1008" t="b">
        <v>1</v>
      </c>
      <c r="I1008" t="b">
        <v>0</v>
      </c>
    </row>
    <row r="1009" spans="1:9" x14ac:dyDescent="0.2">
      <c r="A1009" t="s">
        <v>1724</v>
      </c>
      <c r="B1009" t="s">
        <v>3061</v>
      </c>
      <c r="D1009" t="b">
        <f>IFERROR(VLOOKUP(B1009,PatData!$A$2:$A$2000,1,),"")&lt;&gt;""</f>
        <v>1</v>
      </c>
      <c r="E1009" t="b">
        <v>0</v>
      </c>
      <c r="F1009" t="b">
        <v>0</v>
      </c>
      <c r="G1009" t="b">
        <v>1</v>
      </c>
      <c r="H1009" t="b">
        <v>1</v>
      </c>
      <c r="I1009" t="b">
        <v>0</v>
      </c>
    </row>
    <row r="1010" spans="1:9" x14ac:dyDescent="0.2">
      <c r="A1010" t="s">
        <v>1725</v>
      </c>
      <c r="B1010" t="s">
        <v>3062</v>
      </c>
      <c r="D1010" t="b">
        <f>IFERROR(VLOOKUP(B1010,PatData!$A$2:$A$2000,1,),"")&lt;&gt;""</f>
        <v>1</v>
      </c>
      <c r="E1010" t="b">
        <v>0</v>
      </c>
      <c r="F1010" t="b">
        <v>0</v>
      </c>
      <c r="G1010" t="b">
        <v>1</v>
      </c>
      <c r="H1010" t="b">
        <v>1</v>
      </c>
      <c r="I1010" t="b">
        <v>0</v>
      </c>
    </row>
    <row r="1011" spans="1:9" x14ac:dyDescent="0.2">
      <c r="A1011" t="s">
        <v>1726</v>
      </c>
      <c r="B1011" t="s">
        <v>3063</v>
      </c>
      <c r="D1011" t="b">
        <f>IFERROR(VLOOKUP(B1011,PatData!$A$2:$A$2000,1,),"")&lt;&gt;""</f>
        <v>1</v>
      </c>
      <c r="E1011" t="b">
        <v>0</v>
      </c>
      <c r="F1011" t="b">
        <v>0</v>
      </c>
      <c r="G1011" t="b">
        <v>1</v>
      </c>
      <c r="H1011" t="b">
        <v>1</v>
      </c>
      <c r="I1011" t="b">
        <v>0</v>
      </c>
    </row>
    <row r="1012" spans="1:9" x14ac:dyDescent="0.2">
      <c r="A1012" t="s">
        <v>1727</v>
      </c>
      <c r="B1012" t="s">
        <v>3064</v>
      </c>
      <c r="D1012" t="b">
        <f>IFERROR(VLOOKUP(B1012,PatData!$A$2:$A$2000,1,),"")&lt;&gt;""</f>
        <v>1</v>
      </c>
      <c r="E1012" t="b">
        <v>0</v>
      </c>
      <c r="F1012" t="b">
        <v>0</v>
      </c>
      <c r="G1012" t="b">
        <v>1</v>
      </c>
      <c r="H1012" t="b">
        <v>1</v>
      </c>
      <c r="I1012" t="b">
        <v>0</v>
      </c>
    </row>
    <row r="1013" spans="1:9" x14ac:dyDescent="0.2">
      <c r="A1013" t="s">
        <v>1728</v>
      </c>
      <c r="B1013" t="s">
        <v>3065</v>
      </c>
      <c r="D1013" t="b">
        <f>IFERROR(VLOOKUP(B1013,PatData!$A$2:$A$2000,1,),"")&lt;&gt;""</f>
        <v>1</v>
      </c>
      <c r="E1013" t="b">
        <v>0</v>
      </c>
      <c r="F1013" t="b">
        <v>0</v>
      </c>
      <c r="G1013" t="b">
        <v>1</v>
      </c>
      <c r="H1013" t="b">
        <v>1</v>
      </c>
      <c r="I1013" t="b">
        <v>0</v>
      </c>
    </row>
    <row r="1014" spans="1:9" x14ac:dyDescent="0.2">
      <c r="A1014" t="s">
        <v>1729</v>
      </c>
      <c r="B1014" t="s">
        <v>3066</v>
      </c>
      <c r="D1014" t="b">
        <f>IFERROR(VLOOKUP(B1014,PatData!$A$2:$A$2000,1,),"")&lt;&gt;""</f>
        <v>1</v>
      </c>
      <c r="E1014" t="b">
        <v>0</v>
      </c>
      <c r="F1014" t="b">
        <v>0</v>
      </c>
      <c r="G1014" t="b">
        <v>1</v>
      </c>
      <c r="H1014" t="b">
        <v>1</v>
      </c>
      <c r="I1014" t="b">
        <v>0</v>
      </c>
    </row>
    <row r="1015" spans="1:9" x14ac:dyDescent="0.2">
      <c r="A1015" t="s">
        <v>1730</v>
      </c>
      <c r="B1015" t="s">
        <v>3067</v>
      </c>
      <c r="D1015" t="b">
        <f>IFERROR(VLOOKUP(B1015,PatData!$A$2:$A$2000,1,),"")&lt;&gt;""</f>
        <v>1</v>
      </c>
      <c r="E1015" t="b">
        <v>0</v>
      </c>
      <c r="F1015" t="b">
        <v>0</v>
      </c>
      <c r="G1015" t="b">
        <v>1</v>
      </c>
      <c r="H1015" t="b">
        <v>1</v>
      </c>
      <c r="I1015" t="b">
        <v>0</v>
      </c>
    </row>
    <row r="1016" spans="1:9" x14ac:dyDescent="0.2">
      <c r="A1016" t="s">
        <v>1731</v>
      </c>
      <c r="B1016" t="s">
        <v>3068</v>
      </c>
      <c r="D1016" t="b">
        <f>IFERROR(VLOOKUP(B1016,PatData!$A$2:$A$2000,1,),"")&lt;&gt;""</f>
        <v>1</v>
      </c>
      <c r="E1016" t="b">
        <v>0</v>
      </c>
      <c r="F1016" t="b">
        <v>0</v>
      </c>
      <c r="G1016" t="b">
        <v>1</v>
      </c>
      <c r="H1016" t="b">
        <v>1</v>
      </c>
      <c r="I1016" t="b">
        <v>0</v>
      </c>
    </row>
    <row r="1017" spans="1:9" x14ac:dyDescent="0.2">
      <c r="A1017" t="s">
        <v>1733</v>
      </c>
      <c r="B1017" t="s">
        <v>3069</v>
      </c>
      <c r="D1017" t="b">
        <f>IFERROR(VLOOKUP(B1017,PatData!$A$2:$A$2000,1,),"")&lt;&gt;""</f>
        <v>1</v>
      </c>
      <c r="E1017" t="b">
        <v>0</v>
      </c>
      <c r="F1017" t="b">
        <v>0</v>
      </c>
      <c r="G1017" t="b">
        <v>1</v>
      </c>
      <c r="H1017" t="b">
        <v>1</v>
      </c>
      <c r="I1017" t="b">
        <v>0</v>
      </c>
    </row>
    <row r="1018" spans="1:9" x14ac:dyDescent="0.2">
      <c r="A1018" t="s">
        <v>1734</v>
      </c>
      <c r="B1018" t="s">
        <v>3070</v>
      </c>
      <c r="D1018" t="b">
        <f>IFERROR(VLOOKUP(B1018,PatData!$A$2:$A$2000,1,),"")&lt;&gt;""</f>
        <v>1</v>
      </c>
      <c r="E1018" t="b">
        <v>0</v>
      </c>
      <c r="F1018" t="b">
        <v>0</v>
      </c>
      <c r="G1018" t="b">
        <v>1</v>
      </c>
      <c r="H1018" t="b">
        <v>1</v>
      </c>
      <c r="I1018" t="b">
        <v>0</v>
      </c>
    </row>
    <row r="1019" spans="1:9" x14ac:dyDescent="0.2">
      <c r="A1019" t="s">
        <v>1735</v>
      </c>
      <c r="B1019" t="s">
        <v>3071</v>
      </c>
      <c r="D1019" t="b">
        <f>IFERROR(VLOOKUP(B1019,PatData!$A$2:$A$2000,1,),"")&lt;&gt;""</f>
        <v>1</v>
      </c>
      <c r="E1019" t="b">
        <v>0</v>
      </c>
      <c r="F1019" t="b">
        <v>0</v>
      </c>
      <c r="G1019" t="b">
        <v>1</v>
      </c>
      <c r="H1019" t="b">
        <v>1</v>
      </c>
      <c r="I1019" t="b">
        <v>0</v>
      </c>
    </row>
    <row r="1020" spans="1:9" x14ac:dyDescent="0.2">
      <c r="A1020" t="s">
        <v>1736</v>
      </c>
      <c r="B1020" t="s">
        <v>3072</v>
      </c>
      <c r="D1020" t="b">
        <f>IFERROR(VLOOKUP(B1020,PatData!$A$2:$A$2000,1,),"")&lt;&gt;""</f>
        <v>1</v>
      </c>
      <c r="E1020" t="b">
        <v>0</v>
      </c>
      <c r="F1020" t="b">
        <v>0</v>
      </c>
      <c r="G1020" t="b">
        <v>1</v>
      </c>
      <c r="H1020" t="b">
        <v>1</v>
      </c>
      <c r="I1020" t="b">
        <v>0</v>
      </c>
    </row>
    <row r="1021" spans="1:9" x14ac:dyDescent="0.2">
      <c r="A1021" t="s">
        <v>1737</v>
      </c>
      <c r="B1021" t="s">
        <v>3073</v>
      </c>
      <c r="D1021" t="b">
        <f>IFERROR(VLOOKUP(B1021,PatData!$A$2:$A$2000,1,),"")&lt;&gt;""</f>
        <v>1</v>
      </c>
      <c r="E1021" t="b">
        <v>0</v>
      </c>
      <c r="F1021" t="b">
        <v>0</v>
      </c>
      <c r="G1021" t="b">
        <v>1</v>
      </c>
      <c r="H1021" t="b">
        <v>1</v>
      </c>
      <c r="I1021" t="b">
        <v>0</v>
      </c>
    </row>
    <row r="1022" spans="1:9" x14ac:dyDescent="0.2">
      <c r="A1022" t="s">
        <v>1738</v>
      </c>
      <c r="B1022" t="s">
        <v>3074</v>
      </c>
      <c r="D1022" t="b">
        <f>IFERROR(VLOOKUP(B1022,PatData!$A$2:$A$2000,1,),"")&lt;&gt;""</f>
        <v>1</v>
      </c>
      <c r="E1022" t="b">
        <v>0</v>
      </c>
      <c r="F1022" t="b">
        <v>0</v>
      </c>
      <c r="G1022" t="b">
        <v>1</v>
      </c>
      <c r="H1022" t="b">
        <v>1</v>
      </c>
      <c r="I1022" t="b">
        <v>0</v>
      </c>
    </row>
    <row r="1023" spans="1:9" x14ac:dyDescent="0.2">
      <c r="A1023" t="s">
        <v>1739</v>
      </c>
      <c r="B1023" t="s">
        <v>3075</v>
      </c>
      <c r="D1023" t="b">
        <f>IFERROR(VLOOKUP(B1023,PatData!$A$2:$A$2000,1,),"")&lt;&gt;""</f>
        <v>1</v>
      </c>
      <c r="E1023" t="b">
        <v>0</v>
      </c>
      <c r="F1023" t="b">
        <v>0</v>
      </c>
      <c r="G1023" t="b">
        <v>1</v>
      </c>
      <c r="H1023" t="b">
        <v>1</v>
      </c>
      <c r="I1023" t="b">
        <v>0</v>
      </c>
    </row>
    <row r="1024" spans="1:9" x14ac:dyDescent="0.2">
      <c r="A1024" t="s">
        <v>1740</v>
      </c>
      <c r="B1024" t="s">
        <v>3076</v>
      </c>
      <c r="D1024" t="b">
        <f>IFERROR(VLOOKUP(B1024,PatData!$A$2:$A$2000,1,),"")&lt;&gt;""</f>
        <v>1</v>
      </c>
      <c r="E1024" t="b">
        <v>0</v>
      </c>
      <c r="F1024" t="b">
        <v>0</v>
      </c>
      <c r="G1024" t="b">
        <v>1</v>
      </c>
      <c r="H1024" t="b">
        <v>1</v>
      </c>
      <c r="I1024" t="b">
        <v>0</v>
      </c>
    </row>
    <row r="1025" spans="1:9" x14ac:dyDescent="0.2">
      <c r="A1025" t="s">
        <v>1741</v>
      </c>
      <c r="B1025" t="s">
        <v>3077</v>
      </c>
      <c r="D1025" t="b">
        <f>IFERROR(VLOOKUP(B1025,PatData!$A$2:$A$2000,1,),"")&lt;&gt;""</f>
        <v>1</v>
      </c>
      <c r="E1025" t="b">
        <v>0</v>
      </c>
      <c r="F1025" t="b">
        <v>0</v>
      </c>
      <c r="G1025" t="b">
        <v>1</v>
      </c>
      <c r="H1025" t="b">
        <v>1</v>
      </c>
      <c r="I1025" t="b">
        <v>0</v>
      </c>
    </row>
    <row r="1026" spans="1:9" x14ac:dyDescent="0.2">
      <c r="A1026" t="s">
        <v>1742</v>
      </c>
      <c r="B1026" t="s">
        <v>3078</v>
      </c>
      <c r="D1026" t="b">
        <f>IFERROR(VLOOKUP(B1026,PatData!$A$2:$A$2000,1,),"")&lt;&gt;""</f>
        <v>1</v>
      </c>
      <c r="E1026" t="b">
        <v>0</v>
      </c>
      <c r="F1026" t="b">
        <v>0</v>
      </c>
      <c r="G1026" t="b">
        <v>1</v>
      </c>
      <c r="H1026" t="b">
        <v>1</v>
      </c>
      <c r="I1026" t="b">
        <v>0</v>
      </c>
    </row>
    <row r="1027" spans="1:9" x14ac:dyDescent="0.2">
      <c r="A1027" t="s">
        <v>1744</v>
      </c>
      <c r="B1027" t="s">
        <v>3079</v>
      </c>
      <c r="D1027" t="b">
        <f>IFERROR(VLOOKUP(B1027,PatData!$A$2:$A$2000,1,),"")&lt;&gt;""</f>
        <v>1</v>
      </c>
      <c r="E1027" t="b">
        <v>0</v>
      </c>
      <c r="F1027" t="b">
        <v>0</v>
      </c>
      <c r="G1027" t="b">
        <v>1</v>
      </c>
      <c r="H1027" t="b">
        <v>1</v>
      </c>
      <c r="I1027" t="b">
        <v>0</v>
      </c>
    </row>
    <row r="1028" spans="1:9" x14ac:dyDescent="0.2">
      <c r="A1028" t="s">
        <v>1745</v>
      </c>
      <c r="B1028" t="s">
        <v>3080</v>
      </c>
      <c r="D1028" t="b">
        <f>IFERROR(VLOOKUP(B1028,PatData!$A$2:$A$2000,1,),"")&lt;&gt;""</f>
        <v>1</v>
      </c>
      <c r="E1028" t="b">
        <v>0</v>
      </c>
      <c r="F1028" t="b">
        <v>0</v>
      </c>
      <c r="G1028" t="b">
        <v>1</v>
      </c>
      <c r="H1028" t="b">
        <v>1</v>
      </c>
      <c r="I1028" t="b">
        <v>0</v>
      </c>
    </row>
    <row r="1029" spans="1:9" x14ac:dyDescent="0.2">
      <c r="A1029" t="s">
        <v>1752</v>
      </c>
      <c r="B1029" t="s">
        <v>3081</v>
      </c>
      <c r="D1029" t="b">
        <f>IFERROR(VLOOKUP(B1029,PatData!$A$2:$A$2000,1,),"")&lt;&gt;""</f>
        <v>1</v>
      </c>
      <c r="E1029" t="b">
        <v>0</v>
      </c>
      <c r="F1029" t="b">
        <v>0</v>
      </c>
      <c r="G1029" t="b">
        <v>1</v>
      </c>
      <c r="H1029" t="b">
        <v>1</v>
      </c>
      <c r="I1029" t="b">
        <v>0</v>
      </c>
    </row>
    <row r="1030" spans="1:9" x14ac:dyDescent="0.2">
      <c r="A1030" t="s">
        <v>1763</v>
      </c>
      <c r="B1030" t="s">
        <v>3082</v>
      </c>
      <c r="D1030" t="b">
        <f>IFERROR(VLOOKUP(B1030,PatData!$A$2:$A$2000,1,),"")&lt;&gt;""</f>
        <v>1</v>
      </c>
      <c r="E1030" t="b">
        <v>0</v>
      </c>
      <c r="F1030" t="b">
        <v>0</v>
      </c>
      <c r="G1030" t="b">
        <v>1</v>
      </c>
      <c r="H1030" t="b">
        <v>1</v>
      </c>
      <c r="I1030" t="b">
        <v>0</v>
      </c>
    </row>
    <row r="1031" spans="1:9" x14ac:dyDescent="0.2">
      <c r="A1031" t="s">
        <v>1774</v>
      </c>
      <c r="B1031" t="s">
        <v>3083</v>
      </c>
      <c r="D1031" t="b">
        <f>IFERROR(VLOOKUP(B1031,PatData!$A$2:$A$2000,1,),"")&lt;&gt;""</f>
        <v>1</v>
      </c>
      <c r="E1031" t="b">
        <v>0</v>
      </c>
      <c r="F1031" t="b">
        <v>0</v>
      </c>
      <c r="G1031" t="b">
        <v>1</v>
      </c>
      <c r="H1031" t="b">
        <v>1</v>
      </c>
      <c r="I1031" t="b">
        <v>0</v>
      </c>
    </row>
    <row r="1032" spans="1:9" x14ac:dyDescent="0.2">
      <c r="A1032" t="s">
        <v>1777</v>
      </c>
      <c r="B1032" t="s">
        <v>3084</v>
      </c>
      <c r="D1032" t="b">
        <f>IFERROR(VLOOKUP(B1032,PatData!$A$2:$A$2000,1,),"")&lt;&gt;""</f>
        <v>1</v>
      </c>
      <c r="E1032" t="b">
        <v>0</v>
      </c>
      <c r="F1032" t="b">
        <v>0</v>
      </c>
      <c r="G1032" t="b">
        <v>1</v>
      </c>
      <c r="H1032" t="b">
        <v>1</v>
      </c>
      <c r="I1032" t="b">
        <v>0</v>
      </c>
    </row>
    <row r="1033" spans="1:9" x14ac:dyDescent="0.2">
      <c r="A1033" t="s">
        <v>1778</v>
      </c>
      <c r="B1033" t="s">
        <v>3085</v>
      </c>
      <c r="D1033" t="b">
        <f>IFERROR(VLOOKUP(B1033,PatData!$A$2:$A$2000,1,),"")&lt;&gt;""</f>
        <v>1</v>
      </c>
      <c r="E1033" t="b">
        <v>0</v>
      </c>
      <c r="F1033" t="b">
        <v>0</v>
      </c>
      <c r="G1033" t="b">
        <v>1</v>
      </c>
      <c r="H1033" t="b">
        <v>1</v>
      </c>
      <c r="I1033" t="b">
        <v>0</v>
      </c>
    </row>
    <row r="1034" spans="1:9" x14ac:dyDescent="0.2">
      <c r="A1034" t="s">
        <v>1779</v>
      </c>
      <c r="B1034" t="s">
        <v>3086</v>
      </c>
      <c r="D1034" t="b">
        <f>IFERROR(VLOOKUP(B1034,PatData!$A$2:$A$2000,1,),"")&lt;&gt;""</f>
        <v>1</v>
      </c>
      <c r="E1034" t="b">
        <v>0</v>
      </c>
      <c r="F1034" t="b">
        <v>0</v>
      </c>
      <c r="G1034" t="b">
        <v>1</v>
      </c>
      <c r="H1034" t="b">
        <v>1</v>
      </c>
      <c r="I1034" t="b">
        <v>0</v>
      </c>
    </row>
    <row r="1035" spans="1:9" x14ac:dyDescent="0.2">
      <c r="A1035" t="s">
        <v>1780</v>
      </c>
      <c r="B1035" t="s">
        <v>3087</v>
      </c>
      <c r="D1035" t="b">
        <f>IFERROR(VLOOKUP(B1035,PatData!$A$2:$A$2000,1,),"")&lt;&gt;""</f>
        <v>1</v>
      </c>
      <c r="E1035" t="b">
        <v>0</v>
      </c>
      <c r="F1035" t="b">
        <v>0</v>
      </c>
      <c r="G1035" t="b">
        <v>1</v>
      </c>
      <c r="H1035" t="b">
        <v>1</v>
      </c>
      <c r="I1035" t="b">
        <v>0</v>
      </c>
    </row>
    <row r="1036" spans="1:9" x14ac:dyDescent="0.2">
      <c r="A1036" t="s">
        <v>1781</v>
      </c>
      <c r="B1036" t="s">
        <v>3088</v>
      </c>
      <c r="D1036" t="b">
        <f>IFERROR(VLOOKUP(B1036,PatData!$A$2:$A$2000,1,),"")&lt;&gt;""</f>
        <v>1</v>
      </c>
      <c r="E1036" t="b">
        <v>0</v>
      </c>
      <c r="F1036" t="b">
        <v>0</v>
      </c>
      <c r="G1036" t="b">
        <v>1</v>
      </c>
      <c r="H1036" t="b">
        <v>1</v>
      </c>
      <c r="I1036" t="b">
        <v>0</v>
      </c>
    </row>
    <row r="1037" spans="1:9" x14ac:dyDescent="0.2">
      <c r="A1037" t="s">
        <v>1782</v>
      </c>
      <c r="B1037" t="s">
        <v>3089</v>
      </c>
      <c r="D1037" t="b">
        <f>IFERROR(VLOOKUP(B1037,PatData!$A$2:$A$2000,1,),"")&lt;&gt;""</f>
        <v>1</v>
      </c>
      <c r="E1037" t="b">
        <v>0</v>
      </c>
      <c r="F1037" t="b">
        <v>0</v>
      </c>
      <c r="G1037" t="b">
        <v>1</v>
      </c>
      <c r="H1037" t="b">
        <v>1</v>
      </c>
      <c r="I1037" t="b">
        <v>0</v>
      </c>
    </row>
    <row r="1038" spans="1:9" x14ac:dyDescent="0.2">
      <c r="A1038" t="s">
        <v>1753</v>
      </c>
      <c r="B1038" t="s">
        <v>3090</v>
      </c>
      <c r="D1038" t="b">
        <f>IFERROR(VLOOKUP(B1038,PatData!$A$2:$A$2000,1,),"")&lt;&gt;""</f>
        <v>1</v>
      </c>
      <c r="E1038" t="b">
        <v>0</v>
      </c>
      <c r="F1038" t="b">
        <v>0</v>
      </c>
      <c r="G1038" t="b">
        <v>1</v>
      </c>
      <c r="H1038" t="b">
        <v>1</v>
      </c>
      <c r="I1038" t="b">
        <v>0</v>
      </c>
    </row>
    <row r="1039" spans="1:9" x14ac:dyDescent="0.2">
      <c r="A1039" t="s">
        <v>1754</v>
      </c>
      <c r="B1039" t="s">
        <v>3091</v>
      </c>
      <c r="D1039" t="b">
        <f>IFERROR(VLOOKUP(B1039,PatData!$A$2:$A$2000,1,),"")&lt;&gt;""</f>
        <v>1</v>
      </c>
      <c r="E1039" t="b">
        <v>0</v>
      </c>
      <c r="F1039" t="b">
        <v>0</v>
      </c>
      <c r="G1039" t="b">
        <v>1</v>
      </c>
      <c r="H1039" t="b">
        <v>1</v>
      </c>
      <c r="I1039" t="b">
        <v>0</v>
      </c>
    </row>
    <row r="1040" spans="1:9" x14ac:dyDescent="0.2">
      <c r="A1040" t="s">
        <v>1755</v>
      </c>
      <c r="B1040" t="s">
        <v>3092</v>
      </c>
      <c r="D1040" t="b">
        <f>IFERROR(VLOOKUP(B1040,PatData!$A$2:$A$2000,1,),"")&lt;&gt;""</f>
        <v>1</v>
      </c>
      <c r="E1040" t="b">
        <v>0</v>
      </c>
      <c r="F1040" t="b">
        <v>0</v>
      </c>
      <c r="G1040" t="b">
        <v>1</v>
      </c>
      <c r="H1040" t="b">
        <v>1</v>
      </c>
      <c r="I1040" t="b">
        <v>0</v>
      </c>
    </row>
    <row r="1041" spans="1:9" x14ac:dyDescent="0.2">
      <c r="A1041" t="s">
        <v>1756</v>
      </c>
      <c r="B1041" t="s">
        <v>3093</v>
      </c>
      <c r="D1041" t="b">
        <f>IFERROR(VLOOKUP(B1041,PatData!$A$2:$A$2000,1,),"")&lt;&gt;""</f>
        <v>1</v>
      </c>
      <c r="E1041" t="b">
        <v>0</v>
      </c>
      <c r="F1041" t="b">
        <v>0</v>
      </c>
      <c r="G1041" t="b">
        <v>1</v>
      </c>
      <c r="H1041" t="b">
        <v>1</v>
      </c>
      <c r="I1041" t="b">
        <v>0</v>
      </c>
    </row>
    <row r="1042" spans="1:9" x14ac:dyDescent="0.2">
      <c r="A1042" t="s">
        <v>1757</v>
      </c>
      <c r="B1042" t="s">
        <v>3094</v>
      </c>
      <c r="D1042" t="b">
        <f>IFERROR(VLOOKUP(B1042,PatData!$A$2:$A$2000,1,),"")&lt;&gt;""</f>
        <v>1</v>
      </c>
      <c r="E1042" t="b">
        <v>0</v>
      </c>
      <c r="F1042" t="b">
        <v>0</v>
      </c>
      <c r="G1042" t="b">
        <v>1</v>
      </c>
      <c r="H1042" t="b">
        <v>1</v>
      </c>
      <c r="I1042" t="b">
        <v>0</v>
      </c>
    </row>
    <row r="1043" spans="1:9" x14ac:dyDescent="0.2">
      <c r="A1043" t="s">
        <v>1758</v>
      </c>
      <c r="B1043" t="s">
        <v>3095</v>
      </c>
      <c r="D1043" t="b">
        <f>IFERROR(VLOOKUP(B1043,PatData!$A$2:$A$2000,1,),"")&lt;&gt;""</f>
        <v>1</v>
      </c>
      <c r="E1043" t="b">
        <v>0</v>
      </c>
      <c r="F1043" t="b">
        <v>0</v>
      </c>
      <c r="G1043" t="b">
        <v>1</v>
      </c>
      <c r="H1043" t="b">
        <v>1</v>
      </c>
      <c r="I1043" t="b">
        <v>0</v>
      </c>
    </row>
    <row r="1044" spans="1:9" x14ac:dyDescent="0.2">
      <c r="A1044" t="s">
        <v>1759</v>
      </c>
      <c r="B1044" t="s">
        <v>3096</v>
      </c>
      <c r="D1044" t="b">
        <f>IFERROR(VLOOKUP(B1044,PatData!$A$2:$A$2000,1,),"")&lt;&gt;""</f>
        <v>1</v>
      </c>
      <c r="E1044" t="b">
        <v>0</v>
      </c>
      <c r="F1044" t="b">
        <v>0</v>
      </c>
      <c r="G1044" t="b">
        <v>1</v>
      </c>
      <c r="H1044" t="b">
        <v>1</v>
      </c>
      <c r="I1044" t="b">
        <v>0</v>
      </c>
    </row>
    <row r="1045" spans="1:9" x14ac:dyDescent="0.2">
      <c r="A1045" t="s">
        <v>1760</v>
      </c>
      <c r="B1045" t="s">
        <v>3097</v>
      </c>
      <c r="D1045" t="b">
        <f>IFERROR(VLOOKUP(B1045,PatData!$A$2:$A$2000,1,),"")&lt;&gt;""</f>
        <v>1</v>
      </c>
      <c r="E1045" t="b">
        <v>0</v>
      </c>
      <c r="F1045" t="b">
        <v>0</v>
      </c>
      <c r="G1045" t="b">
        <v>1</v>
      </c>
      <c r="H1045" t="b">
        <v>1</v>
      </c>
      <c r="I1045" t="b">
        <v>0</v>
      </c>
    </row>
    <row r="1046" spans="1:9" x14ac:dyDescent="0.2">
      <c r="A1046" t="s">
        <v>1761</v>
      </c>
      <c r="B1046" t="s">
        <v>3098</v>
      </c>
      <c r="D1046" t="b">
        <f>IFERROR(VLOOKUP(B1046,PatData!$A$2:$A$2000,1,),"")&lt;&gt;""</f>
        <v>1</v>
      </c>
      <c r="E1046" t="b">
        <v>0</v>
      </c>
      <c r="F1046" t="b">
        <v>0</v>
      </c>
      <c r="G1046" t="b">
        <v>1</v>
      </c>
      <c r="H1046" t="b">
        <v>1</v>
      </c>
      <c r="I1046" t="b">
        <v>0</v>
      </c>
    </row>
    <row r="1047" spans="1:9" x14ac:dyDescent="0.2">
      <c r="A1047" t="s">
        <v>1762</v>
      </c>
      <c r="B1047" t="s">
        <v>3099</v>
      </c>
      <c r="D1047" t="b">
        <f>IFERROR(VLOOKUP(B1047,PatData!$A$2:$A$2000,1,),"")&lt;&gt;""</f>
        <v>1</v>
      </c>
      <c r="E1047" t="b">
        <v>0</v>
      </c>
      <c r="F1047" t="b">
        <v>0</v>
      </c>
      <c r="G1047" t="b">
        <v>1</v>
      </c>
      <c r="H1047" t="b">
        <v>1</v>
      </c>
      <c r="I1047" t="b">
        <v>0</v>
      </c>
    </row>
    <row r="1048" spans="1:9" x14ac:dyDescent="0.2">
      <c r="A1048" t="s">
        <v>1764</v>
      </c>
      <c r="B1048" t="s">
        <v>3100</v>
      </c>
      <c r="D1048" t="b">
        <f>IFERROR(VLOOKUP(B1048,PatData!$A$2:$A$2000,1,),"")&lt;&gt;""</f>
        <v>1</v>
      </c>
      <c r="E1048" t="b">
        <v>0</v>
      </c>
      <c r="F1048" t="b">
        <v>0</v>
      </c>
      <c r="G1048" t="b">
        <v>1</v>
      </c>
      <c r="H1048" t="b">
        <v>1</v>
      </c>
      <c r="I1048" t="b">
        <v>0</v>
      </c>
    </row>
    <row r="1049" spans="1:9" x14ac:dyDescent="0.2">
      <c r="A1049" t="s">
        <v>1765</v>
      </c>
      <c r="B1049" t="s">
        <v>3101</v>
      </c>
      <c r="D1049" t="b">
        <f>IFERROR(VLOOKUP(B1049,PatData!$A$2:$A$2000,1,),"")&lt;&gt;""</f>
        <v>1</v>
      </c>
      <c r="E1049" t="b">
        <v>0</v>
      </c>
      <c r="F1049" t="b">
        <v>0</v>
      </c>
      <c r="G1049" t="b">
        <v>1</v>
      </c>
      <c r="H1049" t="b">
        <v>1</v>
      </c>
      <c r="I1049" t="b">
        <v>0</v>
      </c>
    </row>
    <row r="1050" spans="1:9" x14ac:dyDescent="0.2">
      <c r="A1050" t="s">
        <v>1766</v>
      </c>
      <c r="B1050" t="s">
        <v>3102</v>
      </c>
      <c r="D1050" t="b">
        <f>IFERROR(VLOOKUP(B1050,PatData!$A$2:$A$2000,1,),"")&lt;&gt;""</f>
        <v>1</v>
      </c>
      <c r="E1050" t="b">
        <v>0</v>
      </c>
      <c r="F1050" t="b">
        <v>0</v>
      </c>
      <c r="G1050" t="b">
        <v>1</v>
      </c>
      <c r="H1050" t="b">
        <v>1</v>
      </c>
      <c r="I1050" t="b">
        <v>0</v>
      </c>
    </row>
    <row r="1051" spans="1:9" x14ac:dyDescent="0.2">
      <c r="A1051" t="s">
        <v>1767</v>
      </c>
      <c r="B1051" t="s">
        <v>3103</v>
      </c>
      <c r="D1051" t="b">
        <f>IFERROR(VLOOKUP(B1051,PatData!$A$2:$A$2000,1,),"")&lt;&gt;""</f>
        <v>1</v>
      </c>
      <c r="E1051" t="b">
        <v>0</v>
      </c>
      <c r="F1051" t="b">
        <v>0</v>
      </c>
      <c r="G1051" t="b">
        <v>1</v>
      </c>
      <c r="H1051" t="b">
        <v>1</v>
      </c>
      <c r="I1051" t="b">
        <v>0</v>
      </c>
    </row>
    <row r="1052" spans="1:9" x14ac:dyDescent="0.2">
      <c r="A1052" t="s">
        <v>1768</v>
      </c>
      <c r="B1052" t="s">
        <v>3104</v>
      </c>
      <c r="D1052" t="b">
        <f>IFERROR(VLOOKUP(B1052,PatData!$A$2:$A$2000,1,),"")&lt;&gt;""</f>
        <v>1</v>
      </c>
      <c r="E1052" t="b">
        <v>0</v>
      </c>
      <c r="F1052" t="b">
        <v>0</v>
      </c>
      <c r="G1052" t="b">
        <v>1</v>
      </c>
      <c r="H1052" t="b">
        <v>1</v>
      </c>
      <c r="I1052" t="b">
        <v>0</v>
      </c>
    </row>
    <row r="1053" spans="1:9" x14ac:dyDescent="0.2">
      <c r="A1053" t="s">
        <v>1769</v>
      </c>
      <c r="B1053" t="s">
        <v>3105</v>
      </c>
      <c r="D1053" t="b">
        <f>IFERROR(VLOOKUP(B1053,PatData!$A$2:$A$2000,1,),"")&lt;&gt;""</f>
        <v>1</v>
      </c>
      <c r="E1053" t="b">
        <v>0</v>
      </c>
      <c r="F1053" t="b">
        <v>0</v>
      </c>
      <c r="G1053" t="b">
        <v>1</v>
      </c>
      <c r="H1053" t="b">
        <v>1</v>
      </c>
      <c r="I1053" t="b">
        <v>0</v>
      </c>
    </row>
    <row r="1054" spans="1:9" x14ac:dyDescent="0.2">
      <c r="A1054" t="s">
        <v>1770</v>
      </c>
      <c r="B1054" t="s">
        <v>3106</v>
      </c>
      <c r="D1054" t="b">
        <f>IFERROR(VLOOKUP(B1054,PatData!$A$2:$A$2000,1,),"")&lt;&gt;""</f>
        <v>1</v>
      </c>
      <c r="E1054" t="b">
        <v>0</v>
      </c>
      <c r="F1054" t="b">
        <v>0</v>
      </c>
      <c r="G1054" t="b">
        <v>1</v>
      </c>
      <c r="H1054" t="b">
        <v>1</v>
      </c>
      <c r="I1054" t="b">
        <v>0</v>
      </c>
    </row>
    <row r="1055" spans="1:9" x14ac:dyDescent="0.2">
      <c r="A1055" t="s">
        <v>1771</v>
      </c>
      <c r="B1055" t="s">
        <v>3107</v>
      </c>
      <c r="D1055" t="b">
        <f>IFERROR(VLOOKUP(B1055,PatData!$A$2:$A$2000,1,),"")&lt;&gt;""</f>
        <v>1</v>
      </c>
      <c r="E1055" t="b">
        <v>0</v>
      </c>
      <c r="F1055" t="b">
        <v>0</v>
      </c>
      <c r="G1055" t="b">
        <v>1</v>
      </c>
      <c r="H1055" t="b">
        <v>1</v>
      </c>
      <c r="I1055" t="b">
        <v>0</v>
      </c>
    </row>
    <row r="1056" spans="1:9" x14ac:dyDescent="0.2">
      <c r="A1056" t="s">
        <v>1772</v>
      </c>
      <c r="B1056" t="s">
        <v>3108</v>
      </c>
      <c r="D1056" t="b">
        <f>IFERROR(VLOOKUP(B1056,PatData!$A$2:$A$2000,1,),"")&lt;&gt;""</f>
        <v>1</v>
      </c>
      <c r="E1056" t="b">
        <v>0</v>
      </c>
      <c r="F1056" t="b">
        <v>0</v>
      </c>
      <c r="G1056" t="b">
        <v>1</v>
      </c>
      <c r="H1056" t="b">
        <v>1</v>
      </c>
      <c r="I1056" t="b">
        <v>0</v>
      </c>
    </row>
    <row r="1057" spans="1:9" x14ac:dyDescent="0.2">
      <c r="A1057" t="s">
        <v>1773</v>
      </c>
      <c r="B1057" t="s">
        <v>3109</v>
      </c>
      <c r="D1057" t="b">
        <f>IFERROR(VLOOKUP(B1057,PatData!$A$2:$A$2000,1,),"")&lt;&gt;""</f>
        <v>1</v>
      </c>
      <c r="E1057" t="b">
        <v>0</v>
      </c>
      <c r="F1057" t="b">
        <v>0</v>
      </c>
      <c r="G1057" t="b">
        <v>1</v>
      </c>
      <c r="H1057" t="b">
        <v>1</v>
      </c>
      <c r="I1057" t="b">
        <v>0</v>
      </c>
    </row>
    <row r="1058" spans="1:9" x14ac:dyDescent="0.2">
      <c r="A1058" t="s">
        <v>1775</v>
      </c>
      <c r="B1058" t="s">
        <v>3110</v>
      </c>
      <c r="D1058" t="b">
        <f>IFERROR(VLOOKUP(B1058,PatData!$A$2:$A$2000,1,),"")&lt;&gt;""</f>
        <v>1</v>
      </c>
      <c r="E1058" t="b">
        <v>0</v>
      </c>
      <c r="F1058" t="b">
        <v>0</v>
      </c>
      <c r="G1058" t="b">
        <v>1</v>
      </c>
      <c r="H1058" t="b">
        <v>1</v>
      </c>
      <c r="I1058" t="b">
        <v>0</v>
      </c>
    </row>
    <row r="1059" spans="1:9" x14ac:dyDescent="0.2">
      <c r="A1059" t="s">
        <v>1776</v>
      </c>
      <c r="B1059" t="s">
        <v>3111</v>
      </c>
      <c r="D1059" t="b">
        <f>IFERROR(VLOOKUP(B1059,PatData!$A$2:$A$2000,1,),"")&lt;&gt;""</f>
        <v>1</v>
      </c>
      <c r="E1059" t="b">
        <v>0</v>
      </c>
      <c r="F1059" t="b">
        <v>0</v>
      </c>
      <c r="G1059" t="b">
        <v>1</v>
      </c>
      <c r="H1059" t="b">
        <v>1</v>
      </c>
      <c r="I1059" t="b">
        <v>0</v>
      </c>
    </row>
    <row r="1060" spans="1:9" x14ac:dyDescent="0.2">
      <c r="A1060" t="s">
        <v>1783</v>
      </c>
      <c r="B1060" t="s">
        <v>3112</v>
      </c>
      <c r="D1060" t="b">
        <f>IFERROR(VLOOKUP(B1060,PatData!$A$2:$A$2000,1,),"")&lt;&gt;""</f>
        <v>1</v>
      </c>
      <c r="E1060" t="b">
        <v>0</v>
      </c>
      <c r="F1060" t="b">
        <v>0</v>
      </c>
      <c r="G1060" t="b">
        <v>1</v>
      </c>
      <c r="H1060" t="b">
        <v>1</v>
      </c>
      <c r="I1060" t="b">
        <v>0</v>
      </c>
    </row>
    <row r="1061" spans="1:9" x14ac:dyDescent="0.2">
      <c r="A1061" t="s">
        <v>1794</v>
      </c>
      <c r="B1061" t="s">
        <v>3113</v>
      </c>
      <c r="D1061" t="b">
        <f>IFERROR(VLOOKUP(B1061,PatData!$A$2:$A$2000,1,),"")&lt;&gt;""</f>
        <v>1</v>
      </c>
      <c r="E1061" t="b">
        <v>0</v>
      </c>
      <c r="F1061" t="b">
        <v>0</v>
      </c>
      <c r="G1061" t="b">
        <v>1</v>
      </c>
      <c r="H1061" t="b">
        <v>1</v>
      </c>
      <c r="I1061" t="b">
        <v>0</v>
      </c>
    </row>
    <row r="1062" spans="1:9" x14ac:dyDescent="0.2">
      <c r="A1062" t="s">
        <v>1805</v>
      </c>
      <c r="B1062" t="s">
        <v>3114</v>
      </c>
      <c r="D1062" t="b">
        <f>IFERROR(VLOOKUP(B1062,PatData!$A$2:$A$2000,1,),"")&lt;&gt;""</f>
        <v>1</v>
      </c>
      <c r="E1062" t="b">
        <v>0</v>
      </c>
      <c r="F1062" t="b">
        <v>0</v>
      </c>
      <c r="G1062" t="b">
        <v>1</v>
      </c>
      <c r="H1062" t="b">
        <v>1</v>
      </c>
      <c r="I1062" t="b">
        <v>0</v>
      </c>
    </row>
    <row r="1063" spans="1:9" x14ac:dyDescent="0.2">
      <c r="A1063" t="s">
        <v>1808</v>
      </c>
      <c r="B1063" t="s">
        <v>3115</v>
      </c>
      <c r="D1063" t="b">
        <f>IFERROR(VLOOKUP(B1063,PatData!$A$2:$A$2000,1,),"")&lt;&gt;""</f>
        <v>1</v>
      </c>
      <c r="E1063" t="b">
        <v>0</v>
      </c>
      <c r="F1063" t="b">
        <v>0</v>
      </c>
      <c r="G1063" t="b">
        <v>1</v>
      </c>
      <c r="H1063" t="b">
        <v>1</v>
      </c>
      <c r="I1063" t="b">
        <v>0</v>
      </c>
    </row>
    <row r="1064" spans="1:9" x14ac:dyDescent="0.2">
      <c r="A1064" t="s">
        <v>1809</v>
      </c>
      <c r="B1064" t="s">
        <v>3116</v>
      </c>
      <c r="D1064" t="b">
        <f>IFERROR(VLOOKUP(B1064,PatData!$A$2:$A$2000,1,),"")&lt;&gt;""</f>
        <v>1</v>
      </c>
      <c r="E1064" t="b">
        <v>0</v>
      </c>
      <c r="F1064" t="b">
        <v>0</v>
      </c>
      <c r="G1064" t="b">
        <v>1</v>
      </c>
      <c r="H1064" t="b">
        <v>1</v>
      </c>
      <c r="I1064" t="b">
        <v>0</v>
      </c>
    </row>
    <row r="1065" spans="1:9" x14ac:dyDescent="0.2">
      <c r="A1065" t="s">
        <v>1810</v>
      </c>
      <c r="B1065" t="s">
        <v>3117</v>
      </c>
      <c r="D1065" t="b">
        <f>IFERROR(VLOOKUP(B1065,PatData!$A$2:$A$2000,1,),"")&lt;&gt;""</f>
        <v>1</v>
      </c>
      <c r="E1065" t="b">
        <v>0</v>
      </c>
      <c r="F1065" t="b">
        <v>0</v>
      </c>
      <c r="G1065" t="b">
        <v>1</v>
      </c>
      <c r="H1065" t="b">
        <v>1</v>
      </c>
      <c r="I1065" t="b">
        <v>0</v>
      </c>
    </row>
    <row r="1066" spans="1:9" x14ac:dyDescent="0.2">
      <c r="A1066" t="s">
        <v>1811</v>
      </c>
      <c r="B1066" t="s">
        <v>3118</v>
      </c>
      <c r="D1066" t="b">
        <f>IFERROR(VLOOKUP(B1066,PatData!$A$2:$A$2000,1,),"")&lt;&gt;""</f>
        <v>1</v>
      </c>
      <c r="E1066" t="b">
        <v>0</v>
      </c>
      <c r="F1066" t="b">
        <v>0</v>
      </c>
      <c r="G1066" t="b">
        <v>1</v>
      </c>
      <c r="H1066" t="b">
        <v>1</v>
      </c>
      <c r="I1066" t="b">
        <v>0</v>
      </c>
    </row>
    <row r="1067" spans="1:9" x14ac:dyDescent="0.2">
      <c r="A1067" t="s">
        <v>1812</v>
      </c>
      <c r="B1067" t="s">
        <v>3119</v>
      </c>
      <c r="D1067" t="b">
        <f>IFERROR(VLOOKUP(B1067,PatData!$A$2:$A$2000,1,),"")&lt;&gt;""</f>
        <v>1</v>
      </c>
      <c r="E1067" t="b">
        <v>0</v>
      </c>
      <c r="F1067" t="b">
        <v>0</v>
      </c>
      <c r="G1067" t="b">
        <v>1</v>
      </c>
      <c r="H1067" t="b">
        <v>1</v>
      </c>
      <c r="I1067" t="b">
        <v>0</v>
      </c>
    </row>
    <row r="1068" spans="1:9" x14ac:dyDescent="0.2">
      <c r="A1068" t="s">
        <v>1813</v>
      </c>
      <c r="B1068" t="s">
        <v>3120</v>
      </c>
      <c r="D1068" t="b">
        <f>IFERROR(VLOOKUP(B1068,PatData!$A$2:$A$2000,1,),"")&lt;&gt;""</f>
        <v>1</v>
      </c>
      <c r="E1068" t="b">
        <v>0</v>
      </c>
      <c r="F1068" t="b">
        <v>0</v>
      </c>
      <c r="G1068" t="b">
        <v>1</v>
      </c>
      <c r="H1068" t="b">
        <v>1</v>
      </c>
      <c r="I1068" t="b">
        <v>0</v>
      </c>
    </row>
    <row r="1069" spans="1:9" x14ac:dyDescent="0.2">
      <c r="A1069" t="s">
        <v>1784</v>
      </c>
      <c r="B1069" t="s">
        <v>3121</v>
      </c>
      <c r="D1069" t="b">
        <f>IFERROR(VLOOKUP(B1069,PatData!$A$2:$A$2000,1,),"")&lt;&gt;""</f>
        <v>1</v>
      </c>
      <c r="E1069" t="b">
        <v>0</v>
      </c>
      <c r="F1069" t="b">
        <v>0</v>
      </c>
      <c r="G1069" t="b">
        <v>1</v>
      </c>
      <c r="H1069" t="b">
        <v>1</v>
      </c>
      <c r="I1069" t="b">
        <v>0</v>
      </c>
    </row>
    <row r="1070" spans="1:9" x14ac:dyDescent="0.2">
      <c r="A1070" t="s">
        <v>1785</v>
      </c>
      <c r="B1070" t="s">
        <v>3122</v>
      </c>
      <c r="D1070" t="b">
        <f>IFERROR(VLOOKUP(B1070,PatData!$A$2:$A$2000,1,),"")&lt;&gt;""</f>
        <v>1</v>
      </c>
      <c r="E1070" t="b">
        <v>0</v>
      </c>
      <c r="F1070" t="b">
        <v>0</v>
      </c>
      <c r="G1070" t="b">
        <v>1</v>
      </c>
      <c r="H1070" t="b">
        <v>1</v>
      </c>
      <c r="I1070" t="b">
        <v>0</v>
      </c>
    </row>
    <row r="1071" spans="1:9" x14ac:dyDescent="0.2">
      <c r="A1071" t="s">
        <v>1786</v>
      </c>
      <c r="B1071" t="s">
        <v>3123</v>
      </c>
      <c r="D1071" t="b">
        <f>IFERROR(VLOOKUP(B1071,PatData!$A$2:$A$2000,1,),"")&lt;&gt;""</f>
        <v>1</v>
      </c>
      <c r="E1071" t="b">
        <v>0</v>
      </c>
      <c r="F1071" t="b">
        <v>0</v>
      </c>
      <c r="G1071" t="b">
        <v>1</v>
      </c>
      <c r="H1071" t="b">
        <v>1</v>
      </c>
      <c r="I1071" t="b">
        <v>0</v>
      </c>
    </row>
    <row r="1072" spans="1:9" x14ac:dyDescent="0.2">
      <c r="A1072" t="s">
        <v>1787</v>
      </c>
      <c r="B1072" t="s">
        <v>3124</v>
      </c>
      <c r="D1072" t="b">
        <f>IFERROR(VLOOKUP(B1072,PatData!$A$2:$A$2000,1,),"")&lt;&gt;""</f>
        <v>1</v>
      </c>
      <c r="E1072" t="b">
        <v>0</v>
      </c>
      <c r="F1072" t="b">
        <v>0</v>
      </c>
      <c r="G1072" t="b">
        <v>1</v>
      </c>
      <c r="H1072" t="b">
        <v>1</v>
      </c>
      <c r="I1072" t="b">
        <v>0</v>
      </c>
    </row>
    <row r="1073" spans="1:9" x14ac:dyDescent="0.2">
      <c r="A1073" t="s">
        <v>1788</v>
      </c>
      <c r="B1073" t="s">
        <v>3125</v>
      </c>
      <c r="D1073" t="b">
        <f>IFERROR(VLOOKUP(B1073,PatData!$A$2:$A$2000,1,),"")&lt;&gt;""</f>
        <v>1</v>
      </c>
      <c r="E1073" t="b">
        <v>0</v>
      </c>
      <c r="F1073" t="b">
        <v>0</v>
      </c>
      <c r="G1073" t="b">
        <v>1</v>
      </c>
      <c r="H1073" t="b">
        <v>1</v>
      </c>
      <c r="I1073" t="b">
        <v>0</v>
      </c>
    </row>
    <row r="1074" spans="1:9" x14ac:dyDescent="0.2">
      <c r="A1074" t="s">
        <v>1789</v>
      </c>
      <c r="B1074" t="s">
        <v>3126</v>
      </c>
      <c r="D1074" t="b">
        <f>IFERROR(VLOOKUP(B1074,PatData!$A$2:$A$2000,1,),"")&lt;&gt;""</f>
        <v>1</v>
      </c>
      <c r="E1074" t="b">
        <v>0</v>
      </c>
      <c r="F1074" t="b">
        <v>0</v>
      </c>
      <c r="G1074" t="b">
        <v>1</v>
      </c>
      <c r="H1074" t="b">
        <v>1</v>
      </c>
      <c r="I1074" t="b">
        <v>0</v>
      </c>
    </row>
    <row r="1075" spans="1:9" x14ac:dyDescent="0.2">
      <c r="A1075" t="s">
        <v>1790</v>
      </c>
      <c r="B1075" t="s">
        <v>3127</v>
      </c>
      <c r="D1075" t="b">
        <f>IFERROR(VLOOKUP(B1075,PatData!$A$2:$A$2000,1,),"")&lt;&gt;""</f>
        <v>1</v>
      </c>
      <c r="E1075" t="b">
        <v>0</v>
      </c>
      <c r="F1075" t="b">
        <v>0</v>
      </c>
      <c r="G1075" t="b">
        <v>1</v>
      </c>
      <c r="H1075" t="b">
        <v>1</v>
      </c>
      <c r="I1075" t="b">
        <v>0</v>
      </c>
    </row>
    <row r="1076" spans="1:9" x14ac:dyDescent="0.2">
      <c r="A1076" t="s">
        <v>1791</v>
      </c>
      <c r="B1076" t="s">
        <v>3128</v>
      </c>
      <c r="D1076" t="b">
        <f>IFERROR(VLOOKUP(B1076,PatData!$A$2:$A$2000,1,),"")&lt;&gt;""</f>
        <v>1</v>
      </c>
      <c r="E1076" t="b">
        <v>0</v>
      </c>
      <c r="F1076" t="b">
        <v>0</v>
      </c>
      <c r="G1076" t="b">
        <v>1</v>
      </c>
      <c r="H1076" t="b">
        <v>1</v>
      </c>
      <c r="I1076" t="b">
        <v>0</v>
      </c>
    </row>
    <row r="1077" spans="1:9" x14ac:dyDescent="0.2">
      <c r="A1077" t="s">
        <v>1792</v>
      </c>
      <c r="B1077" t="s">
        <v>3129</v>
      </c>
      <c r="D1077" t="b">
        <f>IFERROR(VLOOKUP(B1077,PatData!$A$2:$A$2000,1,),"")&lt;&gt;""</f>
        <v>1</v>
      </c>
      <c r="E1077" t="b">
        <v>0</v>
      </c>
      <c r="F1077" t="b">
        <v>0</v>
      </c>
      <c r="G1077" t="b">
        <v>1</v>
      </c>
      <c r="H1077" t="b">
        <v>1</v>
      </c>
      <c r="I1077" t="b">
        <v>0</v>
      </c>
    </row>
    <row r="1078" spans="1:9" x14ac:dyDescent="0.2">
      <c r="A1078" t="s">
        <v>1793</v>
      </c>
      <c r="B1078" t="s">
        <v>3130</v>
      </c>
      <c r="D1078" t="b">
        <f>IFERROR(VLOOKUP(B1078,PatData!$A$2:$A$2000,1,),"")&lt;&gt;""</f>
        <v>1</v>
      </c>
      <c r="E1078" t="b">
        <v>0</v>
      </c>
      <c r="F1078" t="b">
        <v>0</v>
      </c>
      <c r="G1078" t="b">
        <v>1</v>
      </c>
      <c r="H1078" t="b">
        <v>1</v>
      </c>
      <c r="I1078" t="b">
        <v>0</v>
      </c>
    </row>
    <row r="1079" spans="1:9" x14ac:dyDescent="0.2">
      <c r="A1079" t="s">
        <v>1795</v>
      </c>
      <c r="B1079" t="s">
        <v>3131</v>
      </c>
      <c r="D1079" t="b">
        <f>IFERROR(VLOOKUP(B1079,PatData!$A$2:$A$2000,1,),"")&lt;&gt;""</f>
        <v>1</v>
      </c>
      <c r="E1079" t="b">
        <v>0</v>
      </c>
      <c r="F1079" t="b">
        <v>0</v>
      </c>
      <c r="G1079" t="b">
        <v>1</v>
      </c>
      <c r="H1079" t="b">
        <v>1</v>
      </c>
      <c r="I1079" t="b">
        <v>0</v>
      </c>
    </row>
    <row r="1080" spans="1:9" x14ac:dyDescent="0.2">
      <c r="A1080" t="s">
        <v>1796</v>
      </c>
      <c r="B1080" t="s">
        <v>3132</v>
      </c>
      <c r="D1080" t="b">
        <f>IFERROR(VLOOKUP(B1080,PatData!$A$2:$A$2000,1,),"")&lt;&gt;""</f>
        <v>1</v>
      </c>
      <c r="E1080" t="b">
        <v>0</v>
      </c>
      <c r="F1080" t="b">
        <v>0</v>
      </c>
      <c r="G1080" t="b">
        <v>1</v>
      </c>
      <c r="H1080" t="b">
        <v>1</v>
      </c>
      <c r="I1080" t="b">
        <v>0</v>
      </c>
    </row>
    <row r="1081" spans="1:9" x14ac:dyDescent="0.2">
      <c r="A1081" t="s">
        <v>1797</v>
      </c>
      <c r="B1081" t="s">
        <v>3133</v>
      </c>
      <c r="D1081" t="b">
        <f>IFERROR(VLOOKUP(B1081,PatData!$A$2:$A$2000,1,),"")&lt;&gt;""</f>
        <v>1</v>
      </c>
      <c r="E1081" t="b">
        <v>0</v>
      </c>
      <c r="F1081" t="b">
        <v>0</v>
      </c>
      <c r="G1081" t="b">
        <v>1</v>
      </c>
      <c r="H1081" t="b">
        <v>1</v>
      </c>
      <c r="I1081" t="b">
        <v>0</v>
      </c>
    </row>
    <row r="1082" spans="1:9" x14ac:dyDescent="0.2">
      <c r="A1082" t="s">
        <v>1798</v>
      </c>
      <c r="B1082" t="s">
        <v>3134</v>
      </c>
      <c r="D1082" t="b">
        <f>IFERROR(VLOOKUP(B1082,PatData!$A$2:$A$2000,1,),"")&lt;&gt;""</f>
        <v>1</v>
      </c>
      <c r="E1082" t="b">
        <v>0</v>
      </c>
      <c r="F1082" t="b">
        <v>0</v>
      </c>
      <c r="G1082" t="b">
        <v>1</v>
      </c>
      <c r="H1082" t="b">
        <v>1</v>
      </c>
      <c r="I1082" t="b">
        <v>0</v>
      </c>
    </row>
    <row r="1083" spans="1:9" x14ac:dyDescent="0.2">
      <c r="A1083" t="s">
        <v>1799</v>
      </c>
      <c r="B1083" t="s">
        <v>3135</v>
      </c>
      <c r="D1083" t="b">
        <f>IFERROR(VLOOKUP(B1083,PatData!$A$2:$A$2000,1,),"")&lt;&gt;""</f>
        <v>1</v>
      </c>
      <c r="E1083" t="b">
        <v>0</v>
      </c>
      <c r="F1083" t="b">
        <v>0</v>
      </c>
      <c r="G1083" t="b">
        <v>1</v>
      </c>
      <c r="H1083" t="b">
        <v>1</v>
      </c>
      <c r="I1083" t="b">
        <v>0</v>
      </c>
    </row>
    <row r="1084" spans="1:9" x14ac:dyDescent="0.2">
      <c r="A1084" t="s">
        <v>1800</v>
      </c>
      <c r="B1084" t="s">
        <v>3136</v>
      </c>
      <c r="D1084" t="b">
        <f>IFERROR(VLOOKUP(B1084,PatData!$A$2:$A$2000,1,),"")&lt;&gt;""</f>
        <v>1</v>
      </c>
      <c r="E1084" t="b">
        <v>0</v>
      </c>
      <c r="F1084" t="b">
        <v>0</v>
      </c>
      <c r="G1084" t="b">
        <v>1</v>
      </c>
      <c r="H1084" t="b">
        <v>1</v>
      </c>
      <c r="I1084" t="b">
        <v>0</v>
      </c>
    </row>
    <row r="1085" spans="1:9" x14ac:dyDescent="0.2">
      <c r="A1085" t="s">
        <v>1801</v>
      </c>
      <c r="B1085" t="s">
        <v>3137</v>
      </c>
      <c r="D1085" t="b">
        <f>IFERROR(VLOOKUP(B1085,PatData!$A$2:$A$2000,1,),"")&lt;&gt;""</f>
        <v>1</v>
      </c>
      <c r="E1085" t="b">
        <v>0</v>
      </c>
      <c r="F1085" t="b">
        <v>0</v>
      </c>
      <c r="G1085" t="b">
        <v>1</v>
      </c>
      <c r="H1085" t="b">
        <v>1</v>
      </c>
      <c r="I1085" t="b">
        <v>0</v>
      </c>
    </row>
    <row r="1086" spans="1:9" x14ac:dyDescent="0.2">
      <c r="A1086" t="s">
        <v>1802</v>
      </c>
      <c r="B1086" t="s">
        <v>3138</v>
      </c>
      <c r="D1086" t="b">
        <f>IFERROR(VLOOKUP(B1086,PatData!$A$2:$A$2000,1,),"")&lt;&gt;""</f>
        <v>1</v>
      </c>
      <c r="E1086" t="b">
        <v>0</v>
      </c>
      <c r="F1086" t="b">
        <v>0</v>
      </c>
      <c r="G1086" t="b">
        <v>1</v>
      </c>
      <c r="H1086" t="b">
        <v>1</v>
      </c>
      <c r="I1086" t="b">
        <v>0</v>
      </c>
    </row>
    <row r="1087" spans="1:9" x14ac:dyDescent="0.2">
      <c r="A1087" t="s">
        <v>1803</v>
      </c>
      <c r="B1087" t="s">
        <v>3139</v>
      </c>
      <c r="D1087" t="b">
        <f>IFERROR(VLOOKUP(B1087,PatData!$A$2:$A$2000,1,),"")&lt;&gt;""</f>
        <v>1</v>
      </c>
      <c r="E1087" t="b">
        <v>0</v>
      </c>
      <c r="F1087" t="b">
        <v>0</v>
      </c>
      <c r="G1087" t="b">
        <v>1</v>
      </c>
      <c r="H1087" t="b">
        <v>1</v>
      </c>
      <c r="I1087" t="b">
        <v>0</v>
      </c>
    </row>
    <row r="1088" spans="1:9" x14ac:dyDescent="0.2">
      <c r="A1088" t="s">
        <v>1804</v>
      </c>
      <c r="B1088" t="s">
        <v>3140</v>
      </c>
      <c r="D1088" t="b">
        <f>IFERROR(VLOOKUP(B1088,PatData!$A$2:$A$2000,1,),"")&lt;&gt;""</f>
        <v>1</v>
      </c>
      <c r="E1088" t="b">
        <v>0</v>
      </c>
      <c r="F1088" t="b">
        <v>0</v>
      </c>
      <c r="G1088" t="b">
        <v>1</v>
      </c>
      <c r="H1088" t="b">
        <v>1</v>
      </c>
      <c r="I1088" t="b">
        <v>0</v>
      </c>
    </row>
    <row r="1089" spans="1:9" x14ac:dyDescent="0.2">
      <c r="A1089" t="s">
        <v>1806</v>
      </c>
      <c r="B1089" t="s">
        <v>3141</v>
      </c>
      <c r="D1089" t="b">
        <f>IFERROR(VLOOKUP(B1089,PatData!$A$2:$A$2000,1,),"")&lt;&gt;""</f>
        <v>1</v>
      </c>
      <c r="E1089" t="b">
        <v>0</v>
      </c>
      <c r="F1089" t="b">
        <v>0</v>
      </c>
      <c r="G1089" t="b">
        <v>1</v>
      </c>
      <c r="H1089" t="b">
        <v>1</v>
      </c>
      <c r="I1089" t="b">
        <v>0</v>
      </c>
    </row>
    <row r="1090" spans="1:9" x14ac:dyDescent="0.2">
      <c r="A1090" t="s">
        <v>1807</v>
      </c>
      <c r="B1090" t="s">
        <v>3142</v>
      </c>
      <c r="D1090" t="b">
        <f>IFERROR(VLOOKUP(B1090,PatData!$A$2:$A$2000,1,),"")&lt;&gt;""</f>
        <v>1</v>
      </c>
      <c r="E1090" t="b">
        <v>0</v>
      </c>
      <c r="F1090" t="b">
        <v>0</v>
      </c>
      <c r="G1090" t="b">
        <v>1</v>
      </c>
      <c r="H1090" t="b">
        <v>1</v>
      </c>
      <c r="I1090" t="b">
        <v>0</v>
      </c>
    </row>
    <row r="1091" spans="1:9" x14ac:dyDescent="0.2">
      <c r="A1091" t="s">
        <v>1814</v>
      </c>
      <c r="B1091" t="s">
        <v>3143</v>
      </c>
      <c r="D1091" t="b">
        <f>IFERROR(VLOOKUP(B1091,PatData!$A$2:$A$2000,1,),"")&lt;&gt;""</f>
        <v>1</v>
      </c>
      <c r="E1091" t="b">
        <v>0</v>
      </c>
      <c r="F1091" t="b">
        <v>0</v>
      </c>
      <c r="G1091" t="b">
        <v>1</v>
      </c>
      <c r="H1091" t="b">
        <v>1</v>
      </c>
      <c r="I1091" t="b">
        <v>0</v>
      </c>
    </row>
    <row r="1092" spans="1:9" x14ac:dyDescent="0.2">
      <c r="A1092" t="s">
        <v>1825</v>
      </c>
      <c r="B1092" t="s">
        <v>3144</v>
      </c>
      <c r="D1092" t="b">
        <f>IFERROR(VLOOKUP(B1092,PatData!$A$2:$A$2000,1,),"")&lt;&gt;""</f>
        <v>1</v>
      </c>
      <c r="E1092" t="b">
        <v>0</v>
      </c>
      <c r="F1092" t="b">
        <v>0</v>
      </c>
      <c r="G1092" t="b">
        <v>1</v>
      </c>
      <c r="H1092" t="b">
        <v>1</v>
      </c>
      <c r="I1092" t="b">
        <v>0</v>
      </c>
    </row>
    <row r="1093" spans="1:9" x14ac:dyDescent="0.2">
      <c r="A1093" t="s">
        <v>1836</v>
      </c>
      <c r="B1093" t="s">
        <v>3145</v>
      </c>
      <c r="D1093" t="b">
        <f>IFERROR(VLOOKUP(B1093,PatData!$A$2:$A$2000,1,),"")&lt;&gt;""</f>
        <v>1</v>
      </c>
      <c r="E1093" t="b">
        <v>0</v>
      </c>
      <c r="F1093" t="b">
        <v>0</v>
      </c>
      <c r="G1093" t="b">
        <v>1</v>
      </c>
      <c r="H1093" t="b">
        <v>1</v>
      </c>
      <c r="I1093" t="b">
        <v>0</v>
      </c>
    </row>
    <row r="1094" spans="1:9" x14ac:dyDescent="0.2">
      <c r="A1094" t="s">
        <v>1839</v>
      </c>
      <c r="B1094" t="s">
        <v>3146</v>
      </c>
      <c r="D1094" t="b">
        <f>IFERROR(VLOOKUP(B1094,PatData!$A$2:$A$2000,1,),"")&lt;&gt;""</f>
        <v>1</v>
      </c>
      <c r="E1094" t="b">
        <v>0</v>
      </c>
      <c r="F1094" t="b">
        <v>0</v>
      </c>
      <c r="G1094" t="b">
        <v>1</v>
      </c>
      <c r="H1094" t="b">
        <v>1</v>
      </c>
      <c r="I1094" t="b">
        <v>0</v>
      </c>
    </row>
    <row r="1095" spans="1:9" x14ac:dyDescent="0.2">
      <c r="A1095" t="s">
        <v>1840</v>
      </c>
      <c r="B1095" t="s">
        <v>3147</v>
      </c>
      <c r="D1095" t="b">
        <f>IFERROR(VLOOKUP(B1095,PatData!$A$2:$A$2000,1,),"")&lt;&gt;""</f>
        <v>1</v>
      </c>
      <c r="E1095" t="b">
        <v>0</v>
      </c>
      <c r="F1095" t="b">
        <v>0</v>
      </c>
      <c r="G1095" t="b">
        <v>1</v>
      </c>
      <c r="H1095" t="b">
        <v>1</v>
      </c>
      <c r="I1095" t="b">
        <v>0</v>
      </c>
    </row>
    <row r="1096" spans="1:9" x14ac:dyDescent="0.2">
      <c r="A1096" t="s">
        <v>1841</v>
      </c>
      <c r="B1096" t="s">
        <v>3148</v>
      </c>
      <c r="D1096" t="b">
        <f>IFERROR(VLOOKUP(B1096,PatData!$A$2:$A$2000,1,),"")&lt;&gt;""</f>
        <v>1</v>
      </c>
      <c r="E1096" t="b">
        <v>0</v>
      </c>
      <c r="F1096" t="b">
        <v>0</v>
      </c>
      <c r="G1096" t="b">
        <v>1</v>
      </c>
      <c r="H1096" t="b">
        <v>1</v>
      </c>
      <c r="I1096" t="b">
        <v>0</v>
      </c>
    </row>
    <row r="1097" spans="1:9" x14ac:dyDescent="0.2">
      <c r="A1097" t="s">
        <v>1842</v>
      </c>
      <c r="B1097" t="s">
        <v>3149</v>
      </c>
      <c r="D1097" t="b">
        <f>IFERROR(VLOOKUP(B1097,PatData!$A$2:$A$2000,1,),"")&lt;&gt;""</f>
        <v>1</v>
      </c>
      <c r="E1097" t="b">
        <v>0</v>
      </c>
      <c r="F1097" t="b">
        <v>0</v>
      </c>
      <c r="G1097" t="b">
        <v>1</v>
      </c>
      <c r="H1097" t="b">
        <v>1</v>
      </c>
      <c r="I1097" t="b">
        <v>0</v>
      </c>
    </row>
    <row r="1098" spans="1:9" x14ac:dyDescent="0.2">
      <c r="A1098" t="s">
        <v>1843</v>
      </c>
      <c r="B1098" t="s">
        <v>3150</v>
      </c>
      <c r="D1098" t="b">
        <f>IFERROR(VLOOKUP(B1098,PatData!$A$2:$A$2000,1,),"")&lt;&gt;""</f>
        <v>1</v>
      </c>
      <c r="E1098" t="b">
        <v>0</v>
      </c>
      <c r="F1098" t="b">
        <v>0</v>
      </c>
      <c r="G1098" t="b">
        <v>1</v>
      </c>
      <c r="H1098" t="b">
        <v>1</v>
      </c>
      <c r="I1098" t="b">
        <v>0</v>
      </c>
    </row>
    <row r="1099" spans="1:9" x14ac:dyDescent="0.2">
      <c r="A1099" t="s">
        <v>1844</v>
      </c>
      <c r="B1099" t="s">
        <v>3151</v>
      </c>
      <c r="D1099" t="b">
        <f>IFERROR(VLOOKUP(B1099,PatData!$A$2:$A$2000,1,),"")&lt;&gt;""</f>
        <v>1</v>
      </c>
      <c r="E1099" t="b">
        <v>0</v>
      </c>
      <c r="F1099" t="b">
        <v>0</v>
      </c>
      <c r="G1099" t="b">
        <v>1</v>
      </c>
      <c r="H1099" t="b">
        <v>1</v>
      </c>
      <c r="I1099" t="b">
        <v>0</v>
      </c>
    </row>
    <row r="1100" spans="1:9" x14ac:dyDescent="0.2">
      <c r="A1100" t="s">
        <v>1815</v>
      </c>
      <c r="B1100" t="s">
        <v>3152</v>
      </c>
      <c r="D1100" t="b">
        <f>IFERROR(VLOOKUP(B1100,PatData!$A$2:$A$2000,1,),"")&lt;&gt;""</f>
        <v>1</v>
      </c>
      <c r="E1100" t="b">
        <v>0</v>
      </c>
      <c r="F1100" t="b">
        <v>0</v>
      </c>
      <c r="G1100" t="b">
        <v>1</v>
      </c>
      <c r="H1100" t="b">
        <v>1</v>
      </c>
      <c r="I1100" t="b">
        <v>0</v>
      </c>
    </row>
    <row r="1101" spans="1:9" x14ac:dyDescent="0.2">
      <c r="A1101" t="s">
        <v>1816</v>
      </c>
      <c r="B1101" t="s">
        <v>3153</v>
      </c>
      <c r="D1101" t="b">
        <f>IFERROR(VLOOKUP(B1101,PatData!$A$2:$A$2000,1,),"")&lt;&gt;""</f>
        <v>1</v>
      </c>
      <c r="E1101" t="b">
        <v>0</v>
      </c>
      <c r="F1101" t="b">
        <v>0</v>
      </c>
      <c r="G1101" t="b">
        <v>1</v>
      </c>
      <c r="H1101" t="b">
        <v>1</v>
      </c>
      <c r="I1101" t="b">
        <v>0</v>
      </c>
    </row>
    <row r="1102" spans="1:9" x14ac:dyDescent="0.2">
      <c r="A1102" t="s">
        <v>1817</v>
      </c>
      <c r="B1102" t="s">
        <v>3154</v>
      </c>
      <c r="D1102" t="b">
        <f>IFERROR(VLOOKUP(B1102,PatData!$A$2:$A$2000,1,),"")&lt;&gt;""</f>
        <v>1</v>
      </c>
      <c r="E1102" t="b">
        <v>0</v>
      </c>
      <c r="F1102" t="b">
        <v>0</v>
      </c>
      <c r="G1102" t="b">
        <v>1</v>
      </c>
      <c r="H1102" t="b">
        <v>1</v>
      </c>
      <c r="I1102" t="b">
        <v>0</v>
      </c>
    </row>
    <row r="1103" spans="1:9" x14ac:dyDescent="0.2">
      <c r="A1103" t="s">
        <v>1818</v>
      </c>
      <c r="B1103" t="s">
        <v>3155</v>
      </c>
      <c r="D1103" t="b">
        <f>IFERROR(VLOOKUP(B1103,PatData!$A$2:$A$2000,1,),"")&lt;&gt;""</f>
        <v>1</v>
      </c>
      <c r="E1103" t="b">
        <v>0</v>
      </c>
      <c r="F1103" t="b">
        <v>0</v>
      </c>
      <c r="G1103" t="b">
        <v>1</v>
      </c>
      <c r="H1103" t="b">
        <v>1</v>
      </c>
      <c r="I1103" t="b">
        <v>0</v>
      </c>
    </row>
    <row r="1104" spans="1:9" x14ac:dyDescent="0.2">
      <c r="A1104" t="s">
        <v>1819</v>
      </c>
      <c r="B1104" t="s">
        <v>3156</v>
      </c>
      <c r="D1104" t="b">
        <f>IFERROR(VLOOKUP(B1104,PatData!$A$2:$A$2000,1,),"")&lt;&gt;""</f>
        <v>1</v>
      </c>
      <c r="E1104" t="b">
        <v>0</v>
      </c>
      <c r="F1104" t="b">
        <v>0</v>
      </c>
      <c r="G1104" t="b">
        <v>1</v>
      </c>
      <c r="H1104" t="b">
        <v>1</v>
      </c>
      <c r="I1104" t="b">
        <v>0</v>
      </c>
    </row>
    <row r="1105" spans="1:9" x14ac:dyDescent="0.2">
      <c r="A1105" t="s">
        <v>1820</v>
      </c>
      <c r="B1105" t="s">
        <v>3157</v>
      </c>
      <c r="D1105" t="b">
        <f>IFERROR(VLOOKUP(B1105,PatData!$A$2:$A$2000,1,),"")&lt;&gt;""</f>
        <v>1</v>
      </c>
      <c r="E1105" t="b">
        <v>0</v>
      </c>
      <c r="F1105" t="b">
        <v>0</v>
      </c>
      <c r="G1105" t="b">
        <v>1</v>
      </c>
      <c r="H1105" t="b">
        <v>1</v>
      </c>
      <c r="I1105" t="b">
        <v>0</v>
      </c>
    </row>
    <row r="1106" spans="1:9" x14ac:dyDescent="0.2">
      <c r="A1106" t="s">
        <v>1821</v>
      </c>
      <c r="B1106" t="s">
        <v>3158</v>
      </c>
      <c r="D1106" t="b">
        <f>IFERROR(VLOOKUP(B1106,PatData!$A$2:$A$2000,1,),"")&lt;&gt;""</f>
        <v>1</v>
      </c>
      <c r="E1106" t="b">
        <v>0</v>
      </c>
      <c r="F1106" t="b">
        <v>0</v>
      </c>
      <c r="G1106" t="b">
        <v>1</v>
      </c>
      <c r="H1106" t="b">
        <v>1</v>
      </c>
      <c r="I1106" t="b">
        <v>0</v>
      </c>
    </row>
    <row r="1107" spans="1:9" x14ac:dyDescent="0.2">
      <c r="A1107" t="s">
        <v>1822</v>
      </c>
      <c r="B1107" t="s">
        <v>3159</v>
      </c>
      <c r="D1107" t="b">
        <f>IFERROR(VLOOKUP(B1107,PatData!$A$2:$A$2000,1,),"")&lt;&gt;""</f>
        <v>1</v>
      </c>
      <c r="E1107" t="b">
        <v>0</v>
      </c>
      <c r="F1107" t="b">
        <v>0</v>
      </c>
      <c r="G1107" t="b">
        <v>1</v>
      </c>
      <c r="H1107" t="b">
        <v>1</v>
      </c>
      <c r="I1107" t="b">
        <v>0</v>
      </c>
    </row>
    <row r="1108" spans="1:9" x14ac:dyDescent="0.2">
      <c r="A1108" t="s">
        <v>1823</v>
      </c>
      <c r="B1108" t="s">
        <v>3160</v>
      </c>
      <c r="D1108" t="b">
        <f>IFERROR(VLOOKUP(B1108,PatData!$A$2:$A$2000,1,),"")&lt;&gt;""</f>
        <v>1</v>
      </c>
      <c r="E1108" t="b">
        <v>0</v>
      </c>
      <c r="F1108" t="b">
        <v>0</v>
      </c>
      <c r="G1108" t="b">
        <v>1</v>
      </c>
      <c r="H1108" t="b">
        <v>1</v>
      </c>
      <c r="I1108" t="b">
        <v>0</v>
      </c>
    </row>
    <row r="1109" spans="1:9" x14ac:dyDescent="0.2">
      <c r="A1109" t="s">
        <v>1824</v>
      </c>
      <c r="B1109" t="s">
        <v>3161</v>
      </c>
      <c r="D1109" t="b">
        <f>IFERROR(VLOOKUP(B1109,PatData!$A$2:$A$2000,1,),"")&lt;&gt;""</f>
        <v>1</v>
      </c>
      <c r="E1109" t="b">
        <v>0</v>
      </c>
      <c r="F1109" t="b">
        <v>0</v>
      </c>
      <c r="G1109" t="b">
        <v>1</v>
      </c>
      <c r="H1109" t="b">
        <v>1</v>
      </c>
      <c r="I1109" t="b">
        <v>0</v>
      </c>
    </row>
    <row r="1110" spans="1:9" x14ac:dyDescent="0.2">
      <c r="A1110" t="s">
        <v>1826</v>
      </c>
      <c r="B1110" t="s">
        <v>3162</v>
      </c>
      <c r="D1110" t="b">
        <f>IFERROR(VLOOKUP(B1110,PatData!$A$2:$A$2000,1,),"")&lt;&gt;""</f>
        <v>1</v>
      </c>
      <c r="E1110" t="b">
        <v>0</v>
      </c>
      <c r="F1110" t="b">
        <v>0</v>
      </c>
      <c r="G1110" t="b">
        <v>1</v>
      </c>
      <c r="H1110" t="b">
        <v>1</v>
      </c>
      <c r="I1110" t="b">
        <v>0</v>
      </c>
    </row>
    <row r="1111" spans="1:9" x14ac:dyDescent="0.2">
      <c r="A1111" t="s">
        <v>1827</v>
      </c>
      <c r="B1111" t="s">
        <v>3163</v>
      </c>
      <c r="D1111" t="b">
        <f>IFERROR(VLOOKUP(B1111,PatData!$A$2:$A$2000,1,),"")&lt;&gt;""</f>
        <v>1</v>
      </c>
      <c r="E1111" t="b">
        <v>0</v>
      </c>
      <c r="F1111" t="b">
        <v>0</v>
      </c>
      <c r="G1111" t="b">
        <v>1</v>
      </c>
      <c r="H1111" t="b">
        <v>1</v>
      </c>
      <c r="I1111" t="b">
        <v>0</v>
      </c>
    </row>
    <row r="1112" spans="1:9" x14ac:dyDescent="0.2">
      <c r="A1112" t="s">
        <v>1828</v>
      </c>
      <c r="B1112" t="s">
        <v>3164</v>
      </c>
      <c r="D1112" t="b">
        <f>IFERROR(VLOOKUP(B1112,PatData!$A$2:$A$2000,1,),"")&lt;&gt;""</f>
        <v>1</v>
      </c>
      <c r="E1112" t="b">
        <v>0</v>
      </c>
      <c r="F1112" t="b">
        <v>0</v>
      </c>
      <c r="G1112" t="b">
        <v>1</v>
      </c>
      <c r="H1112" t="b">
        <v>1</v>
      </c>
      <c r="I1112" t="b">
        <v>0</v>
      </c>
    </row>
    <row r="1113" spans="1:9" x14ac:dyDescent="0.2">
      <c r="A1113" t="s">
        <v>1829</v>
      </c>
      <c r="B1113" t="s">
        <v>3165</v>
      </c>
      <c r="D1113" t="b">
        <f>IFERROR(VLOOKUP(B1113,PatData!$A$2:$A$2000,1,),"")&lt;&gt;""</f>
        <v>1</v>
      </c>
      <c r="E1113" t="b">
        <v>0</v>
      </c>
      <c r="F1113" t="b">
        <v>0</v>
      </c>
      <c r="G1113" t="b">
        <v>1</v>
      </c>
      <c r="H1113" t="b">
        <v>1</v>
      </c>
      <c r="I1113" t="b">
        <v>0</v>
      </c>
    </row>
    <row r="1114" spans="1:9" x14ac:dyDescent="0.2">
      <c r="A1114" t="s">
        <v>1830</v>
      </c>
      <c r="B1114" t="s">
        <v>3166</v>
      </c>
      <c r="D1114" t="b">
        <f>IFERROR(VLOOKUP(B1114,PatData!$A$2:$A$2000,1,),"")&lt;&gt;""</f>
        <v>1</v>
      </c>
      <c r="E1114" t="b">
        <v>0</v>
      </c>
      <c r="F1114" t="b">
        <v>0</v>
      </c>
      <c r="G1114" t="b">
        <v>1</v>
      </c>
      <c r="H1114" t="b">
        <v>1</v>
      </c>
      <c r="I1114" t="b">
        <v>0</v>
      </c>
    </row>
    <row r="1115" spans="1:9" x14ac:dyDescent="0.2">
      <c r="A1115" t="s">
        <v>1831</v>
      </c>
      <c r="B1115" t="s">
        <v>3167</v>
      </c>
      <c r="D1115" t="b">
        <f>IFERROR(VLOOKUP(B1115,PatData!$A$2:$A$2000,1,),"")&lt;&gt;""</f>
        <v>1</v>
      </c>
      <c r="E1115" t="b">
        <v>0</v>
      </c>
      <c r="F1115" t="b">
        <v>0</v>
      </c>
      <c r="G1115" t="b">
        <v>1</v>
      </c>
      <c r="H1115" t="b">
        <v>1</v>
      </c>
      <c r="I1115" t="b">
        <v>0</v>
      </c>
    </row>
    <row r="1116" spans="1:9" x14ac:dyDescent="0.2">
      <c r="A1116" t="s">
        <v>1832</v>
      </c>
      <c r="B1116" t="s">
        <v>3168</v>
      </c>
      <c r="D1116" t="b">
        <f>IFERROR(VLOOKUP(B1116,PatData!$A$2:$A$2000,1,),"")&lt;&gt;""</f>
        <v>1</v>
      </c>
      <c r="E1116" t="b">
        <v>0</v>
      </c>
      <c r="F1116" t="b">
        <v>0</v>
      </c>
      <c r="G1116" t="b">
        <v>1</v>
      </c>
      <c r="H1116" t="b">
        <v>1</v>
      </c>
      <c r="I1116" t="b">
        <v>0</v>
      </c>
    </row>
    <row r="1117" spans="1:9" x14ac:dyDescent="0.2">
      <c r="A1117" t="s">
        <v>1833</v>
      </c>
      <c r="B1117" t="s">
        <v>3169</v>
      </c>
      <c r="D1117" t="b">
        <f>IFERROR(VLOOKUP(B1117,PatData!$A$2:$A$2000,1,),"")&lt;&gt;""</f>
        <v>1</v>
      </c>
      <c r="E1117" t="b">
        <v>0</v>
      </c>
      <c r="F1117" t="b">
        <v>0</v>
      </c>
      <c r="G1117" t="b">
        <v>1</v>
      </c>
      <c r="H1117" t="b">
        <v>1</v>
      </c>
      <c r="I1117" t="b">
        <v>0</v>
      </c>
    </row>
    <row r="1118" spans="1:9" x14ac:dyDescent="0.2">
      <c r="A1118" t="s">
        <v>1834</v>
      </c>
      <c r="B1118" t="s">
        <v>3170</v>
      </c>
      <c r="D1118" t="b">
        <f>IFERROR(VLOOKUP(B1118,PatData!$A$2:$A$2000,1,),"")&lt;&gt;""</f>
        <v>1</v>
      </c>
      <c r="E1118" t="b">
        <v>0</v>
      </c>
      <c r="F1118" t="b">
        <v>0</v>
      </c>
      <c r="G1118" t="b">
        <v>1</v>
      </c>
      <c r="H1118" t="b">
        <v>1</v>
      </c>
      <c r="I1118" t="b">
        <v>0</v>
      </c>
    </row>
    <row r="1119" spans="1:9" x14ac:dyDescent="0.2">
      <c r="A1119" t="s">
        <v>1835</v>
      </c>
      <c r="B1119" t="s">
        <v>3171</v>
      </c>
      <c r="D1119" t="b">
        <f>IFERROR(VLOOKUP(B1119,PatData!$A$2:$A$2000,1,),"")&lt;&gt;""</f>
        <v>1</v>
      </c>
      <c r="E1119" t="b">
        <v>0</v>
      </c>
      <c r="F1119" t="b">
        <v>0</v>
      </c>
      <c r="G1119" t="b">
        <v>1</v>
      </c>
      <c r="H1119" t="b">
        <v>1</v>
      </c>
      <c r="I1119" t="b">
        <v>0</v>
      </c>
    </row>
    <row r="1120" spans="1:9" x14ac:dyDescent="0.2">
      <c r="A1120" t="s">
        <v>1837</v>
      </c>
      <c r="B1120" t="s">
        <v>3172</v>
      </c>
      <c r="D1120" t="b">
        <f>IFERROR(VLOOKUP(B1120,PatData!$A$2:$A$2000,1,),"")&lt;&gt;""</f>
        <v>1</v>
      </c>
      <c r="E1120" t="b">
        <v>0</v>
      </c>
      <c r="F1120" t="b">
        <v>0</v>
      </c>
      <c r="G1120" t="b">
        <v>1</v>
      </c>
      <c r="H1120" t="b">
        <v>1</v>
      </c>
      <c r="I1120" t="b">
        <v>0</v>
      </c>
    </row>
    <row r="1121" spans="1:9" x14ac:dyDescent="0.2">
      <c r="A1121" t="s">
        <v>1838</v>
      </c>
      <c r="B1121" t="s">
        <v>3173</v>
      </c>
      <c r="D1121" t="b">
        <f>IFERROR(VLOOKUP(B1121,PatData!$A$2:$A$2000,1,),"")&lt;&gt;""</f>
        <v>1</v>
      </c>
      <c r="E1121" t="b">
        <v>0</v>
      </c>
      <c r="F1121" t="b">
        <v>0</v>
      </c>
      <c r="G1121" t="b">
        <v>1</v>
      </c>
      <c r="H1121" t="b">
        <v>1</v>
      </c>
      <c r="I1121" t="b">
        <v>0</v>
      </c>
    </row>
    <row r="1122" spans="1:9" x14ac:dyDescent="0.2">
      <c r="A1122" t="s">
        <v>1845</v>
      </c>
      <c r="B1122" t="s">
        <v>3174</v>
      </c>
      <c r="D1122" t="b">
        <f>IFERROR(VLOOKUP(B1122,PatData!$A$2:$A$2000,1,),"")&lt;&gt;""</f>
        <v>1</v>
      </c>
      <c r="E1122" t="b">
        <v>0</v>
      </c>
      <c r="F1122" t="b">
        <v>0</v>
      </c>
      <c r="G1122" t="b">
        <v>1</v>
      </c>
      <c r="H1122" t="b">
        <v>1</v>
      </c>
      <c r="I1122" t="b">
        <v>0</v>
      </c>
    </row>
    <row r="1123" spans="1:9" x14ac:dyDescent="0.2">
      <c r="A1123" t="s">
        <v>1856</v>
      </c>
      <c r="B1123" t="s">
        <v>3175</v>
      </c>
      <c r="D1123" t="b">
        <f>IFERROR(VLOOKUP(B1123,PatData!$A$2:$A$2000,1,),"")&lt;&gt;""</f>
        <v>1</v>
      </c>
      <c r="E1123" t="b">
        <v>0</v>
      </c>
      <c r="F1123" t="b">
        <v>0</v>
      </c>
      <c r="G1123" t="b">
        <v>1</v>
      </c>
      <c r="H1123" t="b">
        <v>1</v>
      </c>
      <c r="I1123" t="b">
        <v>0</v>
      </c>
    </row>
    <row r="1124" spans="1:9" x14ac:dyDescent="0.2">
      <c r="A1124" t="s">
        <v>1867</v>
      </c>
      <c r="B1124" t="s">
        <v>3176</v>
      </c>
      <c r="D1124" t="b">
        <f>IFERROR(VLOOKUP(B1124,PatData!$A$2:$A$2000,1,),"")&lt;&gt;""</f>
        <v>1</v>
      </c>
      <c r="E1124" t="b">
        <v>0</v>
      </c>
      <c r="F1124" t="b">
        <v>0</v>
      </c>
      <c r="G1124" t="b">
        <v>1</v>
      </c>
      <c r="H1124" t="b">
        <v>1</v>
      </c>
      <c r="I1124" t="b">
        <v>0</v>
      </c>
    </row>
    <row r="1125" spans="1:9" x14ac:dyDescent="0.2">
      <c r="A1125" t="s">
        <v>1870</v>
      </c>
      <c r="B1125" t="s">
        <v>3177</v>
      </c>
      <c r="D1125" t="b">
        <f>IFERROR(VLOOKUP(B1125,PatData!$A$2:$A$2000,1,),"")&lt;&gt;""</f>
        <v>1</v>
      </c>
      <c r="E1125" t="b">
        <v>0</v>
      </c>
      <c r="F1125" t="b">
        <v>0</v>
      </c>
      <c r="G1125" t="b">
        <v>1</v>
      </c>
      <c r="H1125" t="b">
        <v>1</v>
      </c>
      <c r="I1125" t="b">
        <v>0</v>
      </c>
    </row>
    <row r="1126" spans="1:9" x14ac:dyDescent="0.2">
      <c r="A1126" t="s">
        <v>1871</v>
      </c>
      <c r="B1126" t="s">
        <v>3178</v>
      </c>
      <c r="D1126" t="b">
        <f>IFERROR(VLOOKUP(B1126,PatData!$A$2:$A$2000,1,),"")&lt;&gt;""</f>
        <v>1</v>
      </c>
      <c r="E1126" t="b">
        <v>0</v>
      </c>
      <c r="F1126" t="b">
        <v>0</v>
      </c>
      <c r="G1126" t="b">
        <v>1</v>
      </c>
      <c r="H1126" t="b">
        <v>1</v>
      </c>
      <c r="I1126" t="b">
        <v>0</v>
      </c>
    </row>
    <row r="1127" spans="1:9" x14ac:dyDescent="0.2">
      <c r="A1127" t="s">
        <v>1872</v>
      </c>
      <c r="B1127" t="s">
        <v>3179</v>
      </c>
      <c r="D1127" t="b">
        <f>IFERROR(VLOOKUP(B1127,PatData!$A$2:$A$2000,1,),"")&lt;&gt;""</f>
        <v>1</v>
      </c>
      <c r="E1127" t="b">
        <v>0</v>
      </c>
      <c r="F1127" t="b">
        <v>0</v>
      </c>
      <c r="G1127" t="b">
        <v>1</v>
      </c>
      <c r="H1127" t="b">
        <v>1</v>
      </c>
      <c r="I1127" t="b">
        <v>0</v>
      </c>
    </row>
    <row r="1128" spans="1:9" x14ac:dyDescent="0.2">
      <c r="A1128" t="s">
        <v>1873</v>
      </c>
      <c r="B1128" t="s">
        <v>3180</v>
      </c>
      <c r="D1128" t="b">
        <f>IFERROR(VLOOKUP(B1128,PatData!$A$2:$A$2000,1,),"")&lt;&gt;""</f>
        <v>1</v>
      </c>
      <c r="E1128" t="b">
        <v>0</v>
      </c>
      <c r="F1128" t="b">
        <v>0</v>
      </c>
      <c r="G1128" t="b">
        <v>1</v>
      </c>
      <c r="H1128" t="b">
        <v>1</v>
      </c>
      <c r="I1128" t="b">
        <v>0</v>
      </c>
    </row>
    <row r="1129" spans="1:9" x14ac:dyDescent="0.2">
      <c r="A1129" t="s">
        <v>1874</v>
      </c>
      <c r="B1129" t="s">
        <v>3181</v>
      </c>
      <c r="D1129" t="b">
        <f>IFERROR(VLOOKUP(B1129,PatData!$A$2:$A$2000,1,),"")&lt;&gt;""</f>
        <v>1</v>
      </c>
      <c r="E1129" t="b">
        <v>0</v>
      </c>
      <c r="F1129" t="b">
        <v>0</v>
      </c>
      <c r="G1129" t="b">
        <v>1</v>
      </c>
      <c r="H1129" t="b">
        <v>1</v>
      </c>
      <c r="I1129" t="b">
        <v>0</v>
      </c>
    </row>
    <row r="1130" spans="1:9" x14ac:dyDescent="0.2">
      <c r="A1130" t="s">
        <v>1875</v>
      </c>
      <c r="B1130" t="s">
        <v>3182</v>
      </c>
      <c r="D1130" t="b">
        <f>IFERROR(VLOOKUP(B1130,PatData!$A$2:$A$2000,1,),"")&lt;&gt;""</f>
        <v>1</v>
      </c>
      <c r="E1130" t="b">
        <v>0</v>
      </c>
      <c r="F1130" t="b">
        <v>0</v>
      </c>
      <c r="G1130" t="b">
        <v>1</v>
      </c>
      <c r="H1130" t="b">
        <v>1</v>
      </c>
      <c r="I1130" t="b">
        <v>0</v>
      </c>
    </row>
    <row r="1131" spans="1:9" x14ac:dyDescent="0.2">
      <c r="A1131" t="s">
        <v>1846</v>
      </c>
      <c r="B1131" t="s">
        <v>3183</v>
      </c>
      <c r="D1131" t="b">
        <f>IFERROR(VLOOKUP(B1131,PatData!$A$2:$A$2000,1,),"")&lt;&gt;""</f>
        <v>1</v>
      </c>
      <c r="E1131" t="b">
        <v>0</v>
      </c>
      <c r="F1131" t="b">
        <v>0</v>
      </c>
      <c r="G1131" t="b">
        <v>1</v>
      </c>
      <c r="H1131" t="b">
        <v>1</v>
      </c>
      <c r="I1131" t="b">
        <v>0</v>
      </c>
    </row>
    <row r="1132" spans="1:9" x14ac:dyDescent="0.2">
      <c r="A1132" t="s">
        <v>1847</v>
      </c>
      <c r="B1132" t="s">
        <v>3184</v>
      </c>
      <c r="D1132" t="b">
        <f>IFERROR(VLOOKUP(B1132,PatData!$A$2:$A$2000,1,),"")&lt;&gt;""</f>
        <v>1</v>
      </c>
      <c r="E1132" t="b">
        <v>0</v>
      </c>
      <c r="F1132" t="b">
        <v>0</v>
      </c>
      <c r="G1132" t="b">
        <v>1</v>
      </c>
      <c r="H1132" t="b">
        <v>1</v>
      </c>
      <c r="I1132" t="b">
        <v>0</v>
      </c>
    </row>
    <row r="1133" spans="1:9" x14ac:dyDescent="0.2">
      <c r="A1133" t="s">
        <v>1848</v>
      </c>
      <c r="B1133" t="s">
        <v>3185</v>
      </c>
      <c r="D1133" t="b">
        <f>IFERROR(VLOOKUP(B1133,PatData!$A$2:$A$2000,1,),"")&lt;&gt;""</f>
        <v>1</v>
      </c>
      <c r="E1133" t="b">
        <v>0</v>
      </c>
      <c r="F1133" t="b">
        <v>0</v>
      </c>
      <c r="G1133" t="b">
        <v>1</v>
      </c>
      <c r="H1133" t="b">
        <v>1</v>
      </c>
      <c r="I1133" t="b">
        <v>0</v>
      </c>
    </row>
    <row r="1134" spans="1:9" x14ac:dyDescent="0.2">
      <c r="A1134" t="s">
        <v>1849</v>
      </c>
      <c r="B1134" t="s">
        <v>3186</v>
      </c>
      <c r="D1134" t="b">
        <f>IFERROR(VLOOKUP(B1134,PatData!$A$2:$A$2000,1,),"")&lt;&gt;""</f>
        <v>1</v>
      </c>
      <c r="E1134" t="b">
        <v>0</v>
      </c>
      <c r="F1134" t="b">
        <v>0</v>
      </c>
      <c r="G1134" t="b">
        <v>1</v>
      </c>
      <c r="H1134" t="b">
        <v>1</v>
      </c>
      <c r="I1134" t="b">
        <v>0</v>
      </c>
    </row>
    <row r="1135" spans="1:9" x14ac:dyDescent="0.2">
      <c r="A1135" t="s">
        <v>1850</v>
      </c>
      <c r="B1135" t="s">
        <v>3187</v>
      </c>
      <c r="D1135" t="b">
        <f>IFERROR(VLOOKUP(B1135,PatData!$A$2:$A$2000,1,),"")&lt;&gt;""</f>
        <v>1</v>
      </c>
      <c r="E1135" t="b">
        <v>0</v>
      </c>
      <c r="F1135" t="b">
        <v>0</v>
      </c>
      <c r="G1135" t="b">
        <v>1</v>
      </c>
      <c r="H1135" t="b">
        <v>1</v>
      </c>
      <c r="I1135" t="b">
        <v>0</v>
      </c>
    </row>
    <row r="1136" spans="1:9" x14ac:dyDescent="0.2">
      <c r="A1136" t="s">
        <v>1851</v>
      </c>
      <c r="B1136" t="s">
        <v>3188</v>
      </c>
      <c r="D1136" t="b">
        <f>IFERROR(VLOOKUP(B1136,PatData!$A$2:$A$2000,1,),"")&lt;&gt;""</f>
        <v>1</v>
      </c>
      <c r="E1136" t="b">
        <v>0</v>
      </c>
      <c r="F1136" t="b">
        <v>0</v>
      </c>
      <c r="G1136" t="b">
        <v>1</v>
      </c>
      <c r="H1136" t="b">
        <v>1</v>
      </c>
      <c r="I1136" t="b">
        <v>0</v>
      </c>
    </row>
    <row r="1137" spans="1:9" x14ac:dyDescent="0.2">
      <c r="A1137" t="s">
        <v>1852</v>
      </c>
      <c r="B1137" t="s">
        <v>3189</v>
      </c>
      <c r="D1137" t="b">
        <f>IFERROR(VLOOKUP(B1137,PatData!$A$2:$A$2000,1,),"")&lt;&gt;""</f>
        <v>1</v>
      </c>
      <c r="E1137" t="b">
        <v>0</v>
      </c>
      <c r="F1137" t="b">
        <v>0</v>
      </c>
      <c r="G1137" t="b">
        <v>1</v>
      </c>
      <c r="H1137" t="b">
        <v>1</v>
      </c>
      <c r="I1137" t="b">
        <v>0</v>
      </c>
    </row>
    <row r="1138" spans="1:9" x14ac:dyDescent="0.2">
      <c r="A1138" t="s">
        <v>1853</v>
      </c>
      <c r="B1138" t="s">
        <v>3190</v>
      </c>
      <c r="D1138" t="b">
        <f>IFERROR(VLOOKUP(B1138,PatData!$A$2:$A$2000,1,),"")&lt;&gt;""</f>
        <v>1</v>
      </c>
      <c r="E1138" t="b">
        <v>0</v>
      </c>
      <c r="F1138" t="b">
        <v>0</v>
      </c>
      <c r="G1138" t="b">
        <v>1</v>
      </c>
      <c r="H1138" t="b">
        <v>1</v>
      </c>
      <c r="I1138" t="b">
        <v>0</v>
      </c>
    </row>
    <row r="1139" spans="1:9" x14ac:dyDescent="0.2">
      <c r="A1139" t="s">
        <v>1854</v>
      </c>
      <c r="B1139" t="s">
        <v>3191</v>
      </c>
      <c r="D1139" t="b">
        <f>IFERROR(VLOOKUP(B1139,PatData!$A$2:$A$2000,1,),"")&lt;&gt;""</f>
        <v>1</v>
      </c>
      <c r="E1139" t="b">
        <v>0</v>
      </c>
      <c r="F1139" t="b">
        <v>0</v>
      </c>
      <c r="G1139" t="b">
        <v>1</v>
      </c>
      <c r="H1139" t="b">
        <v>1</v>
      </c>
      <c r="I1139" t="b">
        <v>0</v>
      </c>
    </row>
    <row r="1140" spans="1:9" x14ac:dyDescent="0.2">
      <c r="A1140" t="s">
        <v>1855</v>
      </c>
      <c r="B1140" t="s">
        <v>3192</v>
      </c>
      <c r="D1140" t="b">
        <f>IFERROR(VLOOKUP(B1140,PatData!$A$2:$A$2000,1,),"")&lt;&gt;""</f>
        <v>1</v>
      </c>
      <c r="E1140" t="b">
        <v>0</v>
      </c>
      <c r="F1140" t="b">
        <v>0</v>
      </c>
      <c r="G1140" t="b">
        <v>1</v>
      </c>
      <c r="H1140" t="b">
        <v>1</v>
      </c>
      <c r="I1140" t="b">
        <v>0</v>
      </c>
    </row>
    <row r="1141" spans="1:9" x14ac:dyDescent="0.2">
      <c r="A1141" t="s">
        <v>1857</v>
      </c>
      <c r="B1141" t="s">
        <v>3193</v>
      </c>
      <c r="D1141" t="b">
        <f>IFERROR(VLOOKUP(B1141,PatData!$A$2:$A$2000,1,),"")&lt;&gt;""</f>
        <v>1</v>
      </c>
      <c r="E1141" t="b">
        <v>0</v>
      </c>
      <c r="F1141" t="b">
        <v>0</v>
      </c>
      <c r="G1141" t="b">
        <v>1</v>
      </c>
      <c r="H1141" t="b">
        <v>1</v>
      </c>
      <c r="I1141" t="b">
        <v>0</v>
      </c>
    </row>
    <row r="1142" spans="1:9" x14ac:dyDescent="0.2">
      <c r="A1142" t="s">
        <v>1858</v>
      </c>
      <c r="B1142" t="s">
        <v>3194</v>
      </c>
      <c r="D1142" t="b">
        <f>IFERROR(VLOOKUP(B1142,PatData!$A$2:$A$2000,1,),"")&lt;&gt;""</f>
        <v>1</v>
      </c>
      <c r="E1142" t="b">
        <v>0</v>
      </c>
      <c r="F1142" t="b">
        <v>0</v>
      </c>
      <c r="G1142" t="b">
        <v>1</v>
      </c>
      <c r="H1142" t="b">
        <v>1</v>
      </c>
      <c r="I1142" t="b">
        <v>0</v>
      </c>
    </row>
    <row r="1143" spans="1:9" x14ac:dyDescent="0.2">
      <c r="A1143" t="s">
        <v>1859</v>
      </c>
      <c r="B1143" t="s">
        <v>3195</v>
      </c>
      <c r="D1143" t="b">
        <f>IFERROR(VLOOKUP(B1143,PatData!$A$2:$A$2000,1,),"")&lt;&gt;""</f>
        <v>1</v>
      </c>
      <c r="E1143" t="b">
        <v>0</v>
      </c>
      <c r="F1143" t="b">
        <v>0</v>
      </c>
      <c r="G1143" t="b">
        <v>1</v>
      </c>
      <c r="H1143" t="b">
        <v>1</v>
      </c>
      <c r="I1143" t="b">
        <v>0</v>
      </c>
    </row>
    <row r="1144" spans="1:9" x14ac:dyDescent="0.2">
      <c r="A1144" t="s">
        <v>1860</v>
      </c>
      <c r="B1144" t="s">
        <v>3196</v>
      </c>
      <c r="D1144" t="b">
        <f>IFERROR(VLOOKUP(B1144,PatData!$A$2:$A$2000,1,),"")&lt;&gt;""</f>
        <v>1</v>
      </c>
      <c r="E1144" t="b">
        <v>0</v>
      </c>
      <c r="F1144" t="b">
        <v>0</v>
      </c>
      <c r="G1144" t="b">
        <v>1</v>
      </c>
      <c r="H1144" t="b">
        <v>1</v>
      </c>
      <c r="I1144" t="b">
        <v>0</v>
      </c>
    </row>
    <row r="1145" spans="1:9" x14ac:dyDescent="0.2">
      <c r="A1145" t="s">
        <v>1861</v>
      </c>
      <c r="B1145" t="s">
        <v>3197</v>
      </c>
      <c r="D1145" t="b">
        <f>IFERROR(VLOOKUP(B1145,PatData!$A$2:$A$2000,1,),"")&lt;&gt;""</f>
        <v>1</v>
      </c>
      <c r="E1145" t="b">
        <v>0</v>
      </c>
      <c r="F1145" t="b">
        <v>0</v>
      </c>
      <c r="G1145" t="b">
        <v>1</v>
      </c>
      <c r="H1145" t="b">
        <v>1</v>
      </c>
      <c r="I1145" t="b">
        <v>0</v>
      </c>
    </row>
    <row r="1146" spans="1:9" x14ac:dyDescent="0.2">
      <c r="A1146" t="s">
        <v>1862</v>
      </c>
      <c r="B1146" t="s">
        <v>3198</v>
      </c>
      <c r="D1146" t="b">
        <f>IFERROR(VLOOKUP(B1146,PatData!$A$2:$A$2000,1,),"")&lt;&gt;""</f>
        <v>1</v>
      </c>
      <c r="E1146" t="b">
        <v>0</v>
      </c>
      <c r="F1146" t="b">
        <v>0</v>
      </c>
      <c r="G1146" t="b">
        <v>1</v>
      </c>
      <c r="H1146" t="b">
        <v>1</v>
      </c>
      <c r="I1146" t="b">
        <v>0</v>
      </c>
    </row>
    <row r="1147" spans="1:9" x14ac:dyDescent="0.2">
      <c r="A1147" t="s">
        <v>1863</v>
      </c>
      <c r="B1147" t="s">
        <v>3199</v>
      </c>
      <c r="D1147" t="b">
        <f>IFERROR(VLOOKUP(B1147,PatData!$A$2:$A$2000,1,),"")&lt;&gt;""</f>
        <v>1</v>
      </c>
      <c r="E1147" t="b">
        <v>0</v>
      </c>
      <c r="F1147" t="b">
        <v>0</v>
      </c>
      <c r="G1147" t="b">
        <v>1</v>
      </c>
      <c r="H1147" t="b">
        <v>1</v>
      </c>
      <c r="I1147" t="b">
        <v>0</v>
      </c>
    </row>
    <row r="1148" spans="1:9" x14ac:dyDescent="0.2">
      <c r="A1148" t="s">
        <v>1864</v>
      </c>
      <c r="B1148" t="s">
        <v>3200</v>
      </c>
      <c r="D1148" t="b">
        <f>IFERROR(VLOOKUP(B1148,PatData!$A$2:$A$2000,1,),"")&lt;&gt;""</f>
        <v>1</v>
      </c>
      <c r="E1148" t="b">
        <v>0</v>
      </c>
      <c r="F1148" t="b">
        <v>0</v>
      </c>
      <c r="G1148" t="b">
        <v>1</v>
      </c>
      <c r="H1148" t="b">
        <v>1</v>
      </c>
      <c r="I1148" t="b">
        <v>0</v>
      </c>
    </row>
    <row r="1149" spans="1:9" x14ac:dyDescent="0.2">
      <c r="A1149" t="s">
        <v>1865</v>
      </c>
      <c r="B1149" t="s">
        <v>3201</v>
      </c>
      <c r="D1149" t="b">
        <f>IFERROR(VLOOKUP(B1149,PatData!$A$2:$A$2000,1,),"")&lt;&gt;""</f>
        <v>1</v>
      </c>
      <c r="E1149" t="b">
        <v>0</v>
      </c>
      <c r="F1149" t="b">
        <v>0</v>
      </c>
      <c r="G1149" t="b">
        <v>1</v>
      </c>
      <c r="H1149" t="b">
        <v>1</v>
      </c>
      <c r="I1149" t="b">
        <v>0</v>
      </c>
    </row>
    <row r="1150" spans="1:9" x14ac:dyDescent="0.2">
      <c r="A1150" t="s">
        <v>1866</v>
      </c>
      <c r="B1150" t="s">
        <v>3202</v>
      </c>
      <c r="D1150" t="b">
        <f>IFERROR(VLOOKUP(B1150,PatData!$A$2:$A$2000,1,),"")&lt;&gt;""</f>
        <v>1</v>
      </c>
      <c r="E1150" t="b">
        <v>0</v>
      </c>
      <c r="F1150" t="b">
        <v>0</v>
      </c>
      <c r="G1150" t="b">
        <v>1</v>
      </c>
      <c r="H1150" t="b">
        <v>1</v>
      </c>
      <c r="I1150" t="b">
        <v>0</v>
      </c>
    </row>
    <row r="1151" spans="1:9" x14ac:dyDescent="0.2">
      <c r="A1151" t="s">
        <v>1868</v>
      </c>
      <c r="B1151" t="s">
        <v>3203</v>
      </c>
      <c r="D1151" t="b">
        <f>IFERROR(VLOOKUP(B1151,PatData!$A$2:$A$2000,1,),"")&lt;&gt;""</f>
        <v>1</v>
      </c>
      <c r="E1151" t="b">
        <v>0</v>
      </c>
      <c r="F1151" t="b">
        <v>0</v>
      </c>
      <c r="G1151" t="b">
        <v>1</v>
      </c>
      <c r="H1151" t="b">
        <v>1</v>
      </c>
      <c r="I1151" t="b">
        <v>0</v>
      </c>
    </row>
    <row r="1152" spans="1:9" x14ac:dyDescent="0.2">
      <c r="A1152" t="s">
        <v>1869</v>
      </c>
      <c r="B1152" t="s">
        <v>3204</v>
      </c>
      <c r="D1152" t="b">
        <f>IFERROR(VLOOKUP(B1152,PatData!$A$2:$A$2000,1,),"")&lt;&gt;""</f>
        <v>1</v>
      </c>
      <c r="E1152" t="b">
        <v>0</v>
      </c>
      <c r="F1152" t="b">
        <v>0</v>
      </c>
      <c r="G1152" t="b">
        <v>1</v>
      </c>
      <c r="H1152" t="b">
        <v>1</v>
      </c>
      <c r="I1152" t="b">
        <v>0</v>
      </c>
    </row>
    <row r="1153" spans="1:9" x14ac:dyDescent="0.2">
      <c r="A1153" t="s">
        <v>1876</v>
      </c>
      <c r="B1153" t="s">
        <v>3205</v>
      </c>
      <c r="D1153" t="b">
        <f>IFERROR(VLOOKUP(B1153,PatData!$A$2:$A$2000,1,),"")&lt;&gt;""</f>
        <v>1</v>
      </c>
      <c r="E1153"/>
      <c r="F1153" t="b">
        <v>0</v>
      </c>
      <c r="G1153" t="b">
        <v>1</v>
      </c>
      <c r="H1153" t="b">
        <v>1</v>
      </c>
      <c r="I1153" t="b">
        <v>0</v>
      </c>
    </row>
    <row r="1154" spans="1:9" x14ac:dyDescent="0.2">
      <c r="A1154" t="s">
        <v>1877</v>
      </c>
      <c r="B1154" t="s">
        <v>3206</v>
      </c>
      <c r="D1154" t="b">
        <f>IFERROR(VLOOKUP(B1154,PatData!$A$2:$A$2000,1,),"")&lt;&gt;""</f>
        <v>1</v>
      </c>
      <c r="E1154" t="b">
        <v>0</v>
      </c>
      <c r="F1154" t="b">
        <v>0</v>
      </c>
      <c r="G1154" t="b">
        <v>1</v>
      </c>
      <c r="H1154" t="b">
        <v>1</v>
      </c>
      <c r="I1154" t="b">
        <v>0</v>
      </c>
    </row>
    <row r="1155" spans="1:9" x14ac:dyDescent="0.2">
      <c r="A1155" t="s">
        <v>1888</v>
      </c>
      <c r="B1155" t="s">
        <v>3207</v>
      </c>
      <c r="D1155" t="b">
        <f>IFERROR(VLOOKUP(B1155,PatData!$A$2:$A$2000,1,),"")&lt;&gt;""</f>
        <v>1</v>
      </c>
      <c r="E1155" t="b">
        <v>0</v>
      </c>
      <c r="F1155" t="b">
        <v>0</v>
      </c>
      <c r="G1155" t="b">
        <v>1</v>
      </c>
      <c r="H1155" t="b">
        <v>1</v>
      </c>
      <c r="I1155" t="b">
        <v>0</v>
      </c>
    </row>
    <row r="1156" spans="1:9" x14ac:dyDescent="0.2">
      <c r="A1156" t="s">
        <v>1899</v>
      </c>
      <c r="B1156" t="s">
        <v>3208</v>
      </c>
      <c r="D1156" t="b">
        <f>IFERROR(VLOOKUP(B1156,PatData!$A$2:$A$2000,1,),"")&lt;&gt;""</f>
        <v>1</v>
      </c>
      <c r="E1156" t="b">
        <v>0</v>
      </c>
      <c r="F1156" t="b">
        <v>0</v>
      </c>
      <c r="G1156" t="b">
        <v>1</v>
      </c>
      <c r="H1156" t="b">
        <v>1</v>
      </c>
      <c r="I1156" t="b">
        <v>0</v>
      </c>
    </row>
    <row r="1157" spans="1:9" x14ac:dyDescent="0.2">
      <c r="A1157" t="s">
        <v>1903</v>
      </c>
      <c r="B1157" t="s">
        <v>3209</v>
      </c>
      <c r="D1157" t="b">
        <f>IFERROR(VLOOKUP(B1157,PatData!$A$2:$A$2000,1,),"")&lt;&gt;""</f>
        <v>1</v>
      </c>
      <c r="E1157" t="b">
        <v>0</v>
      </c>
      <c r="F1157" t="b">
        <v>0</v>
      </c>
      <c r="G1157" t="b">
        <v>1</v>
      </c>
      <c r="H1157" t="b">
        <v>1</v>
      </c>
      <c r="I1157" t="b">
        <v>0</v>
      </c>
    </row>
    <row r="1158" spans="1:9" x14ac:dyDescent="0.2">
      <c r="A1158" t="s">
        <v>1904</v>
      </c>
      <c r="B1158" t="s">
        <v>3210</v>
      </c>
      <c r="D1158" t="b">
        <f>IFERROR(VLOOKUP(B1158,PatData!$A$2:$A$2000,1,),"")&lt;&gt;""</f>
        <v>1</v>
      </c>
      <c r="E1158" t="b">
        <v>0</v>
      </c>
      <c r="F1158" t="b">
        <v>0</v>
      </c>
      <c r="G1158" t="b">
        <v>1</v>
      </c>
      <c r="H1158" t="b">
        <v>1</v>
      </c>
      <c r="I1158" t="b">
        <v>0</v>
      </c>
    </row>
    <row r="1159" spans="1:9" x14ac:dyDescent="0.2">
      <c r="A1159" t="s">
        <v>1905</v>
      </c>
      <c r="B1159" t="s">
        <v>3211</v>
      </c>
      <c r="D1159" t="b">
        <f>IFERROR(VLOOKUP(B1159,PatData!$A$2:$A$2000,1,),"")&lt;&gt;""</f>
        <v>1</v>
      </c>
      <c r="E1159" t="b">
        <v>0</v>
      </c>
      <c r="F1159" t="b">
        <v>0</v>
      </c>
      <c r="G1159" t="b">
        <v>1</v>
      </c>
      <c r="H1159" t="b">
        <v>1</v>
      </c>
      <c r="I1159" t="b">
        <v>0</v>
      </c>
    </row>
    <row r="1160" spans="1:9" x14ac:dyDescent="0.2">
      <c r="A1160" t="s">
        <v>1906</v>
      </c>
      <c r="B1160" t="s">
        <v>3212</v>
      </c>
      <c r="D1160" t="b">
        <f>IFERROR(VLOOKUP(B1160,PatData!$A$2:$A$2000,1,),"")&lt;&gt;""</f>
        <v>1</v>
      </c>
      <c r="E1160" t="b">
        <v>0</v>
      </c>
      <c r="F1160" t="b">
        <v>0</v>
      </c>
      <c r="G1160" t="b">
        <v>1</v>
      </c>
      <c r="H1160" t="b">
        <v>1</v>
      </c>
      <c r="I1160" t="b">
        <v>0</v>
      </c>
    </row>
    <row r="1161" spans="1:9" x14ac:dyDescent="0.2">
      <c r="A1161" t="s">
        <v>1907</v>
      </c>
      <c r="B1161" t="s">
        <v>3213</v>
      </c>
      <c r="D1161" t="b">
        <f>IFERROR(VLOOKUP(B1161,PatData!$A$2:$A$2000,1,),"")&lt;&gt;""</f>
        <v>1</v>
      </c>
      <c r="E1161" t="b">
        <v>0</v>
      </c>
      <c r="F1161" t="b">
        <v>0</v>
      </c>
      <c r="G1161" t="b">
        <v>1</v>
      </c>
      <c r="H1161" t="b">
        <v>1</v>
      </c>
      <c r="I1161" t="b">
        <v>0</v>
      </c>
    </row>
    <row r="1162" spans="1:9" x14ac:dyDescent="0.2">
      <c r="A1162" t="s">
        <v>1908</v>
      </c>
      <c r="B1162" t="s">
        <v>3214</v>
      </c>
      <c r="D1162" t="b">
        <f>IFERROR(VLOOKUP(B1162,PatData!$A$2:$A$2000,1,),"")&lt;&gt;""</f>
        <v>1</v>
      </c>
      <c r="E1162" t="b">
        <v>0</v>
      </c>
      <c r="F1162" t="b">
        <v>0</v>
      </c>
      <c r="G1162" t="b">
        <v>1</v>
      </c>
      <c r="H1162" t="b">
        <v>1</v>
      </c>
      <c r="I1162" t="b">
        <v>0</v>
      </c>
    </row>
    <row r="1163" spans="1:9" x14ac:dyDescent="0.2">
      <c r="A1163" t="s">
        <v>1878</v>
      </c>
      <c r="B1163" t="s">
        <v>3215</v>
      </c>
      <c r="D1163" t="b">
        <f>IFERROR(VLOOKUP(B1163,PatData!$A$2:$A$2000,1,),"")&lt;&gt;""</f>
        <v>1</v>
      </c>
      <c r="E1163" t="b">
        <v>0</v>
      </c>
      <c r="F1163" t="b">
        <v>0</v>
      </c>
      <c r="G1163" t="b">
        <v>1</v>
      </c>
      <c r="H1163" t="b">
        <v>1</v>
      </c>
      <c r="I1163" t="b">
        <v>0</v>
      </c>
    </row>
    <row r="1164" spans="1:9" x14ac:dyDescent="0.2">
      <c r="A1164" t="s">
        <v>1879</v>
      </c>
      <c r="B1164" t="s">
        <v>3216</v>
      </c>
      <c r="D1164" t="b">
        <f>IFERROR(VLOOKUP(B1164,PatData!$A$2:$A$2000,1,),"")&lt;&gt;""</f>
        <v>1</v>
      </c>
      <c r="E1164" t="b">
        <v>0</v>
      </c>
      <c r="F1164" t="b">
        <v>0</v>
      </c>
      <c r="G1164" t="b">
        <v>1</v>
      </c>
      <c r="H1164" t="b">
        <v>1</v>
      </c>
      <c r="I1164" t="b">
        <v>0</v>
      </c>
    </row>
    <row r="1165" spans="1:9" x14ac:dyDescent="0.2">
      <c r="A1165" t="s">
        <v>1880</v>
      </c>
      <c r="B1165" t="s">
        <v>3217</v>
      </c>
      <c r="D1165" t="b">
        <f>IFERROR(VLOOKUP(B1165,PatData!$A$2:$A$2000,1,),"")&lt;&gt;""</f>
        <v>1</v>
      </c>
      <c r="E1165" t="b">
        <v>0</v>
      </c>
      <c r="F1165" t="b">
        <v>0</v>
      </c>
      <c r="G1165" t="b">
        <v>1</v>
      </c>
      <c r="H1165" t="b">
        <v>1</v>
      </c>
      <c r="I1165" t="b">
        <v>0</v>
      </c>
    </row>
    <row r="1166" spans="1:9" x14ac:dyDescent="0.2">
      <c r="A1166" t="s">
        <v>1881</v>
      </c>
      <c r="B1166" t="s">
        <v>3218</v>
      </c>
      <c r="D1166" t="b">
        <f>IFERROR(VLOOKUP(B1166,PatData!$A$2:$A$2000,1,),"")&lt;&gt;""</f>
        <v>1</v>
      </c>
      <c r="E1166" t="b">
        <v>0</v>
      </c>
      <c r="F1166" t="b">
        <v>0</v>
      </c>
      <c r="G1166" t="b">
        <v>1</v>
      </c>
      <c r="H1166" t="b">
        <v>1</v>
      </c>
      <c r="I1166" t="b">
        <v>0</v>
      </c>
    </row>
    <row r="1167" spans="1:9" x14ac:dyDescent="0.2">
      <c r="A1167" t="s">
        <v>1882</v>
      </c>
      <c r="B1167" t="s">
        <v>3219</v>
      </c>
      <c r="D1167" t="b">
        <f>IFERROR(VLOOKUP(B1167,PatData!$A$2:$A$2000,1,),"")&lt;&gt;""</f>
        <v>1</v>
      </c>
      <c r="E1167" t="b">
        <v>0</v>
      </c>
      <c r="F1167" t="b">
        <v>0</v>
      </c>
      <c r="G1167" t="b">
        <v>1</v>
      </c>
      <c r="H1167" t="b">
        <v>1</v>
      </c>
      <c r="I1167" t="b">
        <v>0</v>
      </c>
    </row>
    <row r="1168" spans="1:9" x14ac:dyDescent="0.2">
      <c r="A1168" t="s">
        <v>1883</v>
      </c>
      <c r="B1168" t="s">
        <v>3220</v>
      </c>
      <c r="D1168" t="b">
        <f>IFERROR(VLOOKUP(B1168,PatData!$A$2:$A$2000,1,),"")&lt;&gt;""</f>
        <v>1</v>
      </c>
      <c r="E1168" t="b">
        <v>0</v>
      </c>
      <c r="F1168" t="b">
        <v>0</v>
      </c>
      <c r="G1168" t="b">
        <v>1</v>
      </c>
      <c r="H1168" t="b">
        <v>1</v>
      </c>
      <c r="I1168" t="b">
        <v>0</v>
      </c>
    </row>
    <row r="1169" spans="1:9" x14ac:dyDescent="0.2">
      <c r="A1169" t="s">
        <v>1884</v>
      </c>
      <c r="B1169" t="s">
        <v>3221</v>
      </c>
      <c r="D1169" t="b">
        <f>IFERROR(VLOOKUP(B1169,PatData!$A$2:$A$2000,1,),"")&lt;&gt;""</f>
        <v>1</v>
      </c>
      <c r="E1169" t="b">
        <v>0</v>
      </c>
      <c r="F1169" t="b">
        <v>0</v>
      </c>
      <c r="G1169" t="b">
        <v>1</v>
      </c>
      <c r="H1169" t="b">
        <v>1</v>
      </c>
      <c r="I1169" t="b">
        <v>0</v>
      </c>
    </row>
    <row r="1170" spans="1:9" x14ac:dyDescent="0.2">
      <c r="A1170" t="s">
        <v>1885</v>
      </c>
      <c r="B1170" t="s">
        <v>3222</v>
      </c>
      <c r="D1170" t="b">
        <f>IFERROR(VLOOKUP(B1170,PatData!$A$2:$A$2000,1,),"")&lt;&gt;""</f>
        <v>1</v>
      </c>
      <c r="E1170" t="b">
        <v>0</v>
      </c>
      <c r="F1170" t="b">
        <v>0</v>
      </c>
      <c r="G1170" t="b">
        <v>1</v>
      </c>
      <c r="H1170" t="b">
        <v>1</v>
      </c>
      <c r="I1170" t="b">
        <v>0</v>
      </c>
    </row>
    <row r="1171" spans="1:9" x14ac:dyDescent="0.2">
      <c r="A1171" t="s">
        <v>1886</v>
      </c>
      <c r="B1171" t="s">
        <v>3223</v>
      </c>
      <c r="D1171" t="b">
        <f>IFERROR(VLOOKUP(B1171,PatData!$A$2:$A$2000,1,),"")&lt;&gt;""</f>
        <v>1</v>
      </c>
      <c r="E1171" t="b">
        <v>0</v>
      </c>
      <c r="F1171" t="b">
        <v>0</v>
      </c>
      <c r="G1171" t="b">
        <v>1</v>
      </c>
      <c r="H1171" t="b">
        <v>1</v>
      </c>
      <c r="I1171" t="b">
        <v>0</v>
      </c>
    </row>
    <row r="1172" spans="1:9" x14ac:dyDescent="0.2">
      <c r="A1172" t="s">
        <v>1887</v>
      </c>
      <c r="B1172" t="s">
        <v>3224</v>
      </c>
      <c r="D1172" t="b">
        <f>IFERROR(VLOOKUP(B1172,PatData!$A$2:$A$2000,1,),"")&lt;&gt;""</f>
        <v>1</v>
      </c>
      <c r="E1172" t="b">
        <v>0</v>
      </c>
      <c r="F1172" t="b">
        <v>0</v>
      </c>
      <c r="G1172" t="b">
        <v>1</v>
      </c>
      <c r="H1172" t="b">
        <v>1</v>
      </c>
      <c r="I1172" t="b">
        <v>0</v>
      </c>
    </row>
    <row r="1173" spans="1:9" x14ac:dyDescent="0.2">
      <c r="A1173" t="s">
        <v>1889</v>
      </c>
      <c r="B1173" t="s">
        <v>3225</v>
      </c>
      <c r="D1173" t="b">
        <f>IFERROR(VLOOKUP(B1173,PatData!$A$2:$A$2000,1,),"")&lt;&gt;""</f>
        <v>1</v>
      </c>
      <c r="E1173" t="b">
        <v>0</v>
      </c>
      <c r="F1173" t="b">
        <v>0</v>
      </c>
      <c r="G1173" t="b">
        <v>1</v>
      </c>
      <c r="H1173" t="b">
        <v>1</v>
      </c>
      <c r="I1173" t="b">
        <v>0</v>
      </c>
    </row>
    <row r="1174" spans="1:9" x14ac:dyDescent="0.2">
      <c r="A1174" t="s">
        <v>1890</v>
      </c>
      <c r="B1174" t="s">
        <v>3226</v>
      </c>
      <c r="D1174" t="b">
        <f>IFERROR(VLOOKUP(B1174,PatData!$A$2:$A$2000,1,),"")&lt;&gt;""</f>
        <v>1</v>
      </c>
      <c r="E1174" t="b">
        <v>0</v>
      </c>
      <c r="F1174" t="b">
        <v>0</v>
      </c>
      <c r="G1174" t="b">
        <v>1</v>
      </c>
      <c r="H1174" t="b">
        <v>1</v>
      </c>
      <c r="I1174" t="b">
        <v>0</v>
      </c>
    </row>
    <row r="1175" spans="1:9" x14ac:dyDescent="0.2">
      <c r="A1175" t="s">
        <v>1891</v>
      </c>
      <c r="B1175" t="s">
        <v>3227</v>
      </c>
      <c r="D1175" t="b">
        <f>IFERROR(VLOOKUP(B1175,PatData!$A$2:$A$2000,1,),"")&lt;&gt;""</f>
        <v>1</v>
      </c>
      <c r="E1175" t="b">
        <v>0</v>
      </c>
      <c r="F1175" t="b">
        <v>0</v>
      </c>
      <c r="G1175" t="b">
        <v>1</v>
      </c>
      <c r="H1175" t="b">
        <v>1</v>
      </c>
      <c r="I1175" t="b">
        <v>0</v>
      </c>
    </row>
    <row r="1176" spans="1:9" x14ac:dyDescent="0.2">
      <c r="A1176" t="s">
        <v>1892</v>
      </c>
      <c r="B1176" t="s">
        <v>3228</v>
      </c>
      <c r="D1176" t="b">
        <f>IFERROR(VLOOKUP(B1176,PatData!$A$2:$A$2000,1,),"")&lt;&gt;""</f>
        <v>1</v>
      </c>
      <c r="E1176" t="b">
        <v>0</v>
      </c>
      <c r="F1176" t="b">
        <v>0</v>
      </c>
      <c r="G1176" t="b">
        <v>1</v>
      </c>
      <c r="H1176" t="b">
        <v>1</v>
      </c>
      <c r="I1176" t="b">
        <v>0</v>
      </c>
    </row>
    <row r="1177" spans="1:9" x14ac:dyDescent="0.2">
      <c r="A1177" t="s">
        <v>1893</v>
      </c>
      <c r="B1177" t="s">
        <v>3229</v>
      </c>
      <c r="D1177" t="b">
        <f>IFERROR(VLOOKUP(B1177,PatData!$A$2:$A$2000,1,),"")&lt;&gt;""</f>
        <v>1</v>
      </c>
      <c r="E1177" t="b">
        <v>0</v>
      </c>
      <c r="F1177" t="b">
        <v>0</v>
      </c>
      <c r="G1177" t="b">
        <v>1</v>
      </c>
      <c r="H1177" t="b">
        <v>1</v>
      </c>
      <c r="I1177" t="b">
        <v>0</v>
      </c>
    </row>
    <row r="1178" spans="1:9" x14ac:dyDescent="0.2">
      <c r="A1178" t="s">
        <v>1894</v>
      </c>
      <c r="B1178" t="s">
        <v>3230</v>
      </c>
      <c r="D1178" t="b">
        <f>IFERROR(VLOOKUP(B1178,PatData!$A$2:$A$2000,1,),"")&lt;&gt;""</f>
        <v>1</v>
      </c>
      <c r="E1178" t="b">
        <v>0</v>
      </c>
      <c r="F1178" t="b">
        <v>0</v>
      </c>
      <c r="G1178" t="b">
        <v>1</v>
      </c>
      <c r="H1178" t="b">
        <v>1</v>
      </c>
      <c r="I1178" t="b">
        <v>0</v>
      </c>
    </row>
    <row r="1179" spans="1:9" x14ac:dyDescent="0.2">
      <c r="A1179" t="s">
        <v>1895</v>
      </c>
      <c r="B1179" t="s">
        <v>3231</v>
      </c>
      <c r="D1179" t="b">
        <f>IFERROR(VLOOKUP(B1179,PatData!$A$2:$A$2000,1,),"")&lt;&gt;""</f>
        <v>1</v>
      </c>
      <c r="E1179" t="b">
        <v>0</v>
      </c>
      <c r="F1179" t="b">
        <v>0</v>
      </c>
      <c r="G1179" t="b">
        <v>1</v>
      </c>
      <c r="H1179" t="b">
        <v>1</v>
      </c>
      <c r="I1179" t="b">
        <v>0</v>
      </c>
    </row>
    <row r="1180" spans="1:9" x14ac:dyDescent="0.2">
      <c r="A1180" t="s">
        <v>1896</v>
      </c>
      <c r="B1180" t="s">
        <v>3232</v>
      </c>
      <c r="D1180" t="b">
        <f>IFERROR(VLOOKUP(B1180,PatData!$A$2:$A$2000,1,),"")&lt;&gt;""</f>
        <v>1</v>
      </c>
      <c r="E1180" t="b">
        <v>0</v>
      </c>
      <c r="F1180" t="b">
        <v>0</v>
      </c>
      <c r="G1180" t="b">
        <v>1</v>
      </c>
      <c r="H1180" t="b">
        <v>1</v>
      </c>
      <c r="I1180" t="b">
        <v>0</v>
      </c>
    </row>
    <row r="1181" spans="1:9" x14ac:dyDescent="0.2">
      <c r="A1181" t="s">
        <v>1897</v>
      </c>
      <c r="B1181" t="s">
        <v>3233</v>
      </c>
      <c r="D1181" t="b">
        <f>IFERROR(VLOOKUP(B1181,PatData!$A$2:$A$2000,1,),"")&lt;&gt;""</f>
        <v>1</v>
      </c>
      <c r="E1181" t="b">
        <v>0</v>
      </c>
      <c r="F1181" t="b">
        <v>0</v>
      </c>
      <c r="G1181" t="b">
        <v>1</v>
      </c>
      <c r="H1181" t="b">
        <v>1</v>
      </c>
      <c r="I1181" t="b">
        <v>0</v>
      </c>
    </row>
    <row r="1182" spans="1:9" x14ac:dyDescent="0.2">
      <c r="A1182" t="s">
        <v>1898</v>
      </c>
      <c r="B1182" t="s">
        <v>3234</v>
      </c>
      <c r="D1182" t="b">
        <f>IFERROR(VLOOKUP(B1182,PatData!$A$2:$A$2000,1,),"")&lt;&gt;""</f>
        <v>1</v>
      </c>
      <c r="E1182" t="b">
        <v>0</v>
      </c>
      <c r="F1182" t="b">
        <v>0</v>
      </c>
      <c r="G1182" t="b">
        <v>1</v>
      </c>
      <c r="H1182" t="b">
        <v>1</v>
      </c>
      <c r="I1182" t="b">
        <v>0</v>
      </c>
    </row>
    <row r="1183" spans="1:9" x14ac:dyDescent="0.2">
      <c r="A1183" t="s">
        <v>1900</v>
      </c>
      <c r="B1183" t="s">
        <v>3235</v>
      </c>
      <c r="D1183" t="b">
        <f>IFERROR(VLOOKUP(B1183,PatData!$A$2:$A$2000,1,),"")&lt;&gt;""</f>
        <v>1</v>
      </c>
      <c r="E1183" t="b">
        <v>0</v>
      </c>
      <c r="F1183" t="b">
        <v>0</v>
      </c>
      <c r="G1183" t="b">
        <v>1</v>
      </c>
      <c r="H1183" t="b">
        <v>1</v>
      </c>
      <c r="I1183" t="b">
        <v>0</v>
      </c>
    </row>
    <row r="1184" spans="1:9" x14ac:dyDescent="0.2">
      <c r="A1184" t="s">
        <v>1901</v>
      </c>
      <c r="B1184" t="s">
        <v>3236</v>
      </c>
      <c r="D1184" t="b">
        <f>IFERROR(VLOOKUP(B1184,PatData!$A$2:$A$2000,1,),"")&lt;&gt;""</f>
        <v>1</v>
      </c>
      <c r="E1184" t="b">
        <v>0</v>
      </c>
      <c r="F1184" t="b">
        <v>0</v>
      </c>
      <c r="G1184" t="b">
        <v>1</v>
      </c>
      <c r="H1184" t="b">
        <v>1</v>
      </c>
      <c r="I1184" t="b">
        <v>0</v>
      </c>
    </row>
    <row r="1185" spans="1:9" x14ac:dyDescent="0.2">
      <c r="A1185" t="s">
        <v>1902</v>
      </c>
      <c r="B1185" t="s">
        <v>3237</v>
      </c>
      <c r="D1185" t="b">
        <f>IFERROR(VLOOKUP(B1185,PatData!$A$2:$A$2000,1,),"")&lt;&gt;""</f>
        <v>1</v>
      </c>
      <c r="E1185" t="b">
        <v>0</v>
      </c>
      <c r="F1185" t="b">
        <v>0</v>
      </c>
      <c r="G1185" t="b">
        <v>1</v>
      </c>
      <c r="H1185" t="b">
        <v>1</v>
      </c>
      <c r="I1185" t="b">
        <v>0</v>
      </c>
    </row>
    <row r="1186" spans="1:9" x14ac:dyDescent="0.2">
      <c r="A1186" t="s">
        <v>4224</v>
      </c>
      <c r="B1186" t="s">
        <v>3538</v>
      </c>
      <c r="D1186" t="b">
        <f>IFERROR(VLOOKUP(B1186,PatData!$A$2:$A$2000,1,),"")&lt;&gt;""</f>
        <v>1</v>
      </c>
      <c r="E1186">
        <v>0</v>
      </c>
      <c r="F1186" t="b">
        <v>0</v>
      </c>
      <c r="G1186" t="b">
        <v>1</v>
      </c>
      <c r="H1186" t="b">
        <v>0</v>
      </c>
      <c r="I1186" t="b">
        <v>0</v>
      </c>
    </row>
    <row r="1187" spans="1:9" x14ac:dyDescent="0.2">
      <c r="A1187" t="s">
        <v>4225</v>
      </c>
      <c r="B1187" t="s">
        <v>4226</v>
      </c>
      <c r="D1187" t="b">
        <f>IFERROR(VLOOKUP(B1187,PatData!$A$2:$A$2000,1,),"")&lt;&gt;""</f>
        <v>1</v>
      </c>
      <c r="E1187">
        <v>0</v>
      </c>
      <c r="F1187" t="b">
        <v>0</v>
      </c>
      <c r="G1187" t="b">
        <v>1</v>
      </c>
      <c r="H1187" t="b">
        <v>0</v>
      </c>
      <c r="I1187" t="b">
        <v>0</v>
      </c>
    </row>
    <row r="1188" spans="1:9" x14ac:dyDescent="0.2">
      <c r="A1188" t="s">
        <v>4227</v>
      </c>
      <c r="B1188" t="s">
        <v>3540</v>
      </c>
      <c r="D1188" t="b">
        <f>IFERROR(VLOOKUP(B1188,PatData!$A$2:$A$2000,1,),"")&lt;&gt;""</f>
        <v>1</v>
      </c>
      <c r="E1188">
        <v>10</v>
      </c>
      <c r="F1188" t="b">
        <v>0</v>
      </c>
      <c r="G1188" t="b">
        <v>1</v>
      </c>
      <c r="H1188" t="b">
        <v>0</v>
      </c>
      <c r="I1188" t="b">
        <v>0</v>
      </c>
    </row>
    <row r="1189" spans="1:9" x14ac:dyDescent="0.2">
      <c r="A1189" t="s">
        <v>4228</v>
      </c>
      <c r="B1189" t="s">
        <v>3541</v>
      </c>
      <c r="D1189" t="b">
        <f>IFERROR(VLOOKUP(B1189,PatData!$A$2:$A$2000,1,),"")&lt;&gt;""</f>
        <v>1</v>
      </c>
      <c r="E1189">
        <v>0</v>
      </c>
      <c r="F1189" t="b">
        <v>0</v>
      </c>
      <c r="G1189" t="b">
        <v>1</v>
      </c>
      <c r="H1189" t="b">
        <v>0</v>
      </c>
      <c r="I1189" t="b">
        <v>0</v>
      </c>
    </row>
    <row r="1190" spans="1:9" x14ac:dyDescent="0.2">
      <c r="A1190" t="s">
        <v>4229</v>
      </c>
      <c r="B1190" t="s">
        <v>3537</v>
      </c>
      <c r="D1190" t="b">
        <f>IFERROR(VLOOKUP(B1190,PatData!$A$2:$A$2000,1,),"")&lt;&gt;""</f>
        <v>1</v>
      </c>
      <c r="E1190">
        <v>1462</v>
      </c>
      <c r="F1190" t="b">
        <v>0</v>
      </c>
      <c r="G1190" t="b">
        <v>1</v>
      </c>
      <c r="H1190" t="b">
        <v>0</v>
      </c>
      <c r="I1190" t="b">
        <v>0</v>
      </c>
    </row>
    <row r="1191" spans="1:9" x14ac:dyDescent="0.2">
      <c r="A1191" t="s">
        <v>4230</v>
      </c>
      <c r="B1191" t="s">
        <v>3539</v>
      </c>
      <c r="D1191" t="b">
        <f>IFERROR(VLOOKUP(B1191,PatData!$A$2:$A$2000,1,),"")&lt;&gt;""</f>
        <v>1</v>
      </c>
      <c r="E1191">
        <v>0</v>
      </c>
      <c r="F1191" t="b">
        <v>0</v>
      </c>
      <c r="G1191" t="b">
        <v>1</v>
      </c>
      <c r="H1191" t="b">
        <v>0</v>
      </c>
      <c r="I1191" t="b">
        <v>0</v>
      </c>
    </row>
    <row r="1192" spans="1:9" x14ac:dyDescent="0.2">
      <c r="A1192" t="s">
        <v>4231</v>
      </c>
      <c r="B1192" t="s">
        <v>2127</v>
      </c>
      <c r="D1192" t="b">
        <f>IFERROR(VLOOKUP(B1192,PatData!$A$2:$A$2000,1,),"")&lt;&gt;""</f>
        <v>1</v>
      </c>
      <c r="E1192" t="b">
        <v>0</v>
      </c>
      <c r="F1192" t="b">
        <v>0</v>
      </c>
      <c r="G1192" t="b">
        <v>1</v>
      </c>
      <c r="H1192" t="b">
        <v>0</v>
      </c>
      <c r="I1192" t="b">
        <v>1</v>
      </c>
    </row>
    <row r="1193" spans="1:9" x14ac:dyDescent="0.2">
      <c r="A1193" t="s">
        <v>4232</v>
      </c>
      <c r="B1193" t="s">
        <v>2128</v>
      </c>
      <c r="D1193" t="b">
        <f>IFERROR(VLOOKUP(B1193,PatData!$A$2:$A$2000,1,),"")&lt;&gt;""</f>
        <v>1</v>
      </c>
      <c r="E1193" t="b">
        <v>0</v>
      </c>
      <c r="F1193" t="b">
        <v>0</v>
      </c>
      <c r="G1193" t="b">
        <v>1</v>
      </c>
      <c r="H1193" t="b">
        <v>0</v>
      </c>
      <c r="I1193" t="b">
        <v>1</v>
      </c>
    </row>
    <row r="1194" spans="1:9" x14ac:dyDescent="0.2">
      <c r="A1194" t="s">
        <v>4233</v>
      </c>
      <c r="B1194" t="s">
        <v>2129</v>
      </c>
      <c r="D1194" t="b">
        <f>IFERROR(VLOOKUP(B1194,PatData!$A$2:$A$2000,1,),"")&lt;&gt;""</f>
        <v>1</v>
      </c>
      <c r="E1194" t="b">
        <v>0</v>
      </c>
      <c r="F1194" t="b">
        <v>0</v>
      </c>
      <c r="G1194" t="b">
        <v>1</v>
      </c>
      <c r="H1194" t="b">
        <v>0</v>
      </c>
      <c r="I1194" t="b">
        <v>1</v>
      </c>
    </row>
    <row r="1195" spans="1:9" x14ac:dyDescent="0.2">
      <c r="A1195" t="s">
        <v>4234</v>
      </c>
      <c r="B1195" t="s">
        <v>2130</v>
      </c>
      <c r="D1195" t="b">
        <f>IFERROR(VLOOKUP(B1195,PatData!$A$2:$A$2000,1,),"")&lt;&gt;""</f>
        <v>1</v>
      </c>
      <c r="E1195" t="b">
        <v>0</v>
      </c>
      <c r="F1195" t="b">
        <v>0</v>
      </c>
      <c r="G1195" t="b">
        <v>1</v>
      </c>
      <c r="H1195" t="b">
        <v>0</v>
      </c>
      <c r="I1195" t="b">
        <v>1</v>
      </c>
    </row>
    <row r="1196" spans="1:9" x14ac:dyDescent="0.2">
      <c r="A1196" t="s">
        <v>4235</v>
      </c>
      <c r="B1196" t="s">
        <v>2131</v>
      </c>
      <c r="D1196" t="b">
        <f>IFERROR(VLOOKUP(B1196,PatData!$A$2:$A$2000,1,),"")&lt;&gt;""</f>
        <v>1</v>
      </c>
      <c r="E1196" t="b">
        <v>0</v>
      </c>
      <c r="F1196" t="b">
        <v>0</v>
      </c>
      <c r="G1196" t="b">
        <v>1</v>
      </c>
      <c r="H1196" t="b">
        <v>0</v>
      </c>
      <c r="I1196" t="b">
        <v>1</v>
      </c>
    </row>
    <row r="1197" spans="1:9" x14ac:dyDescent="0.2">
      <c r="A1197" t="s">
        <v>4236</v>
      </c>
      <c r="B1197" t="s">
        <v>2132</v>
      </c>
      <c r="D1197" t="b">
        <f>IFERROR(VLOOKUP(B1197,PatData!$A$2:$A$2000,1,),"")&lt;&gt;""</f>
        <v>1</v>
      </c>
      <c r="E1197" t="b">
        <v>0</v>
      </c>
      <c r="F1197" t="b">
        <v>0</v>
      </c>
      <c r="G1197" t="b">
        <v>1</v>
      </c>
      <c r="H1197" t="b">
        <v>0</v>
      </c>
      <c r="I1197" t="b">
        <v>1</v>
      </c>
    </row>
    <row r="1198" spans="1:9" x14ac:dyDescent="0.2">
      <c r="A1198" t="s">
        <v>4237</v>
      </c>
      <c r="B1198" t="s">
        <v>2133</v>
      </c>
      <c r="D1198" t="b">
        <f>IFERROR(VLOOKUP(B1198,PatData!$A$2:$A$2000,1,),"")&lt;&gt;""</f>
        <v>1</v>
      </c>
      <c r="E1198" t="b">
        <v>0</v>
      </c>
      <c r="F1198" t="b">
        <v>0</v>
      </c>
      <c r="G1198" t="b">
        <v>1</v>
      </c>
      <c r="H1198" t="b">
        <v>0</v>
      </c>
      <c r="I1198" t="b">
        <v>1</v>
      </c>
    </row>
    <row r="1199" spans="1:9" x14ac:dyDescent="0.2">
      <c r="A1199" t="s">
        <v>4238</v>
      </c>
      <c r="B1199" t="s">
        <v>2134</v>
      </c>
      <c r="D1199" t="b">
        <f>IFERROR(VLOOKUP(B1199,PatData!$A$2:$A$2000,1,),"")&lt;&gt;""</f>
        <v>1</v>
      </c>
      <c r="E1199" t="b">
        <v>0</v>
      </c>
      <c r="F1199" t="b">
        <v>0</v>
      </c>
      <c r="G1199" t="b">
        <v>1</v>
      </c>
      <c r="H1199" t="b">
        <v>0</v>
      </c>
      <c r="I1199" t="b">
        <v>1</v>
      </c>
    </row>
    <row r="1200" spans="1:9" x14ac:dyDescent="0.2">
      <c r="A1200" t="s">
        <v>4239</v>
      </c>
      <c r="B1200" t="s">
        <v>2135</v>
      </c>
      <c r="D1200" t="b">
        <f>IFERROR(VLOOKUP(B1200,PatData!$A$2:$A$2000,1,),"")&lt;&gt;""</f>
        <v>1</v>
      </c>
      <c r="E1200" t="b">
        <v>0</v>
      </c>
      <c r="F1200" t="b">
        <v>0</v>
      </c>
      <c r="G1200" t="b">
        <v>1</v>
      </c>
      <c r="H1200" t="b">
        <v>0</v>
      </c>
      <c r="I1200" t="b">
        <v>1</v>
      </c>
    </row>
    <row r="1201" spans="1:9" x14ac:dyDescent="0.2">
      <c r="A1201" t="s">
        <v>4240</v>
      </c>
      <c r="B1201" t="s">
        <v>2136</v>
      </c>
      <c r="D1201" t="b">
        <f>IFERROR(VLOOKUP(B1201,PatData!$A$2:$A$2000,1,),"")&lt;&gt;""</f>
        <v>1</v>
      </c>
      <c r="E1201" t="b">
        <v>0</v>
      </c>
      <c r="F1201" t="b">
        <v>0</v>
      </c>
      <c r="G1201" t="b">
        <v>1</v>
      </c>
      <c r="H1201" t="b">
        <v>0</v>
      </c>
      <c r="I1201" t="b">
        <v>1</v>
      </c>
    </row>
    <row r="1202" spans="1:9" x14ac:dyDescent="0.2">
      <c r="A1202" t="s">
        <v>4241</v>
      </c>
      <c r="B1202" t="s">
        <v>2137</v>
      </c>
      <c r="D1202" t="b">
        <f>IFERROR(VLOOKUP(B1202,PatData!$A$2:$A$2000,1,),"")&lt;&gt;""</f>
        <v>1</v>
      </c>
      <c r="E1202" t="b">
        <v>0</v>
      </c>
      <c r="F1202" t="b">
        <v>0</v>
      </c>
      <c r="G1202" t="b">
        <v>1</v>
      </c>
      <c r="H1202" t="b">
        <v>0</v>
      </c>
      <c r="I1202" t="b">
        <v>1</v>
      </c>
    </row>
    <row r="1203" spans="1:9" x14ac:dyDescent="0.2">
      <c r="A1203" t="s">
        <v>4242</v>
      </c>
      <c r="B1203" t="s">
        <v>2138</v>
      </c>
      <c r="D1203" t="b">
        <f>IFERROR(VLOOKUP(B1203,PatData!$A$2:$A$2000,1,),"")&lt;&gt;""</f>
        <v>1</v>
      </c>
      <c r="E1203" t="b">
        <v>0</v>
      </c>
      <c r="F1203" t="b">
        <v>0</v>
      </c>
      <c r="G1203" t="b">
        <v>1</v>
      </c>
      <c r="H1203" t="b">
        <v>0</v>
      </c>
      <c r="I1203" t="b">
        <v>1</v>
      </c>
    </row>
    <row r="1204" spans="1:9" x14ac:dyDescent="0.2">
      <c r="A1204" t="s">
        <v>4243</v>
      </c>
      <c r="B1204" t="s">
        <v>2139</v>
      </c>
      <c r="D1204" t="b">
        <f>IFERROR(VLOOKUP(B1204,PatData!$A$2:$A$2000,1,),"")&lt;&gt;""</f>
        <v>1</v>
      </c>
      <c r="E1204" t="b">
        <v>0</v>
      </c>
      <c r="F1204" t="b">
        <v>0</v>
      </c>
      <c r="G1204" t="b">
        <v>1</v>
      </c>
      <c r="H1204" t="b">
        <v>0</v>
      </c>
      <c r="I1204" t="b">
        <v>1</v>
      </c>
    </row>
    <row r="1205" spans="1:9" x14ac:dyDescent="0.2">
      <c r="A1205" t="s">
        <v>4244</v>
      </c>
      <c r="B1205" t="s">
        <v>2140</v>
      </c>
      <c r="D1205" t="b">
        <f>IFERROR(VLOOKUP(B1205,PatData!$A$2:$A$2000,1,),"")&lt;&gt;""</f>
        <v>1</v>
      </c>
      <c r="E1205" t="b">
        <v>0</v>
      </c>
      <c r="F1205" t="b">
        <v>0</v>
      </c>
      <c r="G1205" t="b">
        <v>1</v>
      </c>
      <c r="H1205" t="b">
        <v>0</v>
      </c>
      <c r="I1205" t="b">
        <v>1</v>
      </c>
    </row>
    <row r="1206" spans="1:9" x14ac:dyDescent="0.2">
      <c r="A1206" t="s">
        <v>4245</v>
      </c>
      <c r="B1206" t="s">
        <v>2141</v>
      </c>
      <c r="D1206" t="b">
        <f>IFERROR(VLOOKUP(B1206,PatData!$A$2:$A$2000,1,),"")&lt;&gt;""</f>
        <v>1</v>
      </c>
      <c r="E1206" t="b">
        <v>0</v>
      </c>
      <c r="F1206" t="b">
        <v>0</v>
      </c>
      <c r="G1206" t="b">
        <v>1</v>
      </c>
      <c r="H1206" t="b">
        <v>0</v>
      </c>
      <c r="I1206" t="b">
        <v>1</v>
      </c>
    </row>
    <row r="1207" spans="1:9" x14ac:dyDescent="0.2">
      <c r="A1207" t="s">
        <v>4246</v>
      </c>
      <c r="B1207" t="s">
        <v>2142</v>
      </c>
      <c r="D1207" t="b">
        <f>IFERROR(VLOOKUP(B1207,PatData!$A$2:$A$2000,1,),"")&lt;&gt;""</f>
        <v>1</v>
      </c>
      <c r="E1207" t="b">
        <v>0</v>
      </c>
      <c r="F1207" t="b">
        <v>0</v>
      </c>
      <c r="G1207" t="b">
        <v>1</v>
      </c>
      <c r="H1207" t="b">
        <v>0</v>
      </c>
      <c r="I1207" t="b">
        <v>1</v>
      </c>
    </row>
    <row r="1208" spans="1:9" x14ac:dyDescent="0.2">
      <c r="A1208" t="s">
        <v>4247</v>
      </c>
      <c r="B1208" t="s">
        <v>2143</v>
      </c>
      <c r="D1208" t="b">
        <f>IFERROR(VLOOKUP(B1208,PatData!$A$2:$A$2000,1,),"")&lt;&gt;""</f>
        <v>1</v>
      </c>
      <c r="E1208" t="b">
        <v>0</v>
      </c>
      <c r="F1208" t="b">
        <v>0</v>
      </c>
      <c r="G1208" t="b">
        <v>1</v>
      </c>
      <c r="H1208" t="b">
        <v>0</v>
      </c>
      <c r="I1208" t="b">
        <v>1</v>
      </c>
    </row>
    <row r="1209" spans="1:9" x14ac:dyDescent="0.2">
      <c r="A1209" t="s">
        <v>4248</v>
      </c>
      <c r="B1209" t="s">
        <v>2144</v>
      </c>
      <c r="D1209" t="b">
        <f>IFERROR(VLOOKUP(B1209,PatData!$A$2:$A$2000,1,),"")&lt;&gt;""</f>
        <v>1</v>
      </c>
      <c r="E1209" t="b">
        <v>0</v>
      </c>
      <c r="F1209" t="b">
        <v>0</v>
      </c>
      <c r="G1209" t="b">
        <v>1</v>
      </c>
      <c r="H1209" t="b">
        <v>0</v>
      </c>
      <c r="I1209" t="b">
        <v>1</v>
      </c>
    </row>
    <row r="1210" spans="1:9" x14ac:dyDescent="0.2">
      <c r="A1210" t="s">
        <v>4249</v>
      </c>
      <c r="B1210" t="s">
        <v>2145</v>
      </c>
      <c r="D1210" t="b">
        <f>IFERROR(VLOOKUP(B1210,PatData!$A$2:$A$2000,1,),"")&lt;&gt;""</f>
        <v>1</v>
      </c>
      <c r="E1210" t="b">
        <v>0</v>
      </c>
      <c r="F1210" t="b">
        <v>0</v>
      </c>
      <c r="G1210" t="b">
        <v>1</v>
      </c>
      <c r="H1210" t="b">
        <v>0</v>
      </c>
      <c r="I1210" t="b">
        <v>1</v>
      </c>
    </row>
    <row r="1211" spans="1:9" x14ac:dyDescent="0.2">
      <c r="A1211" t="s">
        <v>4250</v>
      </c>
      <c r="B1211" t="s">
        <v>2146</v>
      </c>
      <c r="D1211" t="b">
        <f>IFERROR(VLOOKUP(B1211,PatData!$A$2:$A$2000,1,),"")&lt;&gt;""</f>
        <v>1</v>
      </c>
      <c r="E1211" t="b">
        <v>0</v>
      </c>
      <c r="F1211" t="b">
        <v>0</v>
      </c>
      <c r="G1211" t="b">
        <v>1</v>
      </c>
      <c r="H1211" t="b">
        <v>0</v>
      </c>
      <c r="I1211" t="b">
        <v>1</v>
      </c>
    </row>
    <row r="1212" spans="1:9" x14ac:dyDescent="0.2">
      <c r="A1212" t="s">
        <v>4251</v>
      </c>
      <c r="B1212" t="s">
        <v>2147</v>
      </c>
      <c r="D1212" t="b">
        <f>IFERROR(VLOOKUP(B1212,PatData!$A$2:$A$2000,1,),"")&lt;&gt;""</f>
        <v>1</v>
      </c>
      <c r="E1212" t="b">
        <v>0</v>
      </c>
      <c r="F1212" t="b">
        <v>0</v>
      </c>
      <c r="G1212" t="b">
        <v>1</v>
      </c>
      <c r="H1212" t="b">
        <v>0</v>
      </c>
      <c r="I1212" t="b">
        <v>1</v>
      </c>
    </row>
    <row r="1213" spans="1:9" x14ac:dyDescent="0.2">
      <c r="A1213" t="s">
        <v>4252</v>
      </c>
      <c r="B1213" t="s">
        <v>2148</v>
      </c>
      <c r="D1213" t="b">
        <f>IFERROR(VLOOKUP(B1213,PatData!$A$2:$A$2000,1,),"")&lt;&gt;""</f>
        <v>1</v>
      </c>
      <c r="E1213" t="b">
        <v>0</v>
      </c>
      <c r="F1213" t="b">
        <v>0</v>
      </c>
      <c r="G1213" t="b">
        <v>1</v>
      </c>
      <c r="H1213" t="b">
        <v>0</v>
      </c>
      <c r="I1213" t="b">
        <v>1</v>
      </c>
    </row>
    <row r="1214" spans="1:9" x14ac:dyDescent="0.2">
      <c r="A1214" t="s">
        <v>4253</v>
      </c>
      <c r="B1214" t="s">
        <v>2149</v>
      </c>
      <c r="D1214" t="b">
        <f>IFERROR(VLOOKUP(B1214,PatData!$A$2:$A$2000,1,),"")&lt;&gt;""</f>
        <v>1</v>
      </c>
      <c r="E1214" t="b">
        <v>0</v>
      </c>
      <c r="F1214" t="b">
        <v>0</v>
      </c>
      <c r="G1214" t="b">
        <v>1</v>
      </c>
      <c r="H1214" t="b">
        <v>0</v>
      </c>
      <c r="I1214" t="b">
        <v>1</v>
      </c>
    </row>
    <row r="1215" spans="1:9" x14ac:dyDescent="0.2">
      <c r="A1215" t="s">
        <v>4254</v>
      </c>
      <c r="B1215" t="s">
        <v>2150</v>
      </c>
      <c r="D1215" t="b">
        <f>IFERROR(VLOOKUP(B1215,PatData!$A$2:$A$2000,1,),"")&lt;&gt;""</f>
        <v>1</v>
      </c>
      <c r="E1215" t="b">
        <v>0</v>
      </c>
      <c r="F1215" t="b">
        <v>0</v>
      </c>
      <c r="G1215" t="b">
        <v>1</v>
      </c>
      <c r="H1215" t="b">
        <v>0</v>
      </c>
      <c r="I1215" t="b">
        <v>1</v>
      </c>
    </row>
    <row r="1216" spans="1:9" x14ac:dyDescent="0.2">
      <c r="A1216" t="s">
        <v>4255</v>
      </c>
      <c r="B1216" t="s">
        <v>2151</v>
      </c>
      <c r="D1216" t="b">
        <f>IFERROR(VLOOKUP(B1216,PatData!$A$2:$A$2000,1,),"")&lt;&gt;""</f>
        <v>1</v>
      </c>
      <c r="E1216" t="b">
        <v>0</v>
      </c>
      <c r="F1216" t="b">
        <v>0</v>
      </c>
      <c r="G1216" t="b">
        <v>1</v>
      </c>
      <c r="H1216" t="b">
        <v>0</v>
      </c>
      <c r="I1216" t="b">
        <v>1</v>
      </c>
    </row>
    <row r="1217" spans="1:9" x14ac:dyDescent="0.2">
      <c r="A1217" t="s">
        <v>4256</v>
      </c>
      <c r="B1217" t="s">
        <v>2152</v>
      </c>
      <c r="D1217" t="b">
        <f>IFERROR(VLOOKUP(B1217,PatData!$A$2:$A$2000,1,),"")&lt;&gt;""</f>
        <v>1</v>
      </c>
      <c r="E1217" t="b">
        <v>0</v>
      </c>
      <c r="F1217" t="b">
        <v>0</v>
      </c>
      <c r="G1217" t="b">
        <v>1</v>
      </c>
      <c r="H1217" t="b">
        <v>0</v>
      </c>
      <c r="I1217" t="b">
        <v>1</v>
      </c>
    </row>
    <row r="1218" spans="1:9" x14ac:dyDescent="0.2">
      <c r="A1218" t="s">
        <v>4257</v>
      </c>
      <c r="B1218" t="s">
        <v>2153</v>
      </c>
      <c r="D1218" t="b">
        <f>IFERROR(VLOOKUP(B1218,PatData!$A$2:$A$2000,1,),"")&lt;&gt;""</f>
        <v>1</v>
      </c>
      <c r="E1218" t="b">
        <v>0</v>
      </c>
      <c r="F1218" t="b">
        <v>0</v>
      </c>
      <c r="G1218" t="b">
        <v>1</v>
      </c>
      <c r="H1218" t="b">
        <v>0</v>
      </c>
      <c r="I1218" t="b">
        <v>1</v>
      </c>
    </row>
    <row r="1219" spans="1:9" x14ac:dyDescent="0.2">
      <c r="A1219" t="s">
        <v>4258</v>
      </c>
      <c r="B1219" t="s">
        <v>2154</v>
      </c>
      <c r="D1219" t="b">
        <f>IFERROR(VLOOKUP(B1219,PatData!$A$2:$A$2000,1,),"")&lt;&gt;""</f>
        <v>1</v>
      </c>
      <c r="E1219" t="b">
        <v>0</v>
      </c>
      <c r="F1219" t="b">
        <v>0</v>
      </c>
      <c r="G1219" t="b">
        <v>1</v>
      </c>
      <c r="H1219" t="b">
        <v>0</v>
      </c>
      <c r="I1219" t="b">
        <v>1</v>
      </c>
    </row>
    <row r="1220" spans="1:9" x14ac:dyDescent="0.2">
      <c r="A1220" t="s">
        <v>4259</v>
      </c>
      <c r="B1220" t="s">
        <v>2155</v>
      </c>
      <c r="D1220" t="b">
        <f>IFERROR(VLOOKUP(B1220,PatData!$A$2:$A$2000,1,),"")&lt;&gt;""</f>
        <v>1</v>
      </c>
      <c r="E1220" t="b">
        <v>0</v>
      </c>
      <c r="F1220" t="b">
        <v>0</v>
      </c>
      <c r="G1220" t="b">
        <v>1</v>
      </c>
      <c r="H1220" t="b">
        <v>0</v>
      </c>
      <c r="I1220" t="b">
        <v>1</v>
      </c>
    </row>
    <row r="1221" spans="1:9" x14ac:dyDescent="0.2">
      <c r="A1221" t="s">
        <v>4260</v>
      </c>
      <c r="B1221" t="s">
        <v>2156</v>
      </c>
      <c r="D1221" t="b">
        <f>IFERROR(VLOOKUP(B1221,PatData!$A$2:$A$2000,1,),"")&lt;&gt;""</f>
        <v>1</v>
      </c>
      <c r="E1221" t="b">
        <v>0</v>
      </c>
      <c r="F1221" t="b">
        <v>0</v>
      </c>
      <c r="G1221" t="b">
        <v>1</v>
      </c>
      <c r="H1221" t="b">
        <v>0</v>
      </c>
      <c r="I1221" t="b">
        <v>1</v>
      </c>
    </row>
    <row r="1222" spans="1:9" x14ac:dyDescent="0.2">
      <c r="A1222" t="s">
        <v>4261</v>
      </c>
      <c r="B1222" t="s">
        <v>2157</v>
      </c>
      <c r="D1222" t="b">
        <f>IFERROR(VLOOKUP(B1222,PatData!$A$2:$A$2000,1,),"")&lt;&gt;""</f>
        <v>1</v>
      </c>
      <c r="E1222" t="b">
        <v>0</v>
      </c>
      <c r="F1222" t="b">
        <v>0</v>
      </c>
      <c r="G1222" t="b">
        <v>1</v>
      </c>
      <c r="H1222" t="b">
        <v>0</v>
      </c>
      <c r="I1222" t="b">
        <v>1</v>
      </c>
    </row>
    <row r="1223" spans="1:9" x14ac:dyDescent="0.2">
      <c r="A1223" t="s">
        <v>4262</v>
      </c>
      <c r="B1223" t="s">
        <v>2158</v>
      </c>
      <c r="D1223" t="b">
        <f>IFERROR(VLOOKUP(B1223,PatData!$A$2:$A$2000,1,),"")&lt;&gt;""</f>
        <v>1</v>
      </c>
      <c r="E1223" t="b">
        <v>0</v>
      </c>
      <c r="F1223" t="b">
        <v>0</v>
      </c>
      <c r="G1223" t="b">
        <v>1</v>
      </c>
      <c r="H1223" t="b">
        <v>0</v>
      </c>
      <c r="I1223" t="b">
        <v>1</v>
      </c>
    </row>
    <row r="1224" spans="1:9" x14ac:dyDescent="0.2">
      <c r="A1224" t="s">
        <v>4263</v>
      </c>
      <c r="B1224" t="s">
        <v>2159</v>
      </c>
      <c r="D1224" t="b">
        <f>IFERROR(VLOOKUP(B1224,PatData!$A$2:$A$2000,1,),"")&lt;&gt;""</f>
        <v>1</v>
      </c>
      <c r="E1224" t="b">
        <v>0</v>
      </c>
      <c r="F1224" t="b">
        <v>0</v>
      </c>
      <c r="G1224" t="b">
        <v>1</v>
      </c>
      <c r="H1224" t="b">
        <v>0</v>
      </c>
      <c r="I1224" t="b">
        <v>1</v>
      </c>
    </row>
    <row r="1225" spans="1:9" x14ac:dyDescent="0.2">
      <c r="A1225" t="s">
        <v>4264</v>
      </c>
      <c r="B1225" t="s">
        <v>2160</v>
      </c>
      <c r="D1225" t="b">
        <f>IFERROR(VLOOKUP(B1225,PatData!$A$2:$A$2000,1,),"")&lt;&gt;""</f>
        <v>1</v>
      </c>
      <c r="E1225" t="b">
        <v>0</v>
      </c>
      <c r="F1225" t="b">
        <v>0</v>
      </c>
      <c r="G1225" t="b">
        <v>1</v>
      </c>
      <c r="H1225" t="b">
        <v>0</v>
      </c>
      <c r="I1225" t="b">
        <v>1</v>
      </c>
    </row>
    <row r="1226" spans="1:9" x14ac:dyDescent="0.2">
      <c r="A1226" t="s">
        <v>4265</v>
      </c>
      <c r="B1226" t="s">
        <v>2161</v>
      </c>
      <c r="D1226" t="b">
        <f>IFERROR(VLOOKUP(B1226,PatData!$A$2:$A$2000,1,),"")&lt;&gt;""</f>
        <v>1</v>
      </c>
      <c r="E1226" t="b">
        <v>0</v>
      </c>
      <c r="F1226" t="b">
        <v>0</v>
      </c>
      <c r="G1226" t="b">
        <v>1</v>
      </c>
      <c r="H1226" t="b">
        <v>0</v>
      </c>
      <c r="I1226" t="b">
        <v>1</v>
      </c>
    </row>
    <row r="1227" spans="1:9" x14ac:dyDescent="0.2">
      <c r="A1227" t="s">
        <v>4266</v>
      </c>
      <c r="B1227" t="s">
        <v>2162</v>
      </c>
      <c r="D1227" t="b">
        <f>IFERROR(VLOOKUP(B1227,PatData!$A$2:$A$2000,1,),"")&lt;&gt;""</f>
        <v>1</v>
      </c>
      <c r="E1227" t="b">
        <v>0</v>
      </c>
      <c r="F1227" t="b">
        <v>0</v>
      </c>
      <c r="G1227" t="b">
        <v>1</v>
      </c>
      <c r="H1227" t="b">
        <v>0</v>
      </c>
      <c r="I1227" t="b">
        <v>1</v>
      </c>
    </row>
    <row r="1228" spans="1:9" x14ac:dyDescent="0.2">
      <c r="A1228" t="s">
        <v>4267</v>
      </c>
      <c r="B1228" t="s">
        <v>2163</v>
      </c>
      <c r="D1228" t="b">
        <f>IFERROR(VLOOKUP(B1228,PatData!$A$2:$A$2000,1,),"")&lt;&gt;""</f>
        <v>1</v>
      </c>
      <c r="E1228" t="b">
        <v>0</v>
      </c>
      <c r="F1228" t="b">
        <v>0</v>
      </c>
      <c r="G1228" t="b">
        <v>1</v>
      </c>
      <c r="H1228" t="b">
        <v>0</v>
      </c>
      <c r="I1228" t="b">
        <v>1</v>
      </c>
    </row>
    <row r="1229" spans="1:9" x14ac:dyDescent="0.2">
      <c r="A1229" t="s">
        <v>4268</v>
      </c>
      <c r="B1229" t="s">
        <v>2164</v>
      </c>
      <c r="D1229" t="b">
        <f>IFERROR(VLOOKUP(B1229,PatData!$A$2:$A$2000,1,),"")&lt;&gt;""</f>
        <v>1</v>
      </c>
      <c r="E1229" t="b">
        <v>0</v>
      </c>
      <c r="F1229" t="b">
        <v>0</v>
      </c>
      <c r="G1229" t="b">
        <v>1</v>
      </c>
      <c r="H1229" t="b">
        <v>0</v>
      </c>
      <c r="I1229" t="b">
        <v>1</v>
      </c>
    </row>
    <row r="1230" spans="1:9" x14ac:dyDescent="0.2">
      <c r="A1230" t="s">
        <v>4269</v>
      </c>
      <c r="B1230" t="s">
        <v>2165</v>
      </c>
      <c r="D1230" t="b">
        <f>IFERROR(VLOOKUP(B1230,PatData!$A$2:$A$2000,1,),"")&lt;&gt;""</f>
        <v>1</v>
      </c>
      <c r="E1230" t="b">
        <v>0</v>
      </c>
      <c r="F1230" t="b">
        <v>0</v>
      </c>
      <c r="G1230" t="b">
        <v>1</v>
      </c>
      <c r="H1230" t="b">
        <v>0</v>
      </c>
      <c r="I1230" t="b">
        <v>1</v>
      </c>
    </row>
    <row r="1231" spans="1:9" x14ac:dyDescent="0.2">
      <c r="A1231" t="s">
        <v>4270</v>
      </c>
      <c r="B1231" t="s">
        <v>2166</v>
      </c>
      <c r="D1231" t="b">
        <f>IFERROR(VLOOKUP(B1231,PatData!$A$2:$A$2000,1,),"")&lt;&gt;""</f>
        <v>1</v>
      </c>
      <c r="E1231" t="b">
        <v>0</v>
      </c>
      <c r="F1231" t="b">
        <v>0</v>
      </c>
      <c r="G1231" t="b">
        <v>1</v>
      </c>
      <c r="H1231" t="b">
        <v>0</v>
      </c>
      <c r="I1231" t="b">
        <v>1</v>
      </c>
    </row>
    <row r="1232" spans="1:9" x14ac:dyDescent="0.2">
      <c r="A1232" t="s">
        <v>4271</v>
      </c>
      <c r="B1232" t="s">
        <v>2167</v>
      </c>
      <c r="D1232" t="b">
        <f>IFERROR(VLOOKUP(B1232,PatData!$A$2:$A$2000,1,),"")&lt;&gt;""</f>
        <v>1</v>
      </c>
      <c r="E1232" t="b">
        <v>0</v>
      </c>
      <c r="F1232" t="b">
        <v>0</v>
      </c>
      <c r="G1232" t="b">
        <v>1</v>
      </c>
      <c r="H1232" t="b">
        <v>0</v>
      </c>
      <c r="I1232" t="b">
        <v>1</v>
      </c>
    </row>
    <row r="1233" spans="1:9" x14ac:dyDescent="0.2">
      <c r="A1233" t="s">
        <v>4272</v>
      </c>
      <c r="B1233" t="s">
        <v>2168</v>
      </c>
      <c r="D1233" t="b">
        <f>IFERROR(VLOOKUP(B1233,PatData!$A$2:$A$2000,1,),"")&lt;&gt;""</f>
        <v>1</v>
      </c>
      <c r="E1233" t="b">
        <v>0</v>
      </c>
      <c r="F1233" t="b">
        <v>0</v>
      </c>
      <c r="G1233" t="b">
        <v>1</v>
      </c>
      <c r="H1233" t="b">
        <v>0</v>
      </c>
      <c r="I1233" t="b">
        <v>1</v>
      </c>
    </row>
    <row r="1234" spans="1:9" x14ac:dyDescent="0.2">
      <c r="A1234" t="s">
        <v>4273</v>
      </c>
      <c r="B1234" t="s">
        <v>2169</v>
      </c>
      <c r="D1234" t="b">
        <f>IFERROR(VLOOKUP(B1234,PatData!$A$2:$A$2000,1,),"")&lt;&gt;""</f>
        <v>1</v>
      </c>
      <c r="E1234">
        <v>0</v>
      </c>
      <c r="F1234" t="b">
        <v>0</v>
      </c>
      <c r="G1234" t="b">
        <v>1</v>
      </c>
      <c r="H1234" t="b">
        <v>0</v>
      </c>
      <c r="I1234" t="b">
        <v>1</v>
      </c>
    </row>
    <row r="1235" spans="1:9" x14ac:dyDescent="0.2">
      <c r="A1235" t="s">
        <v>4274</v>
      </c>
      <c r="B1235" t="s">
        <v>2170</v>
      </c>
      <c r="D1235" t="b">
        <f>IFERROR(VLOOKUP(B1235,PatData!$A$2:$A$2000,1,),"")&lt;&gt;""</f>
        <v>1</v>
      </c>
      <c r="E1235">
        <v>0</v>
      </c>
      <c r="F1235" t="b">
        <v>0</v>
      </c>
      <c r="G1235" t="b">
        <v>1</v>
      </c>
      <c r="H1235" t="b">
        <v>0</v>
      </c>
      <c r="I1235" t="b">
        <v>1</v>
      </c>
    </row>
    <row r="1236" spans="1:9" x14ac:dyDescent="0.2">
      <c r="A1236" t="s">
        <v>4275</v>
      </c>
      <c r="B1236" t="s">
        <v>2171</v>
      </c>
      <c r="D1236" t="b">
        <f>IFERROR(VLOOKUP(B1236,PatData!$A$2:$A$2000,1,),"")&lt;&gt;""</f>
        <v>1</v>
      </c>
      <c r="E1236">
        <v>0</v>
      </c>
      <c r="F1236" t="b">
        <v>0</v>
      </c>
      <c r="G1236" t="b">
        <v>1</v>
      </c>
      <c r="H1236" t="b">
        <v>0</v>
      </c>
      <c r="I1236" t="b">
        <v>1</v>
      </c>
    </row>
    <row r="1237" spans="1:9" x14ac:dyDescent="0.2">
      <c r="A1237" t="s">
        <v>4276</v>
      </c>
      <c r="B1237" t="s">
        <v>2172</v>
      </c>
      <c r="D1237" t="b">
        <f>IFERROR(VLOOKUP(B1237,PatData!$A$2:$A$2000,1,),"")&lt;&gt;""</f>
        <v>1</v>
      </c>
      <c r="E1237">
        <v>0</v>
      </c>
      <c r="F1237" t="b">
        <v>0</v>
      </c>
      <c r="G1237" t="b">
        <v>1</v>
      </c>
      <c r="H1237" t="b">
        <v>0</v>
      </c>
      <c r="I1237" t="b">
        <v>1</v>
      </c>
    </row>
    <row r="1238" spans="1:9" x14ac:dyDescent="0.2">
      <c r="A1238" t="s">
        <v>4277</v>
      </c>
      <c r="B1238" t="s">
        <v>2173</v>
      </c>
      <c r="D1238" t="b">
        <f>IFERROR(VLOOKUP(B1238,PatData!$A$2:$A$2000,1,),"")&lt;&gt;""</f>
        <v>1</v>
      </c>
      <c r="E1238">
        <v>0</v>
      </c>
      <c r="F1238" t="b">
        <v>0</v>
      </c>
      <c r="G1238" t="b">
        <v>1</v>
      </c>
      <c r="H1238" t="b">
        <v>0</v>
      </c>
      <c r="I1238" t="b">
        <v>1</v>
      </c>
    </row>
    <row r="1239" spans="1:9" x14ac:dyDescent="0.2">
      <c r="A1239" t="s">
        <v>4278</v>
      </c>
      <c r="B1239" t="s">
        <v>2174</v>
      </c>
      <c r="D1239" t="b">
        <f>IFERROR(VLOOKUP(B1239,PatData!$A$2:$A$2000,1,),"")&lt;&gt;""</f>
        <v>1</v>
      </c>
      <c r="E1239">
        <v>0</v>
      </c>
      <c r="F1239" t="b">
        <v>0</v>
      </c>
      <c r="G1239" t="b">
        <v>1</v>
      </c>
      <c r="H1239" t="b">
        <v>0</v>
      </c>
      <c r="I1239" t="b">
        <v>1</v>
      </c>
    </row>
    <row r="1240" spans="1:9" x14ac:dyDescent="0.2">
      <c r="A1240" t="s">
        <v>4279</v>
      </c>
      <c r="B1240" t="s">
        <v>2175</v>
      </c>
      <c r="D1240" t="b">
        <f>IFERROR(VLOOKUP(B1240,PatData!$A$2:$A$2000,1,),"")&lt;&gt;""</f>
        <v>1</v>
      </c>
      <c r="E1240">
        <v>0</v>
      </c>
      <c r="F1240" t="b">
        <v>0</v>
      </c>
      <c r="G1240" t="b">
        <v>1</v>
      </c>
      <c r="H1240" t="b">
        <v>0</v>
      </c>
      <c r="I1240" t="b">
        <v>1</v>
      </c>
    </row>
    <row r="1241" spans="1:9" x14ac:dyDescent="0.2">
      <c r="A1241" t="s">
        <v>4280</v>
      </c>
      <c r="B1241" t="s">
        <v>2176</v>
      </c>
      <c r="D1241" t="b">
        <f>IFERROR(VLOOKUP(B1241,PatData!$A$2:$A$2000,1,),"")&lt;&gt;""</f>
        <v>1</v>
      </c>
      <c r="E1241">
        <v>0</v>
      </c>
      <c r="F1241" t="b">
        <v>0</v>
      </c>
      <c r="G1241" t="b">
        <v>1</v>
      </c>
      <c r="H1241" t="b">
        <v>0</v>
      </c>
      <c r="I1241" t="b">
        <v>1</v>
      </c>
    </row>
    <row r="1242" spans="1:9" x14ac:dyDescent="0.2">
      <c r="A1242" t="s">
        <v>4281</v>
      </c>
      <c r="B1242" t="s">
        <v>2177</v>
      </c>
      <c r="D1242" t="b">
        <f>IFERROR(VLOOKUP(B1242,PatData!$A$2:$A$2000,1,),"")&lt;&gt;""</f>
        <v>1</v>
      </c>
      <c r="E1242">
        <v>0</v>
      </c>
      <c r="F1242" t="b">
        <v>0</v>
      </c>
      <c r="G1242" t="b">
        <v>1</v>
      </c>
      <c r="H1242" t="b">
        <v>0</v>
      </c>
      <c r="I1242" t="b">
        <v>1</v>
      </c>
    </row>
    <row r="1243" spans="1:9" x14ac:dyDescent="0.2">
      <c r="A1243" t="s">
        <v>4282</v>
      </c>
      <c r="B1243" t="s">
        <v>2178</v>
      </c>
      <c r="D1243" t="b">
        <f>IFERROR(VLOOKUP(B1243,PatData!$A$2:$A$2000,1,),"")&lt;&gt;""</f>
        <v>1</v>
      </c>
      <c r="E1243"/>
      <c r="F1243" t="b">
        <v>0</v>
      </c>
      <c r="G1243" t="b">
        <v>1</v>
      </c>
      <c r="H1243" t="b">
        <v>0</v>
      </c>
      <c r="I1243" t="b">
        <v>1</v>
      </c>
    </row>
    <row r="1244" spans="1:9" x14ac:dyDescent="0.2">
      <c r="A1244" t="s">
        <v>4283</v>
      </c>
      <c r="B1244" t="s">
        <v>2179</v>
      </c>
      <c r="D1244" t="b">
        <f>IFERROR(VLOOKUP(B1244,PatData!$A$2:$A$2000,1,),"")&lt;&gt;""</f>
        <v>1</v>
      </c>
      <c r="E1244">
        <v>0</v>
      </c>
      <c r="F1244" t="b">
        <v>0</v>
      </c>
      <c r="G1244" t="b">
        <v>1</v>
      </c>
      <c r="H1244" t="b">
        <v>0</v>
      </c>
      <c r="I1244" t="b">
        <v>1</v>
      </c>
    </row>
    <row r="1245" spans="1:9" x14ac:dyDescent="0.2">
      <c r="A1245" t="s">
        <v>4284</v>
      </c>
      <c r="B1245" t="s">
        <v>2180</v>
      </c>
      <c r="D1245" t="b">
        <f>IFERROR(VLOOKUP(B1245,PatData!$A$2:$A$2000,1,),"")&lt;&gt;""</f>
        <v>1</v>
      </c>
      <c r="E1245">
        <v>1</v>
      </c>
      <c r="F1245" t="b">
        <v>0</v>
      </c>
      <c r="G1245" t="b">
        <v>1</v>
      </c>
      <c r="H1245" t="b">
        <v>0</v>
      </c>
      <c r="I1245" t="b">
        <v>1</v>
      </c>
    </row>
    <row r="1246" spans="1:9" x14ac:dyDescent="0.2">
      <c r="A1246" t="s">
        <v>4285</v>
      </c>
      <c r="B1246" t="s">
        <v>2181</v>
      </c>
      <c r="D1246" t="b">
        <f>IFERROR(VLOOKUP(B1246,PatData!$A$2:$A$2000,1,),"")&lt;&gt;""</f>
        <v>1</v>
      </c>
      <c r="E1246">
        <v>1</v>
      </c>
      <c r="F1246" t="b">
        <v>0</v>
      </c>
      <c r="G1246" t="b">
        <v>1</v>
      </c>
      <c r="H1246" t="b">
        <v>0</v>
      </c>
      <c r="I1246" t="b">
        <v>1</v>
      </c>
    </row>
    <row r="1247" spans="1:9" x14ac:dyDescent="0.2">
      <c r="A1247" t="s">
        <v>4286</v>
      </c>
      <c r="B1247" t="s">
        <v>2182</v>
      </c>
      <c r="D1247" t="b">
        <f>IFERROR(VLOOKUP(B1247,PatData!$A$2:$A$2000,1,),"")&lt;&gt;""</f>
        <v>1</v>
      </c>
      <c r="E1247">
        <v>1</v>
      </c>
      <c r="F1247" t="b">
        <v>0</v>
      </c>
      <c r="G1247" t="b">
        <v>1</v>
      </c>
      <c r="H1247" t="b">
        <v>0</v>
      </c>
      <c r="I1247" t="b">
        <v>1</v>
      </c>
    </row>
    <row r="1248" spans="1:9" x14ac:dyDescent="0.2">
      <c r="A1248" t="s">
        <v>4287</v>
      </c>
      <c r="B1248" t="s">
        <v>2183</v>
      </c>
      <c r="D1248" t="b">
        <f>IFERROR(VLOOKUP(B1248,PatData!$A$2:$A$2000,1,),"")&lt;&gt;""</f>
        <v>1</v>
      </c>
      <c r="E1248">
        <v>1</v>
      </c>
      <c r="F1248" t="b">
        <v>0</v>
      </c>
      <c r="G1248" t="b">
        <v>1</v>
      </c>
      <c r="H1248" t="b">
        <v>0</v>
      </c>
      <c r="I1248" t="b">
        <v>1</v>
      </c>
    </row>
    <row r="1249" spans="1:9" x14ac:dyDescent="0.2">
      <c r="A1249" t="s">
        <v>4288</v>
      </c>
      <c r="B1249" t="s">
        <v>2184</v>
      </c>
      <c r="D1249" t="b">
        <f>IFERROR(VLOOKUP(B1249,PatData!$A$2:$A$2000,1,),"")&lt;&gt;""</f>
        <v>1</v>
      </c>
      <c r="E1249">
        <v>1</v>
      </c>
      <c r="F1249" t="b">
        <v>0</v>
      </c>
      <c r="G1249" t="b">
        <v>1</v>
      </c>
      <c r="H1249" t="b">
        <v>0</v>
      </c>
      <c r="I1249" t="b">
        <v>1</v>
      </c>
    </row>
    <row r="1250" spans="1:9" x14ac:dyDescent="0.2">
      <c r="A1250" t="s">
        <v>4289</v>
      </c>
      <c r="B1250" t="s">
        <v>2185</v>
      </c>
      <c r="D1250" t="b">
        <f>IFERROR(VLOOKUP(B1250,PatData!$A$2:$A$2000,1,),"")&lt;&gt;""</f>
        <v>1</v>
      </c>
      <c r="E1250">
        <v>1</v>
      </c>
      <c r="F1250" t="b">
        <v>0</v>
      </c>
      <c r="G1250" t="b">
        <v>1</v>
      </c>
      <c r="H1250" t="b">
        <v>0</v>
      </c>
      <c r="I1250" t="b">
        <v>1</v>
      </c>
    </row>
    <row r="1251" spans="1:9" x14ac:dyDescent="0.2">
      <c r="A1251" t="s">
        <v>4290</v>
      </c>
      <c r="B1251" t="s">
        <v>2186</v>
      </c>
      <c r="D1251" t="b">
        <f>IFERROR(VLOOKUP(B1251,PatData!$A$2:$A$2000,1,),"")&lt;&gt;""</f>
        <v>1</v>
      </c>
      <c r="E1251">
        <v>1</v>
      </c>
      <c r="F1251" t="b">
        <v>0</v>
      </c>
      <c r="G1251" t="b">
        <v>1</v>
      </c>
      <c r="H1251" t="b">
        <v>0</v>
      </c>
      <c r="I1251" t="b">
        <v>1</v>
      </c>
    </row>
    <row r="1252" spans="1:9" x14ac:dyDescent="0.2">
      <c r="A1252" t="s">
        <v>4291</v>
      </c>
      <c r="B1252" t="s">
        <v>2187</v>
      </c>
      <c r="D1252" t="b">
        <f>IFERROR(VLOOKUP(B1252,PatData!$A$2:$A$2000,1,),"")&lt;&gt;""</f>
        <v>1</v>
      </c>
      <c r="E1252">
        <v>1</v>
      </c>
      <c r="F1252" t="b">
        <v>0</v>
      </c>
      <c r="G1252" t="b">
        <v>1</v>
      </c>
      <c r="H1252" t="b">
        <v>0</v>
      </c>
      <c r="I1252" t="b">
        <v>1</v>
      </c>
    </row>
    <row r="1253" spans="1:9" x14ac:dyDescent="0.2">
      <c r="A1253" t="s">
        <v>4292</v>
      </c>
      <c r="B1253" t="s">
        <v>2188</v>
      </c>
      <c r="D1253" t="b">
        <f>IFERROR(VLOOKUP(B1253,PatData!$A$2:$A$2000,1,),"")&lt;&gt;""</f>
        <v>1</v>
      </c>
      <c r="E1253">
        <v>1</v>
      </c>
      <c r="F1253" t="b">
        <v>0</v>
      </c>
      <c r="G1253" t="b">
        <v>1</v>
      </c>
      <c r="H1253" t="b">
        <v>0</v>
      </c>
      <c r="I1253" t="b">
        <v>1</v>
      </c>
    </row>
    <row r="1254" spans="1:9" x14ac:dyDescent="0.2">
      <c r="A1254" t="s">
        <v>4293</v>
      </c>
      <c r="B1254" t="s">
        <v>2189</v>
      </c>
      <c r="D1254" t="b">
        <f>IFERROR(VLOOKUP(B1254,PatData!$A$2:$A$2000,1,),"")&lt;&gt;""</f>
        <v>1</v>
      </c>
      <c r="E1254">
        <v>1</v>
      </c>
      <c r="F1254" t="b">
        <v>0</v>
      </c>
      <c r="G1254" t="b">
        <v>1</v>
      </c>
      <c r="H1254" t="b">
        <v>0</v>
      </c>
      <c r="I1254" t="b">
        <v>1</v>
      </c>
    </row>
    <row r="1255" spans="1:9" x14ac:dyDescent="0.2">
      <c r="A1255" t="s">
        <v>4294</v>
      </c>
      <c r="B1255" t="s">
        <v>3238</v>
      </c>
      <c r="D1255" t="b">
        <f>IFERROR(VLOOKUP(B1255,PatData!$A$2:$A$2000,1,),"")&lt;&gt;""</f>
        <v>1</v>
      </c>
      <c r="E1255"/>
      <c r="F1255" t="b">
        <v>0</v>
      </c>
      <c r="G1255" t="b">
        <v>1</v>
      </c>
      <c r="H1255" t="b">
        <v>0</v>
      </c>
      <c r="I1255" t="b">
        <v>1</v>
      </c>
    </row>
    <row r="1256" spans="1:9" x14ac:dyDescent="0.2">
      <c r="A1256" t="s">
        <v>4294</v>
      </c>
      <c r="B1256" t="s">
        <v>2190</v>
      </c>
      <c r="D1256" t="b">
        <f>IFERROR(VLOOKUP(B1256,PatData!$A$2:$A$2000,1,),"")&lt;&gt;""</f>
        <v>1</v>
      </c>
      <c r="E1256"/>
      <c r="F1256" t="b">
        <v>0</v>
      </c>
      <c r="G1256" t="b">
        <v>1</v>
      </c>
      <c r="H1256" t="b">
        <v>0</v>
      </c>
      <c r="I1256" t="b">
        <v>1</v>
      </c>
    </row>
    <row r="1257" spans="1:9" x14ac:dyDescent="0.2">
      <c r="A1257" t="s">
        <v>4295</v>
      </c>
      <c r="B1257" t="s">
        <v>2191</v>
      </c>
      <c r="D1257" t="b">
        <f>IFERROR(VLOOKUP(B1257,PatData!$A$2:$A$2000,1,),"")&lt;&gt;""</f>
        <v>1</v>
      </c>
      <c r="E1257">
        <v>0</v>
      </c>
      <c r="F1257" t="b">
        <v>0</v>
      </c>
      <c r="G1257" t="b">
        <v>1</v>
      </c>
      <c r="H1257" t="b">
        <v>0</v>
      </c>
      <c r="I1257" t="b">
        <v>1</v>
      </c>
    </row>
    <row r="1258" spans="1:9" x14ac:dyDescent="0.2">
      <c r="A1258" t="s">
        <v>4282</v>
      </c>
      <c r="B1258" t="s">
        <v>2006</v>
      </c>
      <c r="D1258" t="b">
        <f>IFERROR(VLOOKUP(B1258,PatData!$A$2:$A$2000,1,),"")&lt;&gt;""</f>
        <v>1</v>
      </c>
      <c r="E1258"/>
      <c r="F1258" t="b">
        <v>0</v>
      </c>
      <c r="G1258" t="b">
        <v>1</v>
      </c>
      <c r="H1258" t="b">
        <v>0</v>
      </c>
      <c r="I1258" t="b">
        <v>1</v>
      </c>
    </row>
    <row r="1259" spans="1:9" x14ac:dyDescent="0.2">
      <c r="A1259" t="s">
        <v>1234</v>
      </c>
      <c r="B1259" t="s">
        <v>3239</v>
      </c>
      <c r="D1259" t="b">
        <f>IFERROR(VLOOKUP(B1259,PatData!$A$2:$A$2000,1,),"")&lt;&gt;""</f>
        <v>1</v>
      </c>
      <c r="E1259">
        <v>1</v>
      </c>
      <c r="F1259" t="b">
        <v>0</v>
      </c>
      <c r="G1259" t="b">
        <v>1</v>
      </c>
      <c r="H1259" t="b">
        <v>0</v>
      </c>
      <c r="I1259" t="b">
        <v>1</v>
      </c>
    </row>
    <row r="1260" spans="1:9" x14ac:dyDescent="0.2">
      <c r="A1260" t="s">
        <v>1235</v>
      </c>
      <c r="B1260" t="s">
        <v>3240</v>
      </c>
      <c r="D1260" t="b">
        <f>IFERROR(VLOOKUP(B1260,PatData!$A$2:$A$2000,1,),"")&lt;&gt;""</f>
        <v>1</v>
      </c>
      <c r="E1260">
        <v>1</v>
      </c>
      <c r="F1260" t="b">
        <v>0</v>
      </c>
      <c r="G1260" t="b">
        <v>1</v>
      </c>
      <c r="H1260" t="b">
        <v>0</v>
      </c>
      <c r="I1260" t="b">
        <v>1</v>
      </c>
    </row>
    <row r="1261" spans="1:9" x14ac:dyDescent="0.2">
      <c r="A1261" t="s">
        <v>1236</v>
      </c>
      <c r="B1261" t="s">
        <v>3241</v>
      </c>
      <c r="D1261" t="b">
        <f>IFERROR(VLOOKUP(B1261,PatData!$A$2:$A$2000,1,),"")&lt;&gt;""</f>
        <v>1</v>
      </c>
      <c r="E1261">
        <v>1</v>
      </c>
      <c r="F1261" t="b">
        <v>0</v>
      </c>
      <c r="G1261" t="b">
        <v>1</v>
      </c>
      <c r="H1261" t="b">
        <v>0</v>
      </c>
      <c r="I1261" t="b">
        <v>1</v>
      </c>
    </row>
    <row r="1262" spans="1:9" x14ac:dyDescent="0.2">
      <c r="A1262" t="s">
        <v>1237</v>
      </c>
      <c r="B1262" t="s">
        <v>3242</v>
      </c>
      <c r="D1262" t="b">
        <f>IFERROR(VLOOKUP(B1262,PatData!$A$2:$A$2000,1,),"")&lt;&gt;""</f>
        <v>1</v>
      </c>
      <c r="E1262">
        <v>1</v>
      </c>
      <c r="F1262" t="b">
        <v>0</v>
      </c>
      <c r="G1262" t="b">
        <v>1</v>
      </c>
      <c r="H1262" t="b">
        <v>0</v>
      </c>
      <c r="I1262" t="b">
        <v>1</v>
      </c>
    </row>
    <row r="1263" spans="1:9" x14ac:dyDescent="0.2">
      <c r="A1263" t="s">
        <v>1238</v>
      </c>
      <c r="B1263" t="s">
        <v>3243</v>
      </c>
      <c r="D1263" t="b">
        <f>IFERROR(VLOOKUP(B1263,PatData!$A$2:$A$2000,1,),"")&lt;&gt;""</f>
        <v>1</v>
      </c>
      <c r="E1263">
        <v>1</v>
      </c>
      <c r="F1263" t="b">
        <v>0</v>
      </c>
      <c r="G1263" t="b">
        <v>1</v>
      </c>
      <c r="H1263" t="b">
        <v>0</v>
      </c>
      <c r="I1263" t="b">
        <v>1</v>
      </c>
    </row>
    <row r="1264" spans="1:9" x14ac:dyDescent="0.2">
      <c r="A1264" t="s">
        <v>1239</v>
      </c>
      <c r="B1264" t="s">
        <v>3244</v>
      </c>
      <c r="D1264" t="b">
        <f>IFERROR(VLOOKUP(B1264,PatData!$A$2:$A$2000,1,),"")&lt;&gt;""</f>
        <v>1</v>
      </c>
      <c r="E1264">
        <v>1</v>
      </c>
      <c r="F1264" t="b">
        <v>0</v>
      </c>
      <c r="G1264" t="b">
        <v>1</v>
      </c>
      <c r="H1264" t="b">
        <v>0</v>
      </c>
      <c r="I1264" t="b">
        <v>1</v>
      </c>
    </row>
    <row r="1265" spans="1:9" x14ac:dyDescent="0.2">
      <c r="A1265" t="s">
        <v>1240</v>
      </c>
      <c r="B1265" t="s">
        <v>3245</v>
      </c>
      <c r="D1265" t="b">
        <f>IFERROR(VLOOKUP(B1265,PatData!$A$2:$A$2000,1,),"")&lt;&gt;""</f>
        <v>1</v>
      </c>
      <c r="E1265">
        <v>1</v>
      </c>
      <c r="F1265" t="b">
        <v>0</v>
      </c>
      <c r="G1265" t="b">
        <v>1</v>
      </c>
      <c r="H1265" t="b">
        <v>0</v>
      </c>
      <c r="I1265" t="b">
        <v>1</v>
      </c>
    </row>
    <row r="1266" spans="1:9" x14ac:dyDescent="0.2">
      <c r="A1266" t="s">
        <v>1241</v>
      </c>
      <c r="B1266" t="s">
        <v>3246</v>
      </c>
      <c r="D1266" t="b">
        <f>IFERROR(VLOOKUP(B1266,PatData!$A$2:$A$2000,1,),"")&lt;&gt;""</f>
        <v>1</v>
      </c>
      <c r="E1266">
        <v>1</v>
      </c>
      <c r="F1266" t="b">
        <v>0</v>
      </c>
      <c r="G1266" t="b">
        <v>1</v>
      </c>
      <c r="H1266" t="b">
        <v>0</v>
      </c>
      <c r="I1266" t="b">
        <v>1</v>
      </c>
    </row>
    <row r="1267" spans="1:9" x14ac:dyDescent="0.2">
      <c r="A1267" t="s">
        <v>4719</v>
      </c>
      <c r="B1267" t="s">
        <v>3247</v>
      </c>
      <c r="D1267" t="b">
        <f>IFERROR(VLOOKUP(B1267,PatData!$A$2:$A$2000,1,),"")&lt;&gt;""</f>
        <v>1</v>
      </c>
      <c r="E1267"/>
      <c r="F1267" t="b">
        <v>0</v>
      </c>
      <c r="G1267" t="b">
        <v>1</v>
      </c>
      <c r="H1267" t="b">
        <v>0</v>
      </c>
      <c r="I1267" t="b">
        <v>1</v>
      </c>
    </row>
    <row r="1268" spans="1:9" x14ac:dyDescent="0.2">
      <c r="A1268" t="s">
        <v>1242</v>
      </c>
      <c r="B1268" t="s">
        <v>3248</v>
      </c>
      <c r="D1268" t="b">
        <f>IFERROR(VLOOKUP(B1268,PatData!$A$2:$A$2000,1,),"")&lt;&gt;""</f>
        <v>1</v>
      </c>
      <c r="E1268">
        <v>1</v>
      </c>
      <c r="F1268" t="b">
        <v>0</v>
      </c>
      <c r="G1268" t="b">
        <v>1</v>
      </c>
      <c r="H1268" t="b">
        <v>0</v>
      </c>
      <c r="I1268" t="b">
        <v>1</v>
      </c>
    </row>
    <row r="1269" spans="1:9" x14ac:dyDescent="0.2">
      <c r="A1269" t="s">
        <v>1243</v>
      </c>
      <c r="B1269" t="s">
        <v>3249</v>
      </c>
      <c r="D1269" t="b">
        <f>IFERROR(VLOOKUP(B1269,PatData!$A$2:$A$2000,1,),"")&lt;&gt;""</f>
        <v>1</v>
      </c>
      <c r="E1269">
        <v>0</v>
      </c>
      <c r="F1269" t="b">
        <v>0</v>
      </c>
      <c r="G1269" t="b">
        <v>1</v>
      </c>
      <c r="H1269" t="b">
        <v>0</v>
      </c>
      <c r="I1269" t="b">
        <v>1</v>
      </c>
    </row>
    <row r="1270" spans="1:9" x14ac:dyDescent="0.2">
      <c r="A1270" t="s">
        <v>1244</v>
      </c>
      <c r="B1270" t="s">
        <v>3250</v>
      </c>
      <c r="D1270" t="b">
        <f>IFERROR(VLOOKUP(B1270,PatData!$A$2:$A$2000,1,),"")&lt;&gt;""</f>
        <v>1</v>
      </c>
      <c r="E1270">
        <v>0</v>
      </c>
      <c r="F1270" t="b">
        <v>0</v>
      </c>
      <c r="G1270" t="b">
        <v>1</v>
      </c>
      <c r="H1270" t="b">
        <v>0</v>
      </c>
      <c r="I1270" t="b">
        <v>1</v>
      </c>
    </row>
    <row r="1271" spans="1:9" x14ac:dyDescent="0.2">
      <c r="A1271" t="s">
        <v>1245</v>
      </c>
      <c r="B1271" t="s">
        <v>3251</v>
      </c>
      <c r="D1271" t="b">
        <f>IFERROR(VLOOKUP(B1271,PatData!$A$2:$A$2000,1,),"")&lt;&gt;""</f>
        <v>1</v>
      </c>
      <c r="E1271">
        <v>0</v>
      </c>
      <c r="F1271" t="b">
        <v>0</v>
      </c>
      <c r="G1271" t="b">
        <v>1</v>
      </c>
      <c r="H1271" t="b">
        <v>0</v>
      </c>
      <c r="I1271" t="b">
        <v>1</v>
      </c>
    </row>
    <row r="1272" spans="1:9" x14ac:dyDescent="0.2">
      <c r="A1272" t="s">
        <v>1246</v>
      </c>
      <c r="B1272" t="s">
        <v>3252</v>
      </c>
      <c r="D1272" t="b">
        <f>IFERROR(VLOOKUP(B1272,PatData!$A$2:$A$2000,1,),"")&lt;&gt;""</f>
        <v>1</v>
      </c>
      <c r="E1272">
        <v>0</v>
      </c>
      <c r="F1272" t="b">
        <v>0</v>
      </c>
      <c r="G1272" t="b">
        <v>1</v>
      </c>
      <c r="H1272" t="b">
        <v>0</v>
      </c>
      <c r="I1272" t="b">
        <v>1</v>
      </c>
    </row>
    <row r="1273" spans="1:9" x14ac:dyDescent="0.2">
      <c r="A1273" t="s">
        <v>1247</v>
      </c>
      <c r="B1273" t="s">
        <v>3253</v>
      </c>
      <c r="D1273" t="b">
        <f>IFERROR(VLOOKUP(B1273,PatData!$A$2:$A$2000,1,),"")&lt;&gt;""</f>
        <v>1</v>
      </c>
      <c r="E1273">
        <v>0</v>
      </c>
      <c r="F1273" t="b">
        <v>0</v>
      </c>
      <c r="G1273" t="b">
        <v>1</v>
      </c>
      <c r="H1273" t="b">
        <v>0</v>
      </c>
      <c r="I1273" t="b">
        <v>1</v>
      </c>
    </row>
    <row r="1274" spans="1:9" x14ac:dyDescent="0.2">
      <c r="A1274" t="s">
        <v>1248</v>
      </c>
      <c r="B1274" t="s">
        <v>3254</v>
      </c>
      <c r="D1274" t="b">
        <f>IFERROR(VLOOKUP(B1274,PatData!$A$2:$A$2000,1,),"")&lt;&gt;""</f>
        <v>1</v>
      </c>
      <c r="E1274">
        <v>0</v>
      </c>
      <c r="F1274" t="b">
        <v>0</v>
      </c>
      <c r="G1274" t="b">
        <v>1</v>
      </c>
      <c r="H1274" t="b">
        <v>0</v>
      </c>
      <c r="I1274" t="b">
        <v>1</v>
      </c>
    </row>
    <row r="1275" spans="1:9" x14ac:dyDescent="0.2">
      <c r="A1275" t="s">
        <v>1249</v>
      </c>
      <c r="B1275" t="s">
        <v>3255</v>
      </c>
      <c r="D1275" t="b">
        <f>IFERROR(VLOOKUP(B1275,PatData!$A$2:$A$2000,1,),"")&lt;&gt;""</f>
        <v>1</v>
      </c>
      <c r="E1275">
        <v>0</v>
      </c>
      <c r="F1275" t="b">
        <v>0</v>
      </c>
      <c r="G1275" t="b">
        <v>1</v>
      </c>
      <c r="H1275" t="b">
        <v>0</v>
      </c>
      <c r="I1275" t="b">
        <v>1</v>
      </c>
    </row>
    <row r="1276" spans="1:9" x14ac:dyDescent="0.2">
      <c r="A1276" t="s">
        <v>1250</v>
      </c>
      <c r="B1276" t="s">
        <v>3256</v>
      </c>
      <c r="D1276" t="b">
        <f>IFERROR(VLOOKUP(B1276,PatData!$A$2:$A$2000,1,),"")&lt;&gt;""</f>
        <v>1</v>
      </c>
      <c r="E1276">
        <v>0</v>
      </c>
      <c r="F1276" t="b">
        <v>0</v>
      </c>
      <c r="G1276" t="b">
        <v>1</v>
      </c>
      <c r="H1276" t="b">
        <v>0</v>
      </c>
      <c r="I1276" t="b">
        <v>1</v>
      </c>
    </row>
    <row r="1277" spans="1:9" x14ac:dyDescent="0.2">
      <c r="A1277" t="s">
        <v>1251</v>
      </c>
      <c r="B1277" t="s">
        <v>3257</v>
      </c>
      <c r="D1277" t="b">
        <f>IFERROR(VLOOKUP(B1277,PatData!$A$2:$A$2000,1,),"")&lt;&gt;""</f>
        <v>1</v>
      </c>
      <c r="E1277">
        <v>0</v>
      </c>
      <c r="F1277" t="b">
        <v>0</v>
      </c>
      <c r="G1277" t="b">
        <v>1</v>
      </c>
      <c r="H1277" t="b">
        <v>0</v>
      </c>
      <c r="I1277" t="b">
        <v>1</v>
      </c>
    </row>
    <row r="1278" spans="1:9" x14ac:dyDescent="0.2">
      <c r="A1278" t="s">
        <v>1252</v>
      </c>
      <c r="B1278" t="s">
        <v>3258</v>
      </c>
      <c r="D1278" t="b">
        <f>IFERROR(VLOOKUP(B1278,PatData!$A$2:$A$2000,1,),"")&lt;&gt;""</f>
        <v>1</v>
      </c>
      <c r="E1278">
        <v>0</v>
      </c>
      <c r="F1278" t="b">
        <v>0</v>
      </c>
      <c r="G1278" t="b">
        <v>1</v>
      </c>
      <c r="H1278" t="b">
        <v>0</v>
      </c>
      <c r="I1278" t="b">
        <v>1</v>
      </c>
    </row>
    <row r="1279" spans="1:9" x14ac:dyDescent="0.2">
      <c r="A1279" t="s">
        <v>1253</v>
      </c>
      <c r="B1279" t="s">
        <v>3259</v>
      </c>
      <c r="D1279" t="b">
        <f>IFERROR(VLOOKUP(B1279,PatData!$A$2:$A$2000,1,),"")&lt;&gt;""</f>
        <v>1</v>
      </c>
      <c r="E1279">
        <v>0</v>
      </c>
      <c r="F1279" t="b">
        <v>0</v>
      </c>
      <c r="G1279" t="b">
        <v>1</v>
      </c>
      <c r="H1279" t="b">
        <v>0</v>
      </c>
      <c r="I1279" t="b">
        <v>1</v>
      </c>
    </row>
    <row r="1280" spans="1:9" x14ac:dyDescent="0.2">
      <c r="A1280" t="s">
        <v>1254</v>
      </c>
      <c r="B1280" t="s">
        <v>3260</v>
      </c>
      <c r="D1280" t="b">
        <f>IFERROR(VLOOKUP(B1280,PatData!$A$2:$A$2000,1,),"")&lt;&gt;""</f>
        <v>1</v>
      </c>
      <c r="E1280">
        <v>0</v>
      </c>
      <c r="F1280" t="b">
        <v>0</v>
      </c>
      <c r="G1280" t="b">
        <v>1</v>
      </c>
      <c r="H1280" t="b">
        <v>0</v>
      </c>
      <c r="I1280" t="b">
        <v>1</v>
      </c>
    </row>
    <row r="1281" spans="1:9" x14ac:dyDescent="0.2">
      <c r="A1281" t="s">
        <v>1255</v>
      </c>
      <c r="B1281" t="s">
        <v>3261</v>
      </c>
      <c r="D1281" t="b">
        <f>IFERROR(VLOOKUP(B1281,PatData!$A$2:$A$2000,1,),"")&lt;&gt;""</f>
        <v>1</v>
      </c>
      <c r="E1281">
        <v>0</v>
      </c>
      <c r="F1281" t="b">
        <v>0</v>
      </c>
      <c r="G1281" t="b">
        <v>1</v>
      </c>
      <c r="H1281" t="b">
        <v>0</v>
      </c>
      <c r="I1281" t="b">
        <v>1</v>
      </c>
    </row>
    <row r="1282" spans="1:9" x14ac:dyDescent="0.2">
      <c r="A1282" t="s">
        <v>1256</v>
      </c>
      <c r="B1282" t="s">
        <v>3262</v>
      </c>
      <c r="D1282" t="b">
        <f>IFERROR(VLOOKUP(B1282,PatData!$A$2:$A$2000,1,),"")&lt;&gt;""</f>
        <v>1</v>
      </c>
      <c r="E1282">
        <v>0</v>
      </c>
      <c r="F1282" t="b">
        <v>0</v>
      </c>
      <c r="G1282" t="b">
        <v>1</v>
      </c>
      <c r="H1282" t="b">
        <v>0</v>
      </c>
      <c r="I1282" t="b">
        <v>1</v>
      </c>
    </row>
    <row r="1283" spans="1:9" x14ac:dyDescent="0.2">
      <c r="A1283" t="s">
        <v>1257</v>
      </c>
      <c r="B1283" t="s">
        <v>3263</v>
      </c>
      <c r="D1283" t="b">
        <f>IFERROR(VLOOKUP(B1283,PatData!$A$2:$A$2000,1,),"")&lt;&gt;""</f>
        <v>1</v>
      </c>
      <c r="E1283">
        <v>0</v>
      </c>
      <c r="F1283" t="b">
        <v>0</v>
      </c>
      <c r="G1283" t="b">
        <v>1</v>
      </c>
      <c r="H1283" t="b">
        <v>0</v>
      </c>
      <c r="I1283" t="b">
        <v>1</v>
      </c>
    </row>
    <row r="1284" spans="1:9" x14ac:dyDescent="0.2">
      <c r="A1284" t="s">
        <v>1258</v>
      </c>
      <c r="B1284" t="s">
        <v>3264</v>
      </c>
      <c r="D1284" t="b">
        <f>IFERROR(VLOOKUP(B1284,PatData!$A$2:$A$2000,1,),"")&lt;&gt;""</f>
        <v>1</v>
      </c>
      <c r="E1284">
        <v>0</v>
      </c>
      <c r="F1284" t="b">
        <v>0</v>
      </c>
      <c r="G1284" t="b">
        <v>1</v>
      </c>
      <c r="H1284" t="b">
        <v>0</v>
      </c>
      <c r="I1284" t="b">
        <v>1</v>
      </c>
    </row>
    <row r="1285" spans="1:9" x14ac:dyDescent="0.2">
      <c r="A1285" t="s">
        <v>1259</v>
      </c>
      <c r="B1285" t="s">
        <v>1159</v>
      </c>
      <c r="D1285" t="b">
        <f>IFERROR(VLOOKUP(B1285,PatData!$A$2:$A$2000,1,),"")&lt;&gt;""</f>
        <v>1</v>
      </c>
      <c r="E1285">
        <v>1</v>
      </c>
      <c r="F1285" t="b">
        <v>0</v>
      </c>
      <c r="G1285" t="b">
        <v>1</v>
      </c>
      <c r="H1285" t="b">
        <v>0</v>
      </c>
      <c r="I1285" t="b">
        <v>1</v>
      </c>
    </row>
    <row r="1286" spans="1:9" x14ac:dyDescent="0.2">
      <c r="A1286" t="s">
        <v>1260</v>
      </c>
      <c r="B1286" t="s">
        <v>1160</v>
      </c>
      <c r="D1286" t="b">
        <f>IFERROR(VLOOKUP(B1286,PatData!$A$2:$A$2000,1,),"")&lt;&gt;""</f>
        <v>1</v>
      </c>
      <c r="E1286">
        <v>1</v>
      </c>
      <c r="F1286" t="b">
        <v>0</v>
      </c>
      <c r="G1286" t="b">
        <v>1</v>
      </c>
      <c r="H1286" t="b">
        <v>0</v>
      </c>
      <c r="I1286" t="b">
        <v>1</v>
      </c>
    </row>
    <row r="1287" spans="1:9" x14ac:dyDescent="0.2">
      <c r="A1287" t="s">
        <v>1261</v>
      </c>
      <c r="B1287" t="s">
        <v>1161</v>
      </c>
      <c r="D1287" t="b">
        <f>IFERROR(VLOOKUP(B1287,PatData!$A$2:$A$2000,1,),"")&lt;&gt;""</f>
        <v>1</v>
      </c>
      <c r="E1287">
        <v>1</v>
      </c>
      <c r="F1287" t="b">
        <v>0</v>
      </c>
      <c r="G1287" t="b">
        <v>1</v>
      </c>
      <c r="H1287" t="b">
        <v>0</v>
      </c>
      <c r="I1287" t="b">
        <v>1</v>
      </c>
    </row>
    <row r="1288" spans="1:9" x14ac:dyDescent="0.2">
      <c r="A1288" t="s">
        <v>1262</v>
      </c>
      <c r="B1288" t="s">
        <v>1162</v>
      </c>
      <c r="D1288" t="b">
        <f>IFERROR(VLOOKUP(B1288,PatData!$A$2:$A$2000,1,),"")&lt;&gt;""</f>
        <v>1</v>
      </c>
      <c r="E1288">
        <v>1</v>
      </c>
      <c r="F1288" t="b">
        <v>0</v>
      </c>
      <c r="G1288" t="b">
        <v>1</v>
      </c>
      <c r="H1288" t="b">
        <v>0</v>
      </c>
      <c r="I1288" t="b">
        <v>1</v>
      </c>
    </row>
    <row r="1289" spans="1:9" x14ac:dyDescent="0.2">
      <c r="A1289" t="s">
        <v>1263</v>
      </c>
      <c r="B1289" t="s">
        <v>1163</v>
      </c>
      <c r="D1289" t="b">
        <f>IFERROR(VLOOKUP(B1289,PatData!$A$2:$A$2000,1,),"")&lt;&gt;""</f>
        <v>1</v>
      </c>
      <c r="E1289">
        <v>1</v>
      </c>
      <c r="F1289" t="b">
        <v>0</v>
      </c>
      <c r="G1289" t="b">
        <v>1</v>
      </c>
      <c r="H1289" t="b">
        <v>0</v>
      </c>
      <c r="I1289" t="b">
        <v>1</v>
      </c>
    </row>
    <row r="1290" spans="1:9" x14ac:dyDescent="0.2">
      <c r="A1290" t="s">
        <v>1264</v>
      </c>
      <c r="B1290" t="s">
        <v>1164</v>
      </c>
      <c r="D1290" t="b">
        <f>IFERROR(VLOOKUP(B1290,PatData!$A$2:$A$2000,1,),"")&lt;&gt;""</f>
        <v>1</v>
      </c>
      <c r="E1290">
        <v>1</v>
      </c>
      <c r="F1290" t="b">
        <v>0</v>
      </c>
      <c r="G1290" t="b">
        <v>1</v>
      </c>
      <c r="H1290" t="b">
        <v>0</v>
      </c>
      <c r="I1290" t="b">
        <v>1</v>
      </c>
    </row>
    <row r="1291" spans="1:9" x14ac:dyDescent="0.2">
      <c r="A1291" t="s">
        <v>4720</v>
      </c>
      <c r="B1291" t="s">
        <v>3265</v>
      </c>
      <c r="D1291" t="b">
        <f>IFERROR(VLOOKUP(B1291,PatData!$A$2:$A$2000,1,),"")&lt;&gt;""</f>
        <v>1</v>
      </c>
      <c r="E1291"/>
      <c r="F1291" t="b">
        <v>0</v>
      </c>
      <c r="G1291" t="b">
        <v>1</v>
      </c>
      <c r="H1291" t="b">
        <v>0</v>
      </c>
      <c r="I1291" t="b">
        <v>1</v>
      </c>
    </row>
    <row r="1292" spans="1:9" x14ac:dyDescent="0.2">
      <c r="A1292" t="s">
        <v>1265</v>
      </c>
      <c r="B1292" t="s">
        <v>3266</v>
      </c>
      <c r="D1292" t="b">
        <f>IFERROR(VLOOKUP(B1292,PatData!$A$2:$A$2000,1,),"")&lt;&gt;""</f>
        <v>1</v>
      </c>
      <c r="E1292" t="b">
        <v>0</v>
      </c>
      <c r="F1292" t="b">
        <v>0</v>
      </c>
      <c r="G1292" t="b">
        <v>1</v>
      </c>
      <c r="H1292" t="b">
        <v>0</v>
      </c>
      <c r="I1292" t="b">
        <v>1</v>
      </c>
    </row>
    <row r="1293" spans="1:9" x14ac:dyDescent="0.2">
      <c r="A1293" t="s">
        <v>1266</v>
      </c>
      <c r="B1293" t="s">
        <v>3267</v>
      </c>
      <c r="D1293" t="b">
        <f>IFERROR(VLOOKUP(B1293,PatData!$A$2:$A$2000,1,),"")&lt;&gt;""</f>
        <v>1</v>
      </c>
      <c r="E1293" t="b">
        <v>0</v>
      </c>
      <c r="F1293" t="b">
        <v>0</v>
      </c>
      <c r="G1293" t="b">
        <v>1</v>
      </c>
      <c r="H1293" t="b">
        <v>0</v>
      </c>
      <c r="I1293" t="b">
        <v>1</v>
      </c>
    </row>
    <row r="1294" spans="1:9" x14ac:dyDescent="0.2">
      <c r="A1294" t="s">
        <v>1267</v>
      </c>
      <c r="B1294" t="s">
        <v>3268</v>
      </c>
      <c r="D1294" t="b">
        <f>IFERROR(VLOOKUP(B1294,PatData!$A$2:$A$2000,1,),"")&lt;&gt;""</f>
        <v>1</v>
      </c>
      <c r="E1294" t="b">
        <v>0</v>
      </c>
      <c r="F1294" t="b">
        <v>0</v>
      </c>
      <c r="G1294" t="b">
        <v>1</v>
      </c>
      <c r="H1294" t="b">
        <v>0</v>
      </c>
      <c r="I1294" t="b">
        <v>1</v>
      </c>
    </row>
    <row r="1295" spans="1:9" x14ac:dyDescent="0.2">
      <c r="A1295" t="s">
        <v>1268</v>
      </c>
      <c r="B1295" t="s">
        <v>3269</v>
      </c>
      <c r="D1295" t="b">
        <f>IFERROR(VLOOKUP(B1295,PatData!$A$2:$A$2000,1,),"")&lt;&gt;""</f>
        <v>1</v>
      </c>
      <c r="E1295" t="b">
        <v>0</v>
      </c>
      <c r="F1295" t="b">
        <v>0</v>
      </c>
      <c r="G1295" t="b">
        <v>1</v>
      </c>
      <c r="H1295" t="b">
        <v>0</v>
      </c>
      <c r="I1295" t="b">
        <v>1</v>
      </c>
    </row>
    <row r="1296" spans="1:9" x14ac:dyDescent="0.2">
      <c r="A1296" t="s">
        <v>1269</v>
      </c>
      <c r="B1296" t="s">
        <v>3270</v>
      </c>
      <c r="D1296" t="b">
        <f>IFERROR(VLOOKUP(B1296,PatData!$A$2:$A$2000,1,),"")&lt;&gt;""</f>
        <v>1</v>
      </c>
      <c r="E1296" t="b">
        <v>0</v>
      </c>
      <c r="F1296" t="b">
        <v>0</v>
      </c>
      <c r="G1296" t="b">
        <v>1</v>
      </c>
      <c r="H1296" t="b">
        <v>0</v>
      </c>
      <c r="I1296" t="b">
        <v>1</v>
      </c>
    </row>
    <row r="1297" spans="1:9" x14ac:dyDescent="0.2">
      <c r="A1297" t="s">
        <v>1270</v>
      </c>
      <c r="B1297" t="s">
        <v>3271</v>
      </c>
      <c r="D1297" t="b">
        <f>IFERROR(VLOOKUP(B1297,PatData!$A$2:$A$2000,1,),"")&lt;&gt;""</f>
        <v>1</v>
      </c>
      <c r="E1297" t="b">
        <v>0</v>
      </c>
      <c r="F1297" t="b">
        <v>0</v>
      </c>
      <c r="G1297" t="b">
        <v>1</v>
      </c>
      <c r="H1297" t="b">
        <v>0</v>
      </c>
      <c r="I1297" t="b">
        <v>1</v>
      </c>
    </row>
    <row r="1298" spans="1:9" x14ac:dyDescent="0.2">
      <c r="A1298" t="s">
        <v>1271</v>
      </c>
      <c r="B1298" t="s">
        <v>3272</v>
      </c>
      <c r="D1298" t="b">
        <f>IFERROR(VLOOKUP(B1298,PatData!$A$2:$A$2000,1,),"")&lt;&gt;""</f>
        <v>1</v>
      </c>
      <c r="E1298" t="b">
        <v>0</v>
      </c>
      <c r="F1298" t="b">
        <v>0</v>
      </c>
      <c r="G1298" t="b">
        <v>1</v>
      </c>
      <c r="H1298" t="b">
        <v>0</v>
      </c>
      <c r="I1298" t="b">
        <v>1</v>
      </c>
    </row>
    <row r="1299" spans="1:9" x14ac:dyDescent="0.2">
      <c r="A1299" t="s">
        <v>1272</v>
      </c>
      <c r="B1299" t="s">
        <v>3273</v>
      </c>
      <c r="D1299" t="b">
        <f>IFERROR(VLOOKUP(B1299,PatData!$A$2:$A$2000,1,),"")&lt;&gt;""</f>
        <v>1</v>
      </c>
      <c r="E1299" t="b">
        <v>0</v>
      </c>
      <c r="F1299" t="b">
        <v>0</v>
      </c>
      <c r="G1299" t="b">
        <v>1</v>
      </c>
      <c r="H1299" t="b">
        <v>0</v>
      </c>
      <c r="I1299" t="b">
        <v>1</v>
      </c>
    </row>
    <row r="1300" spans="1:9" x14ac:dyDescent="0.2">
      <c r="A1300" t="s">
        <v>1273</v>
      </c>
      <c r="B1300" t="s">
        <v>3274</v>
      </c>
      <c r="D1300" t="b">
        <f>IFERROR(VLOOKUP(B1300,PatData!$A$2:$A$2000,1,),"")&lt;&gt;""</f>
        <v>1</v>
      </c>
      <c r="E1300" t="b">
        <v>0</v>
      </c>
      <c r="F1300" t="b">
        <v>0</v>
      </c>
      <c r="G1300" t="b">
        <v>1</v>
      </c>
      <c r="H1300" t="b">
        <v>0</v>
      </c>
      <c r="I1300" t="b">
        <v>1</v>
      </c>
    </row>
    <row r="1301" spans="1:9" x14ac:dyDescent="0.2">
      <c r="A1301" t="s">
        <v>1274</v>
      </c>
      <c r="B1301" t="s">
        <v>3275</v>
      </c>
      <c r="D1301" t="b">
        <f>IFERROR(VLOOKUP(B1301,PatData!$A$2:$A$2000,1,),"")&lt;&gt;""</f>
        <v>1</v>
      </c>
      <c r="E1301" t="b">
        <v>0</v>
      </c>
      <c r="F1301" t="b">
        <v>0</v>
      </c>
      <c r="G1301" t="b">
        <v>1</v>
      </c>
      <c r="H1301" t="b">
        <v>0</v>
      </c>
      <c r="I1301" t="b">
        <v>1</v>
      </c>
    </row>
    <row r="1302" spans="1:9" x14ac:dyDescent="0.2">
      <c r="A1302" t="s">
        <v>1275</v>
      </c>
      <c r="B1302" t="s">
        <v>3276</v>
      </c>
      <c r="D1302" t="b">
        <f>IFERROR(VLOOKUP(B1302,PatData!$A$2:$A$2000,1,),"")&lt;&gt;""</f>
        <v>1</v>
      </c>
      <c r="E1302" t="b">
        <v>0</v>
      </c>
      <c r="F1302" t="b">
        <v>0</v>
      </c>
      <c r="G1302" t="b">
        <v>1</v>
      </c>
      <c r="H1302" t="b">
        <v>0</v>
      </c>
      <c r="I1302" t="b">
        <v>1</v>
      </c>
    </row>
    <row r="1303" spans="1:9" x14ac:dyDescent="0.2">
      <c r="A1303" t="s">
        <v>1276</v>
      </c>
      <c r="B1303" t="s">
        <v>3277</v>
      </c>
      <c r="D1303" t="b">
        <f>IFERROR(VLOOKUP(B1303,PatData!$A$2:$A$2000,1,),"")&lt;&gt;""</f>
        <v>1</v>
      </c>
      <c r="E1303" t="b">
        <v>0</v>
      </c>
      <c r="F1303" t="b">
        <v>0</v>
      </c>
      <c r="G1303" t="b">
        <v>1</v>
      </c>
      <c r="H1303" t="b">
        <v>0</v>
      </c>
      <c r="I1303" t="b">
        <v>1</v>
      </c>
    </row>
    <row r="1304" spans="1:9" x14ac:dyDescent="0.2">
      <c r="A1304" t="s">
        <v>1277</v>
      </c>
      <c r="B1304" t="s">
        <v>3278</v>
      </c>
      <c r="D1304" t="b">
        <f>IFERROR(VLOOKUP(B1304,PatData!$A$2:$A$2000,1,),"")&lt;&gt;""</f>
        <v>1</v>
      </c>
      <c r="E1304" t="b">
        <v>0</v>
      </c>
      <c r="F1304" t="b">
        <v>0</v>
      </c>
      <c r="G1304" t="b">
        <v>1</v>
      </c>
      <c r="H1304" t="b">
        <v>0</v>
      </c>
      <c r="I1304" t="b">
        <v>1</v>
      </c>
    </row>
    <row r="1305" spans="1:9" x14ac:dyDescent="0.2">
      <c r="A1305" t="s">
        <v>1278</v>
      </c>
      <c r="B1305" t="s">
        <v>3279</v>
      </c>
      <c r="D1305" t="b">
        <f>IFERROR(VLOOKUP(B1305,PatData!$A$2:$A$2000,1,),"")&lt;&gt;""</f>
        <v>1</v>
      </c>
      <c r="E1305" t="b">
        <v>0</v>
      </c>
      <c r="F1305" t="b">
        <v>0</v>
      </c>
      <c r="G1305" t="b">
        <v>1</v>
      </c>
      <c r="H1305" t="b">
        <v>0</v>
      </c>
      <c r="I1305" t="b">
        <v>1</v>
      </c>
    </row>
    <row r="1306" spans="1:9" x14ac:dyDescent="0.2">
      <c r="A1306" t="s">
        <v>1279</v>
      </c>
      <c r="B1306" t="s">
        <v>3280</v>
      </c>
      <c r="D1306" t="b">
        <f>IFERROR(VLOOKUP(B1306,PatData!$A$2:$A$2000,1,),"")&lt;&gt;""</f>
        <v>1</v>
      </c>
      <c r="E1306" t="b">
        <v>0</v>
      </c>
      <c r="F1306" t="b">
        <v>0</v>
      </c>
      <c r="G1306" t="b">
        <v>1</v>
      </c>
      <c r="H1306" t="b">
        <v>0</v>
      </c>
      <c r="I1306" t="b">
        <v>1</v>
      </c>
    </row>
    <row r="1307" spans="1:9" x14ac:dyDescent="0.2">
      <c r="A1307" t="s">
        <v>1280</v>
      </c>
      <c r="B1307" t="s">
        <v>3281</v>
      </c>
      <c r="D1307" t="b">
        <f>IFERROR(VLOOKUP(B1307,PatData!$A$2:$A$2000,1,),"")&lt;&gt;""</f>
        <v>1</v>
      </c>
      <c r="E1307" t="b">
        <v>0</v>
      </c>
      <c r="F1307" t="b">
        <v>0</v>
      </c>
      <c r="G1307" t="b">
        <v>1</v>
      </c>
      <c r="H1307" t="b">
        <v>0</v>
      </c>
      <c r="I1307" t="b">
        <v>1</v>
      </c>
    </row>
    <row r="1308" spans="1:9" x14ac:dyDescent="0.2">
      <c r="A1308" t="s">
        <v>1281</v>
      </c>
      <c r="B1308" t="s">
        <v>3282</v>
      </c>
      <c r="D1308" t="b">
        <f>IFERROR(VLOOKUP(B1308,PatData!$A$2:$A$2000,1,),"")&lt;&gt;""</f>
        <v>1</v>
      </c>
      <c r="E1308" t="b">
        <v>0</v>
      </c>
      <c r="F1308" t="b">
        <v>0</v>
      </c>
      <c r="G1308" t="b">
        <v>1</v>
      </c>
      <c r="H1308" t="b">
        <v>0</v>
      </c>
      <c r="I1308" t="b">
        <v>1</v>
      </c>
    </row>
    <row r="1309" spans="1:9" x14ac:dyDescent="0.2">
      <c r="A1309" t="s">
        <v>1282</v>
      </c>
      <c r="B1309" t="s">
        <v>3283</v>
      </c>
      <c r="D1309" t="b">
        <f>IFERROR(VLOOKUP(B1309,PatData!$A$2:$A$2000,1,),"")&lt;&gt;""</f>
        <v>1</v>
      </c>
      <c r="E1309" t="b">
        <v>0</v>
      </c>
      <c r="F1309" t="b">
        <v>0</v>
      </c>
      <c r="G1309" t="b">
        <v>1</v>
      </c>
      <c r="H1309" t="b">
        <v>0</v>
      </c>
      <c r="I1309" t="b">
        <v>1</v>
      </c>
    </row>
    <row r="1310" spans="1:9" x14ac:dyDescent="0.2">
      <c r="A1310" t="s">
        <v>1283</v>
      </c>
      <c r="B1310" t="s">
        <v>3284</v>
      </c>
      <c r="D1310" t="b">
        <f>IFERROR(VLOOKUP(B1310,PatData!$A$2:$A$2000,1,),"")&lt;&gt;""</f>
        <v>1</v>
      </c>
      <c r="E1310" t="b">
        <v>0</v>
      </c>
      <c r="F1310" t="b">
        <v>0</v>
      </c>
      <c r="G1310" t="b">
        <v>1</v>
      </c>
      <c r="H1310" t="b">
        <v>0</v>
      </c>
      <c r="I1310" t="b">
        <v>1</v>
      </c>
    </row>
    <row r="1311" spans="1:9" x14ac:dyDescent="0.2">
      <c r="A1311" t="s">
        <v>1284</v>
      </c>
      <c r="B1311" t="s">
        <v>3285</v>
      </c>
      <c r="D1311" t="b">
        <f>IFERROR(VLOOKUP(B1311,PatData!$A$2:$A$2000,1,),"")&lt;&gt;""</f>
        <v>1</v>
      </c>
      <c r="E1311" t="b">
        <v>0</v>
      </c>
      <c r="F1311" t="b">
        <v>0</v>
      </c>
      <c r="G1311" t="b">
        <v>1</v>
      </c>
      <c r="H1311" t="b">
        <v>0</v>
      </c>
      <c r="I1311" t="b">
        <v>1</v>
      </c>
    </row>
    <row r="1312" spans="1:9" x14ac:dyDescent="0.2">
      <c r="A1312" t="s">
        <v>1285</v>
      </c>
      <c r="B1312" t="s">
        <v>3286</v>
      </c>
      <c r="D1312" t="b">
        <f>IFERROR(VLOOKUP(B1312,PatData!$A$2:$A$2000,1,),"")&lt;&gt;""</f>
        <v>1</v>
      </c>
      <c r="E1312" t="b">
        <v>0</v>
      </c>
      <c r="F1312" t="b">
        <v>0</v>
      </c>
      <c r="G1312" t="b">
        <v>1</v>
      </c>
      <c r="H1312" t="b">
        <v>0</v>
      </c>
      <c r="I1312" t="b">
        <v>1</v>
      </c>
    </row>
    <row r="1313" spans="1:9" x14ac:dyDescent="0.2">
      <c r="A1313" t="s">
        <v>1286</v>
      </c>
      <c r="B1313" t="s">
        <v>3287</v>
      </c>
      <c r="D1313" t="b">
        <f>IFERROR(VLOOKUP(B1313,PatData!$A$2:$A$2000,1,),"")&lt;&gt;""</f>
        <v>1</v>
      </c>
      <c r="E1313" t="b">
        <v>0</v>
      </c>
      <c r="F1313" t="b">
        <v>0</v>
      </c>
      <c r="G1313" t="b">
        <v>1</v>
      </c>
      <c r="H1313" t="b">
        <v>0</v>
      </c>
      <c r="I1313" t="b">
        <v>1</v>
      </c>
    </row>
    <row r="1314" spans="1:9" x14ac:dyDescent="0.2">
      <c r="A1314" t="s">
        <v>1287</v>
      </c>
      <c r="B1314" t="s">
        <v>3288</v>
      </c>
      <c r="D1314" t="b">
        <f>IFERROR(VLOOKUP(B1314,PatData!$A$2:$A$2000,1,),"")&lt;&gt;""</f>
        <v>1</v>
      </c>
      <c r="E1314" t="b">
        <v>0</v>
      </c>
      <c r="F1314" t="b">
        <v>0</v>
      </c>
      <c r="G1314" t="b">
        <v>1</v>
      </c>
      <c r="H1314" t="b">
        <v>0</v>
      </c>
      <c r="I1314" t="b">
        <v>1</v>
      </c>
    </row>
    <row r="1315" spans="1:9" x14ac:dyDescent="0.2">
      <c r="A1315" t="s">
        <v>1288</v>
      </c>
      <c r="B1315" t="s">
        <v>3289</v>
      </c>
      <c r="D1315" t="b">
        <f>IFERROR(VLOOKUP(B1315,PatData!$A$2:$A$2000,1,),"")&lt;&gt;""</f>
        <v>1</v>
      </c>
      <c r="E1315" t="b">
        <v>0</v>
      </c>
      <c r="F1315" t="b">
        <v>0</v>
      </c>
      <c r="G1315" t="b">
        <v>1</v>
      </c>
      <c r="H1315" t="b">
        <v>0</v>
      </c>
      <c r="I1315" t="b">
        <v>1</v>
      </c>
    </row>
    <row r="1316" spans="1:9" x14ac:dyDescent="0.2">
      <c r="A1316" t="s">
        <v>1289</v>
      </c>
      <c r="B1316" t="s">
        <v>3290</v>
      </c>
      <c r="D1316" t="b">
        <f>IFERROR(VLOOKUP(B1316,PatData!$A$2:$A$2000,1,),"")&lt;&gt;""</f>
        <v>1</v>
      </c>
      <c r="E1316" t="b">
        <v>0</v>
      </c>
      <c r="F1316" t="b">
        <v>0</v>
      </c>
      <c r="G1316" t="b">
        <v>1</v>
      </c>
      <c r="H1316" t="b">
        <v>0</v>
      </c>
      <c r="I1316" t="b">
        <v>1</v>
      </c>
    </row>
    <row r="1317" spans="1:9" x14ac:dyDescent="0.2">
      <c r="A1317" t="s">
        <v>1290</v>
      </c>
      <c r="B1317" t="s">
        <v>3291</v>
      </c>
      <c r="D1317" t="b">
        <f>IFERROR(VLOOKUP(B1317,PatData!$A$2:$A$2000,1,),"")&lt;&gt;""</f>
        <v>1</v>
      </c>
      <c r="E1317" t="b">
        <v>0</v>
      </c>
      <c r="F1317" t="b">
        <v>0</v>
      </c>
      <c r="G1317" t="b">
        <v>1</v>
      </c>
      <c r="H1317" t="b">
        <v>0</v>
      </c>
      <c r="I1317" t="b">
        <v>1</v>
      </c>
    </row>
    <row r="1318" spans="1:9" x14ac:dyDescent="0.2">
      <c r="A1318" t="s">
        <v>1291</v>
      </c>
      <c r="B1318" t="s">
        <v>3292</v>
      </c>
      <c r="D1318" t="b">
        <f>IFERROR(VLOOKUP(B1318,PatData!$A$2:$A$2000,1,),"")&lt;&gt;""</f>
        <v>1</v>
      </c>
      <c r="E1318" t="b">
        <v>0</v>
      </c>
      <c r="F1318" t="b">
        <v>0</v>
      </c>
      <c r="G1318" t="b">
        <v>1</v>
      </c>
      <c r="H1318" t="b">
        <v>0</v>
      </c>
      <c r="I1318" t="b">
        <v>1</v>
      </c>
    </row>
    <row r="1319" spans="1:9" x14ac:dyDescent="0.2">
      <c r="A1319" t="s">
        <v>1292</v>
      </c>
      <c r="B1319" t="s">
        <v>3293</v>
      </c>
      <c r="D1319" t="b">
        <f>IFERROR(VLOOKUP(B1319,PatData!$A$2:$A$2000,1,),"")&lt;&gt;""</f>
        <v>1</v>
      </c>
      <c r="E1319" t="b">
        <v>0</v>
      </c>
      <c r="F1319" t="b">
        <v>0</v>
      </c>
      <c r="G1319" t="b">
        <v>1</v>
      </c>
      <c r="H1319" t="b">
        <v>0</v>
      </c>
      <c r="I1319" t="b">
        <v>1</v>
      </c>
    </row>
    <row r="1320" spans="1:9" x14ac:dyDescent="0.2">
      <c r="A1320" t="s">
        <v>1293</v>
      </c>
      <c r="B1320" t="s">
        <v>3294</v>
      </c>
      <c r="D1320" t="b">
        <f>IFERROR(VLOOKUP(B1320,PatData!$A$2:$A$2000,1,),"")&lt;&gt;""</f>
        <v>1</v>
      </c>
      <c r="E1320" t="b">
        <v>0</v>
      </c>
      <c r="F1320" t="b">
        <v>0</v>
      </c>
      <c r="G1320" t="b">
        <v>1</v>
      </c>
      <c r="H1320" t="b">
        <v>0</v>
      </c>
      <c r="I1320" t="b">
        <v>1</v>
      </c>
    </row>
    <row r="1321" spans="1:9" x14ac:dyDescent="0.2">
      <c r="A1321" t="s">
        <v>1294</v>
      </c>
      <c r="B1321" t="s">
        <v>3295</v>
      </c>
      <c r="D1321" t="b">
        <f>IFERROR(VLOOKUP(B1321,PatData!$A$2:$A$2000,1,),"")&lt;&gt;""</f>
        <v>1</v>
      </c>
      <c r="E1321" t="b">
        <v>0</v>
      </c>
      <c r="F1321" t="b">
        <v>0</v>
      </c>
      <c r="G1321" t="b">
        <v>1</v>
      </c>
      <c r="H1321" t="b">
        <v>0</v>
      </c>
      <c r="I1321" t="b">
        <v>1</v>
      </c>
    </row>
    <row r="1322" spans="1:9" x14ac:dyDescent="0.2">
      <c r="A1322" t="s">
        <v>1295</v>
      </c>
      <c r="B1322" t="s">
        <v>3296</v>
      </c>
      <c r="D1322" t="b">
        <f>IFERROR(VLOOKUP(B1322,PatData!$A$2:$A$2000,1,),"")&lt;&gt;""</f>
        <v>1</v>
      </c>
      <c r="E1322" t="b">
        <v>0</v>
      </c>
      <c r="F1322" t="b">
        <v>0</v>
      </c>
      <c r="G1322" t="b">
        <v>1</v>
      </c>
      <c r="H1322" t="b">
        <v>0</v>
      </c>
      <c r="I1322" t="b">
        <v>1</v>
      </c>
    </row>
    <row r="1323" spans="1:9" x14ac:dyDescent="0.2">
      <c r="A1323" t="s">
        <v>1296</v>
      </c>
      <c r="B1323" t="s">
        <v>3297</v>
      </c>
      <c r="D1323" t="b">
        <f>IFERROR(VLOOKUP(B1323,PatData!$A$2:$A$2000,1,),"")&lt;&gt;""</f>
        <v>1</v>
      </c>
      <c r="E1323" t="b">
        <v>0</v>
      </c>
      <c r="F1323" t="b">
        <v>0</v>
      </c>
      <c r="G1323" t="b">
        <v>1</v>
      </c>
      <c r="H1323" t="b">
        <v>0</v>
      </c>
      <c r="I1323" t="b">
        <v>1</v>
      </c>
    </row>
    <row r="1324" spans="1:9" x14ac:dyDescent="0.2">
      <c r="A1324" t="s">
        <v>1297</v>
      </c>
      <c r="B1324" t="s">
        <v>3298</v>
      </c>
      <c r="D1324" t="b">
        <f>IFERROR(VLOOKUP(B1324,PatData!$A$2:$A$2000,1,),"")&lt;&gt;""</f>
        <v>1</v>
      </c>
      <c r="E1324" t="b">
        <v>0</v>
      </c>
      <c r="F1324" t="b">
        <v>0</v>
      </c>
      <c r="G1324" t="b">
        <v>1</v>
      </c>
      <c r="H1324" t="b">
        <v>0</v>
      </c>
      <c r="I1324" t="b">
        <v>1</v>
      </c>
    </row>
    <row r="1325" spans="1:9" x14ac:dyDescent="0.2">
      <c r="A1325" t="s">
        <v>1298</v>
      </c>
      <c r="B1325" t="s">
        <v>3299</v>
      </c>
      <c r="D1325" t="b">
        <f>IFERROR(VLOOKUP(B1325,PatData!$A$2:$A$2000,1,),"")&lt;&gt;""</f>
        <v>1</v>
      </c>
      <c r="E1325" t="b">
        <v>0</v>
      </c>
      <c r="F1325" t="b">
        <v>0</v>
      </c>
      <c r="G1325" t="b">
        <v>1</v>
      </c>
      <c r="H1325" t="b">
        <v>0</v>
      </c>
      <c r="I1325" t="b">
        <v>1</v>
      </c>
    </row>
    <row r="1326" spans="1:9" x14ac:dyDescent="0.2">
      <c r="A1326" t="s">
        <v>1299</v>
      </c>
      <c r="B1326" t="s">
        <v>3300</v>
      </c>
      <c r="D1326" t="b">
        <f>IFERROR(VLOOKUP(B1326,PatData!$A$2:$A$2000,1,),"")&lt;&gt;""</f>
        <v>1</v>
      </c>
      <c r="E1326" t="b">
        <v>0</v>
      </c>
      <c r="F1326" t="b">
        <v>0</v>
      </c>
      <c r="G1326" t="b">
        <v>1</v>
      </c>
      <c r="H1326" t="b">
        <v>0</v>
      </c>
      <c r="I1326" t="b">
        <v>1</v>
      </c>
    </row>
    <row r="1327" spans="1:9" x14ac:dyDescent="0.2">
      <c r="A1327" t="s">
        <v>1300</v>
      </c>
      <c r="B1327" t="s">
        <v>3301</v>
      </c>
      <c r="D1327" t="b">
        <f>IFERROR(VLOOKUP(B1327,PatData!$A$2:$A$2000,1,),"")&lt;&gt;""</f>
        <v>1</v>
      </c>
      <c r="E1327" t="b">
        <v>0</v>
      </c>
      <c r="F1327" t="b">
        <v>0</v>
      </c>
      <c r="G1327" t="b">
        <v>1</v>
      </c>
      <c r="H1327" t="b">
        <v>0</v>
      </c>
      <c r="I1327" t="b">
        <v>1</v>
      </c>
    </row>
    <row r="1328" spans="1:9" x14ac:dyDescent="0.2">
      <c r="A1328" t="s">
        <v>1301</v>
      </c>
      <c r="B1328" t="s">
        <v>3302</v>
      </c>
      <c r="D1328" t="b">
        <f>IFERROR(VLOOKUP(B1328,PatData!$A$2:$A$2000,1,),"")&lt;&gt;""</f>
        <v>1</v>
      </c>
      <c r="E1328" t="b">
        <v>0</v>
      </c>
      <c r="F1328" t="b">
        <v>0</v>
      </c>
      <c r="G1328" t="b">
        <v>1</v>
      </c>
      <c r="H1328" t="b">
        <v>0</v>
      </c>
      <c r="I1328" t="b">
        <v>1</v>
      </c>
    </row>
    <row r="1329" spans="1:9" x14ac:dyDescent="0.2">
      <c r="A1329" t="s">
        <v>1302</v>
      </c>
      <c r="B1329" t="s">
        <v>3303</v>
      </c>
      <c r="D1329" t="b">
        <f>IFERROR(VLOOKUP(B1329,PatData!$A$2:$A$2000,1,),"")&lt;&gt;""</f>
        <v>1</v>
      </c>
      <c r="E1329" t="b">
        <v>0</v>
      </c>
      <c r="F1329" t="b">
        <v>0</v>
      </c>
      <c r="G1329" t="b">
        <v>1</v>
      </c>
      <c r="H1329" t="b">
        <v>0</v>
      </c>
      <c r="I1329" t="b">
        <v>1</v>
      </c>
    </row>
    <row r="1330" spans="1:9" x14ac:dyDescent="0.2">
      <c r="A1330" t="s">
        <v>1303</v>
      </c>
      <c r="B1330" t="s">
        <v>3304</v>
      </c>
      <c r="D1330" t="b">
        <f>IFERROR(VLOOKUP(B1330,PatData!$A$2:$A$2000,1,),"")&lt;&gt;""</f>
        <v>1</v>
      </c>
      <c r="E1330" t="b">
        <v>0</v>
      </c>
      <c r="F1330" t="b">
        <v>0</v>
      </c>
      <c r="G1330" t="b">
        <v>1</v>
      </c>
      <c r="H1330" t="b">
        <v>0</v>
      </c>
      <c r="I1330" t="b">
        <v>1</v>
      </c>
    </row>
    <row r="1331" spans="1:9" x14ac:dyDescent="0.2">
      <c r="A1331" t="s">
        <v>1304</v>
      </c>
      <c r="B1331" t="s">
        <v>3305</v>
      </c>
      <c r="D1331" t="b">
        <f>IFERROR(VLOOKUP(B1331,PatData!$A$2:$A$2000,1,),"")&lt;&gt;""</f>
        <v>1</v>
      </c>
      <c r="E1331" t="b">
        <v>0</v>
      </c>
      <c r="F1331" t="b">
        <v>0</v>
      </c>
      <c r="G1331" t="b">
        <v>1</v>
      </c>
      <c r="H1331" t="b">
        <v>0</v>
      </c>
      <c r="I1331" t="b">
        <v>1</v>
      </c>
    </row>
    <row r="1332" spans="1:9" x14ac:dyDescent="0.2">
      <c r="A1332" t="s">
        <v>1305</v>
      </c>
      <c r="B1332" t="s">
        <v>3306</v>
      </c>
      <c r="D1332" t="b">
        <f>IFERROR(VLOOKUP(B1332,PatData!$A$2:$A$2000,1,),"")&lt;&gt;""</f>
        <v>1</v>
      </c>
      <c r="E1332" t="b">
        <v>0</v>
      </c>
      <c r="F1332" t="b">
        <v>0</v>
      </c>
      <c r="G1332" t="b">
        <v>1</v>
      </c>
      <c r="H1332" t="b">
        <v>0</v>
      </c>
      <c r="I1332" t="b">
        <v>1</v>
      </c>
    </row>
    <row r="1333" spans="1:9" x14ac:dyDescent="0.2">
      <c r="A1333" t="s">
        <v>1306</v>
      </c>
      <c r="B1333" t="s">
        <v>3307</v>
      </c>
      <c r="D1333" t="b">
        <f>IFERROR(VLOOKUP(B1333,PatData!$A$2:$A$2000,1,),"")&lt;&gt;""</f>
        <v>1</v>
      </c>
      <c r="E1333" t="b">
        <v>0</v>
      </c>
      <c r="F1333" t="b">
        <v>0</v>
      </c>
      <c r="G1333" t="b">
        <v>1</v>
      </c>
      <c r="H1333" t="b">
        <v>0</v>
      </c>
      <c r="I1333" t="b">
        <v>1</v>
      </c>
    </row>
    <row r="1334" spans="1:9" x14ac:dyDescent="0.2">
      <c r="A1334" t="s">
        <v>1307</v>
      </c>
      <c r="B1334" t="s">
        <v>3308</v>
      </c>
      <c r="D1334" t="b">
        <f>IFERROR(VLOOKUP(B1334,PatData!$A$2:$A$2000,1,),"")&lt;&gt;""</f>
        <v>1</v>
      </c>
      <c r="E1334" t="b">
        <v>0</v>
      </c>
      <c r="F1334" t="b">
        <v>0</v>
      </c>
      <c r="G1334" t="b">
        <v>1</v>
      </c>
      <c r="H1334" t="b">
        <v>0</v>
      </c>
      <c r="I1334" t="b">
        <v>1</v>
      </c>
    </row>
    <row r="1335" spans="1:9" x14ac:dyDescent="0.2">
      <c r="A1335" t="s">
        <v>1308</v>
      </c>
      <c r="B1335" t="s">
        <v>3309</v>
      </c>
      <c r="D1335" t="b">
        <f>IFERROR(VLOOKUP(B1335,PatData!$A$2:$A$2000,1,),"")&lt;&gt;""</f>
        <v>1</v>
      </c>
      <c r="E1335" t="b">
        <v>0</v>
      </c>
      <c r="F1335" t="b">
        <v>0</v>
      </c>
      <c r="G1335" t="b">
        <v>1</v>
      </c>
      <c r="H1335" t="b">
        <v>0</v>
      </c>
      <c r="I1335" t="b">
        <v>1</v>
      </c>
    </row>
    <row r="1336" spans="1:9" x14ac:dyDescent="0.2">
      <c r="A1336" t="s">
        <v>1309</v>
      </c>
      <c r="B1336" t="s">
        <v>3310</v>
      </c>
      <c r="D1336" t="b">
        <f>IFERROR(VLOOKUP(B1336,PatData!$A$2:$A$2000,1,),"")&lt;&gt;""</f>
        <v>1</v>
      </c>
      <c r="E1336" t="b">
        <v>0</v>
      </c>
      <c r="F1336" t="b">
        <v>0</v>
      </c>
      <c r="G1336" t="b">
        <v>1</v>
      </c>
      <c r="H1336" t="b">
        <v>0</v>
      </c>
      <c r="I1336" t="b">
        <v>1</v>
      </c>
    </row>
    <row r="1337" spans="1:9" x14ac:dyDescent="0.2">
      <c r="A1337" t="s">
        <v>1310</v>
      </c>
      <c r="B1337" t="s">
        <v>3311</v>
      </c>
      <c r="D1337" t="b">
        <f>IFERROR(VLOOKUP(B1337,PatData!$A$2:$A$2000,1,),"")&lt;&gt;""</f>
        <v>1</v>
      </c>
      <c r="E1337" t="b">
        <v>0</v>
      </c>
      <c r="F1337" t="b">
        <v>0</v>
      </c>
      <c r="G1337" t="b">
        <v>1</v>
      </c>
      <c r="H1337" t="b">
        <v>0</v>
      </c>
      <c r="I1337" t="b">
        <v>1</v>
      </c>
    </row>
    <row r="1338" spans="1:9" x14ac:dyDescent="0.2">
      <c r="A1338" t="s">
        <v>1311</v>
      </c>
      <c r="B1338" t="s">
        <v>3312</v>
      </c>
      <c r="D1338" t="b">
        <f>IFERROR(VLOOKUP(B1338,PatData!$A$2:$A$2000,1,),"")&lt;&gt;""</f>
        <v>1</v>
      </c>
      <c r="E1338" t="b">
        <v>0</v>
      </c>
      <c r="F1338" t="b">
        <v>0</v>
      </c>
      <c r="G1338" t="b">
        <v>1</v>
      </c>
      <c r="H1338" t="b">
        <v>0</v>
      </c>
      <c r="I1338" t="b">
        <v>1</v>
      </c>
    </row>
    <row r="1339" spans="1:9" x14ac:dyDescent="0.2">
      <c r="A1339" t="s">
        <v>1312</v>
      </c>
      <c r="B1339" t="s">
        <v>3313</v>
      </c>
      <c r="D1339" t="b">
        <f>IFERROR(VLOOKUP(B1339,PatData!$A$2:$A$2000,1,),"")&lt;&gt;""</f>
        <v>1</v>
      </c>
      <c r="E1339" t="b">
        <v>0</v>
      </c>
      <c r="F1339" t="b">
        <v>0</v>
      </c>
      <c r="G1339" t="b">
        <v>1</v>
      </c>
      <c r="H1339" t="b">
        <v>0</v>
      </c>
      <c r="I1339" t="b">
        <v>1</v>
      </c>
    </row>
    <row r="1340" spans="1:9" x14ac:dyDescent="0.2">
      <c r="A1340" t="s">
        <v>1313</v>
      </c>
      <c r="B1340" t="s">
        <v>3314</v>
      </c>
      <c r="D1340" t="b">
        <f>IFERROR(VLOOKUP(B1340,PatData!$A$2:$A$2000,1,),"")&lt;&gt;""</f>
        <v>1</v>
      </c>
      <c r="E1340" t="b">
        <v>0</v>
      </c>
      <c r="F1340" t="b">
        <v>0</v>
      </c>
      <c r="G1340" t="b">
        <v>1</v>
      </c>
      <c r="H1340" t="b">
        <v>0</v>
      </c>
      <c r="I1340" t="b">
        <v>1</v>
      </c>
    </row>
    <row r="1341" spans="1:9" x14ac:dyDescent="0.2">
      <c r="A1341" t="s">
        <v>1314</v>
      </c>
      <c r="B1341" t="s">
        <v>3315</v>
      </c>
      <c r="D1341" t="b">
        <f>IFERROR(VLOOKUP(B1341,PatData!$A$2:$A$2000,1,),"")&lt;&gt;""</f>
        <v>1</v>
      </c>
      <c r="E1341" t="b">
        <v>0</v>
      </c>
      <c r="F1341" t="b">
        <v>0</v>
      </c>
      <c r="G1341" t="b">
        <v>1</v>
      </c>
      <c r="H1341" t="b">
        <v>0</v>
      </c>
      <c r="I1341" t="b">
        <v>1</v>
      </c>
    </row>
    <row r="1342" spans="1:9" x14ac:dyDescent="0.2">
      <c r="A1342" t="s">
        <v>1315</v>
      </c>
      <c r="B1342" t="s">
        <v>3316</v>
      </c>
      <c r="D1342" t="b">
        <f>IFERROR(VLOOKUP(B1342,PatData!$A$2:$A$2000,1,),"")&lt;&gt;""</f>
        <v>1</v>
      </c>
      <c r="E1342" t="b">
        <v>0</v>
      </c>
      <c r="F1342" t="b">
        <v>0</v>
      </c>
      <c r="G1342" t="b">
        <v>1</v>
      </c>
      <c r="H1342" t="b">
        <v>0</v>
      </c>
      <c r="I1342" t="b">
        <v>1</v>
      </c>
    </row>
    <row r="1343" spans="1:9" x14ac:dyDescent="0.2">
      <c r="A1343" t="s">
        <v>1316</v>
      </c>
      <c r="B1343" t="s">
        <v>3317</v>
      </c>
      <c r="D1343" t="b">
        <f>IFERROR(VLOOKUP(B1343,PatData!$A$2:$A$2000,1,),"")&lt;&gt;""</f>
        <v>1</v>
      </c>
      <c r="E1343" t="b">
        <v>0</v>
      </c>
      <c r="F1343" t="b">
        <v>0</v>
      </c>
      <c r="G1343" t="b">
        <v>1</v>
      </c>
      <c r="H1343" t="b">
        <v>0</v>
      </c>
      <c r="I1343" t="b">
        <v>1</v>
      </c>
    </row>
    <row r="1344" spans="1:9" x14ac:dyDescent="0.2">
      <c r="A1344" t="s">
        <v>1317</v>
      </c>
      <c r="B1344" t="s">
        <v>3318</v>
      </c>
      <c r="D1344" t="b">
        <f>IFERROR(VLOOKUP(B1344,PatData!$A$2:$A$2000,1,),"")&lt;&gt;""</f>
        <v>1</v>
      </c>
      <c r="E1344" t="b">
        <v>0</v>
      </c>
      <c r="F1344" t="b">
        <v>0</v>
      </c>
      <c r="G1344" t="b">
        <v>1</v>
      </c>
      <c r="H1344" t="b">
        <v>0</v>
      </c>
      <c r="I1344" t="b">
        <v>1</v>
      </c>
    </row>
    <row r="1345" spans="1:9" x14ac:dyDescent="0.2">
      <c r="A1345" t="s">
        <v>1318</v>
      </c>
      <c r="B1345" t="s">
        <v>3319</v>
      </c>
      <c r="D1345" t="b">
        <f>IFERROR(VLOOKUP(B1345,PatData!$A$2:$A$2000,1,),"")&lt;&gt;""</f>
        <v>1</v>
      </c>
      <c r="E1345" t="b">
        <v>0</v>
      </c>
      <c r="F1345" t="b">
        <v>0</v>
      </c>
      <c r="G1345" t="b">
        <v>1</v>
      </c>
      <c r="H1345" t="b">
        <v>0</v>
      </c>
      <c r="I1345" t="b">
        <v>1</v>
      </c>
    </row>
    <row r="1346" spans="1:9" x14ac:dyDescent="0.2">
      <c r="A1346" t="s">
        <v>1319</v>
      </c>
      <c r="B1346" t="s">
        <v>3320</v>
      </c>
      <c r="D1346" t="b">
        <f>IFERROR(VLOOKUP(B1346,PatData!$A$2:$A$2000,1,),"")&lt;&gt;""</f>
        <v>1</v>
      </c>
      <c r="E1346" t="b">
        <v>0</v>
      </c>
      <c r="F1346" t="b">
        <v>0</v>
      </c>
      <c r="G1346" t="b">
        <v>1</v>
      </c>
      <c r="H1346" t="b">
        <v>0</v>
      </c>
      <c r="I1346" t="b">
        <v>1</v>
      </c>
    </row>
    <row r="1347" spans="1:9" x14ac:dyDescent="0.2">
      <c r="A1347" t="s">
        <v>1320</v>
      </c>
      <c r="B1347" t="s">
        <v>3321</v>
      </c>
      <c r="D1347" t="b">
        <f>IFERROR(VLOOKUP(B1347,PatData!$A$2:$A$2000,1,),"")&lt;&gt;""</f>
        <v>1</v>
      </c>
      <c r="E1347" t="b">
        <v>0</v>
      </c>
      <c r="F1347" t="b">
        <v>0</v>
      </c>
      <c r="G1347" t="b">
        <v>1</v>
      </c>
      <c r="H1347" t="b">
        <v>0</v>
      </c>
      <c r="I1347" t="b">
        <v>1</v>
      </c>
    </row>
    <row r="1348" spans="1:9" x14ac:dyDescent="0.2">
      <c r="A1348" t="s">
        <v>1321</v>
      </c>
      <c r="B1348" t="s">
        <v>3322</v>
      </c>
      <c r="D1348" t="b">
        <f>IFERROR(VLOOKUP(B1348,PatData!$A$2:$A$2000,1,),"")&lt;&gt;""</f>
        <v>1</v>
      </c>
      <c r="E1348" t="b">
        <v>0</v>
      </c>
      <c r="F1348" t="b">
        <v>0</v>
      </c>
      <c r="G1348" t="b">
        <v>1</v>
      </c>
      <c r="H1348" t="b">
        <v>0</v>
      </c>
      <c r="I1348" t="b">
        <v>1</v>
      </c>
    </row>
    <row r="1349" spans="1:9" x14ac:dyDescent="0.2">
      <c r="A1349" t="s">
        <v>1322</v>
      </c>
      <c r="B1349" t="s">
        <v>3323</v>
      </c>
      <c r="D1349" t="b">
        <f>IFERROR(VLOOKUP(B1349,PatData!$A$2:$A$2000,1,),"")&lt;&gt;""</f>
        <v>1</v>
      </c>
      <c r="E1349" t="b">
        <v>0</v>
      </c>
      <c r="F1349" t="b">
        <v>0</v>
      </c>
      <c r="G1349" t="b">
        <v>1</v>
      </c>
      <c r="H1349" t="b">
        <v>0</v>
      </c>
      <c r="I1349" t="b">
        <v>1</v>
      </c>
    </row>
    <row r="1350" spans="1:9" x14ac:dyDescent="0.2">
      <c r="A1350" t="s">
        <v>1323</v>
      </c>
      <c r="B1350" t="s">
        <v>3324</v>
      </c>
      <c r="D1350" t="b">
        <f>IFERROR(VLOOKUP(B1350,PatData!$A$2:$A$2000,1,),"")&lt;&gt;""</f>
        <v>1</v>
      </c>
      <c r="E1350" t="b">
        <v>0</v>
      </c>
      <c r="F1350" t="b">
        <v>0</v>
      </c>
      <c r="G1350" t="b">
        <v>1</v>
      </c>
      <c r="H1350" t="b">
        <v>0</v>
      </c>
      <c r="I1350" t="b">
        <v>1</v>
      </c>
    </row>
    <row r="1351" spans="1:9" x14ac:dyDescent="0.2">
      <c r="A1351" t="s">
        <v>1324</v>
      </c>
      <c r="B1351" t="s">
        <v>3325</v>
      </c>
      <c r="D1351" t="b">
        <f>IFERROR(VLOOKUP(B1351,PatData!$A$2:$A$2000,1,),"")&lt;&gt;""</f>
        <v>1</v>
      </c>
      <c r="E1351" t="b">
        <v>0</v>
      </c>
      <c r="F1351" t="b">
        <v>0</v>
      </c>
      <c r="G1351" t="b">
        <v>1</v>
      </c>
      <c r="H1351" t="b">
        <v>0</v>
      </c>
      <c r="I1351" t="b">
        <v>1</v>
      </c>
    </row>
    <row r="1352" spans="1:9" x14ac:dyDescent="0.2">
      <c r="A1352" t="s">
        <v>1325</v>
      </c>
      <c r="B1352" t="s">
        <v>3326</v>
      </c>
      <c r="D1352" t="b">
        <f>IFERROR(VLOOKUP(B1352,PatData!$A$2:$A$2000,1,),"")&lt;&gt;""</f>
        <v>1</v>
      </c>
      <c r="E1352" t="b">
        <v>0</v>
      </c>
      <c r="F1352" t="b">
        <v>0</v>
      </c>
      <c r="G1352" t="b">
        <v>1</v>
      </c>
      <c r="H1352" t="b">
        <v>0</v>
      </c>
      <c r="I1352" t="b">
        <v>1</v>
      </c>
    </row>
    <row r="1353" spans="1:9" x14ac:dyDescent="0.2">
      <c r="A1353" t="s">
        <v>1326</v>
      </c>
      <c r="B1353" t="s">
        <v>3327</v>
      </c>
      <c r="D1353" t="b">
        <f>IFERROR(VLOOKUP(B1353,PatData!$A$2:$A$2000,1,),"")&lt;&gt;""</f>
        <v>1</v>
      </c>
      <c r="E1353" t="b">
        <v>0</v>
      </c>
      <c r="F1353" t="b">
        <v>0</v>
      </c>
      <c r="G1353" t="b">
        <v>1</v>
      </c>
      <c r="H1353" t="b">
        <v>0</v>
      </c>
      <c r="I1353" t="b">
        <v>1</v>
      </c>
    </row>
    <row r="1354" spans="1:9" x14ac:dyDescent="0.2">
      <c r="A1354" t="s">
        <v>1327</v>
      </c>
      <c r="B1354" t="s">
        <v>3328</v>
      </c>
      <c r="D1354" t="b">
        <f>IFERROR(VLOOKUP(B1354,PatData!$A$2:$A$2000,1,),"")&lt;&gt;""</f>
        <v>1</v>
      </c>
      <c r="E1354" t="b">
        <v>0</v>
      </c>
      <c r="F1354" t="b">
        <v>0</v>
      </c>
      <c r="G1354" t="b">
        <v>1</v>
      </c>
      <c r="H1354" t="b">
        <v>0</v>
      </c>
      <c r="I1354" t="b">
        <v>1</v>
      </c>
    </row>
    <row r="1355" spans="1:9" x14ac:dyDescent="0.2">
      <c r="A1355" t="s">
        <v>1328</v>
      </c>
      <c r="B1355" t="s">
        <v>3329</v>
      </c>
      <c r="D1355" t="b">
        <f>IFERROR(VLOOKUP(B1355,PatData!$A$2:$A$2000,1,),"")&lt;&gt;""</f>
        <v>1</v>
      </c>
      <c r="E1355" t="b">
        <v>0</v>
      </c>
      <c r="F1355" t="b">
        <v>0</v>
      </c>
      <c r="G1355" t="b">
        <v>1</v>
      </c>
      <c r="H1355" t="b">
        <v>0</v>
      </c>
      <c r="I1355" t="b">
        <v>1</v>
      </c>
    </row>
    <row r="1356" spans="1:9" x14ac:dyDescent="0.2">
      <c r="A1356" t="s">
        <v>1329</v>
      </c>
      <c r="B1356" t="s">
        <v>3330</v>
      </c>
      <c r="D1356" t="b">
        <f>IFERROR(VLOOKUP(B1356,PatData!$A$2:$A$2000,1,),"")&lt;&gt;""</f>
        <v>1</v>
      </c>
      <c r="E1356" t="b">
        <v>0</v>
      </c>
      <c r="F1356" t="b">
        <v>0</v>
      </c>
      <c r="G1356" t="b">
        <v>1</v>
      </c>
      <c r="H1356" t="b">
        <v>0</v>
      </c>
      <c r="I1356" t="b">
        <v>1</v>
      </c>
    </row>
    <row r="1357" spans="1:9" x14ac:dyDescent="0.2">
      <c r="A1357" t="s">
        <v>1330</v>
      </c>
      <c r="B1357" t="s">
        <v>3331</v>
      </c>
      <c r="D1357" t="b">
        <f>IFERROR(VLOOKUP(B1357,PatData!$A$2:$A$2000,1,),"")&lt;&gt;""</f>
        <v>1</v>
      </c>
      <c r="E1357" t="b">
        <v>0</v>
      </c>
      <c r="F1357" t="b">
        <v>0</v>
      </c>
      <c r="G1357" t="b">
        <v>1</v>
      </c>
      <c r="H1357" t="b">
        <v>0</v>
      </c>
      <c r="I1357" t="b">
        <v>1</v>
      </c>
    </row>
    <row r="1358" spans="1:9" x14ac:dyDescent="0.2">
      <c r="A1358" t="s">
        <v>1331</v>
      </c>
      <c r="B1358" t="s">
        <v>3332</v>
      </c>
      <c r="D1358" t="b">
        <f>IFERROR(VLOOKUP(B1358,PatData!$A$2:$A$2000,1,),"")&lt;&gt;""</f>
        <v>1</v>
      </c>
      <c r="E1358" t="b">
        <v>0</v>
      </c>
      <c r="F1358" t="b">
        <v>0</v>
      </c>
      <c r="G1358" t="b">
        <v>1</v>
      </c>
      <c r="H1358" t="b">
        <v>0</v>
      </c>
      <c r="I1358" t="b">
        <v>1</v>
      </c>
    </row>
    <row r="1359" spans="1:9" x14ac:dyDescent="0.2">
      <c r="A1359" t="s">
        <v>1332</v>
      </c>
      <c r="B1359" t="s">
        <v>3333</v>
      </c>
      <c r="D1359" t="b">
        <f>IFERROR(VLOOKUP(B1359,PatData!$A$2:$A$2000,1,),"")&lt;&gt;""</f>
        <v>1</v>
      </c>
      <c r="E1359" t="b">
        <v>0</v>
      </c>
      <c r="F1359" t="b">
        <v>0</v>
      </c>
      <c r="G1359" t="b">
        <v>1</v>
      </c>
      <c r="H1359" t="b">
        <v>0</v>
      </c>
      <c r="I1359" t="b">
        <v>1</v>
      </c>
    </row>
    <row r="1360" spans="1:9" x14ac:dyDescent="0.2">
      <c r="A1360" t="s">
        <v>1333</v>
      </c>
      <c r="B1360" t="s">
        <v>3334</v>
      </c>
      <c r="D1360" t="b">
        <f>IFERROR(VLOOKUP(B1360,PatData!$A$2:$A$2000,1,),"")&lt;&gt;""</f>
        <v>1</v>
      </c>
      <c r="E1360" t="b">
        <v>0</v>
      </c>
      <c r="F1360" t="b">
        <v>0</v>
      </c>
      <c r="G1360" t="b">
        <v>1</v>
      </c>
      <c r="H1360" t="b">
        <v>0</v>
      </c>
      <c r="I1360" t="b">
        <v>1</v>
      </c>
    </row>
    <row r="1361" spans="1:9" x14ac:dyDescent="0.2">
      <c r="A1361" t="s">
        <v>1334</v>
      </c>
      <c r="B1361" t="s">
        <v>3335</v>
      </c>
      <c r="D1361" t="b">
        <f>IFERROR(VLOOKUP(B1361,PatData!$A$2:$A$2000,1,),"")&lt;&gt;""</f>
        <v>1</v>
      </c>
      <c r="E1361" t="b">
        <v>0</v>
      </c>
      <c r="F1361" t="b">
        <v>0</v>
      </c>
      <c r="G1361" t="b">
        <v>1</v>
      </c>
      <c r="H1361" t="b">
        <v>0</v>
      </c>
      <c r="I1361" t="b">
        <v>1</v>
      </c>
    </row>
    <row r="1362" spans="1:9" x14ac:dyDescent="0.2">
      <c r="A1362" t="s">
        <v>1335</v>
      </c>
      <c r="B1362" t="s">
        <v>3336</v>
      </c>
      <c r="D1362" t="b">
        <f>IFERROR(VLOOKUP(B1362,PatData!$A$2:$A$2000,1,),"")&lt;&gt;""</f>
        <v>1</v>
      </c>
      <c r="E1362" t="b">
        <v>0</v>
      </c>
      <c r="F1362" t="b">
        <v>0</v>
      </c>
      <c r="G1362" t="b">
        <v>1</v>
      </c>
      <c r="H1362" t="b">
        <v>0</v>
      </c>
      <c r="I1362" t="b">
        <v>1</v>
      </c>
    </row>
    <row r="1363" spans="1:9" x14ac:dyDescent="0.2">
      <c r="A1363" t="s">
        <v>1336</v>
      </c>
      <c r="B1363" t="s">
        <v>3337</v>
      </c>
      <c r="D1363" t="b">
        <f>IFERROR(VLOOKUP(B1363,PatData!$A$2:$A$2000,1,),"")&lt;&gt;""</f>
        <v>1</v>
      </c>
      <c r="E1363" t="b">
        <v>0</v>
      </c>
      <c r="F1363" t="b">
        <v>0</v>
      </c>
      <c r="G1363" t="b">
        <v>1</v>
      </c>
      <c r="H1363" t="b">
        <v>0</v>
      </c>
      <c r="I1363" t="b">
        <v>1</v>
      </c>
    </row>
    <row r="1364" spans="1:9" x14ac:dyDescent="0.2">
      <c r="A1364" t="s">
        <v>1337</v>
      </c>
      <c r="B1364" t="s">
        <v>3338</v>
      </c>
      <c r="D1364" t="b">
        <f>IFERROR(VLOOKUP(B1364,PatData!$A$2:$A$2000,1,),"")&lt;&gt;""</f>
        <v>1</v>
      </c>
      <c r="E1364" t="b">
        <v>0</v>
      </c>
      <c r="F1364" t="b">
        <v>0</v>
      </c>
      <c r="G1364" t="b">
        <v>1</v>
      </c>
      <c r="H1364" t="b">
        <v>0</v>
      </c>
      <c r="I1364" t="b">
        <v>1</v>
      </c>
    </row>
    <row r="1365" spans="1:9" x14ac:dyDescent="0.2">
      <c r="A1365" t="s">
        <v>1338</v>
      </c>
      <c r="B1365" t="s">
        <v>3339</v>
      </c>
      <c r="D1365" t="b">
        <f>IFERROR(VLOOKUP(B1365,PatData!$A$2:$A$2000,1,),"")&lt;&gt;""</f>
        <v>1</v>
      </c>
      <c r="E1365" t="b">
        <v>0</v>
      </c>
      <c r="F1365" t="b">
        <v>0</v>
      </c>
      <c r="G1365" t="b">
        <v>1</v>
      </c>
      <c r="H1365" t="b">
        <v>0</v>
      </c>
      <c r="I1365" t="b">
        <v>1</v>
      </c>
    </row>
    <row r="1366" spans="1:9" x14ac:dyDescent="0.2">
      <c r="A1366" t="s">
        <v>1339</v>
      </c>
      <c r="B1366" t="s">
        <v>3340</v>
      </c>
      <c r="D1366" t="b">
        <f>IFERROR(VLOOKUP(B1366,PatData!$A$2:$A$2000,1,),"")&lt;&gt;""</f>
        <v>1</v>
      </c>
      <c r="E1366" t="b">
        <v>0</v>
      </c>
      <c r="F1366" t="b">
        <v>0</v>
      </c>
      <c r="G1366" t="b">
        <v>1</v>
      </c>
      <c r="H1366" t="b">
        <v>0</v>
      </c>
      <c r="I1366" t="b">
        <v>1</v>
      </c>
    </row>
    <row r="1367" spans="1:9" x14ac:dyDescent="0.2">
      <c r="A1367" t="s">
        <v>1340</v>
      </c>
      <c r="B1367" t="s">
        <v>3341</v>
      </c>
      <c r="D1367" t="b">
        <f>IFERROR(VLOOKUP(B1367,PatData!$A$2:$A$2000,1,),"")&lt;&gt;""</f>
        <v>1</v>
      </c>
      <c r="E1367" t="b">
        <v>0</v>
      </c>
      <c r="F1367" t="b">
        <v>0</v>
      </c>
      <c r="G1367" t="b">
        <v>1</v>
      </c>
      <c r="H1367" t="b">
        <v>0</v>
      </c>
      <c r="I1367" t="b">
        <v>1</v>
      </c>
    </row>
    <row r="1368" spans="1:9" x14ac:dyDescent="0.2">
      <c r="A1368" t="s">
        <v>1341</v>
      </c>
      <c r="B1368" t="s">
        <v>3342</v>
      </c>
      <c r="D1368" t="b">
        <f>IFERROR(VLOOKUP(B1368,PatData!$A$2:$A$2000,1,),"")&lt;&gt;""</f>
        <v>1</v>
      </c>
      <c r="E1368" t="b">
        <v>0</v>
      </c>
      <c r="F1368" t="b">
        <v>0</v>
      </c>
      <c r="G1368" t="b">
        <v>1</v>
      </c>
      <c r="H1368" t="b">
        <v>0</v>
      </c>
      <c r="I1368" t="b">
        <v>1</v>
      </c>
    </row>
    <row r="1369" spans="1:9" x14ac:dyDescent="0.2">
      <c r="A1369" t="s">
        <v>1342</v>
      </c>
      <c r="B1369" t="s">
        <v>3343</v>
      </c>
      <c r="D1369" t="b">
        <f>IFERROR(VLOOKUP(B1369,PatData!$A$2:$A$2000,1,),"")&lt;&gt;""</f>
        <v>1</v>
      </c>
      <c r="E1369" t="b">
        <v>0</v>
      </c>
      <c r="F1369" t="b">
        <v>0</v>
      </c>
      <c r="G1369" t="b">
        <v>1</v>
      </c>
      <c r="H1369" t="b">
        <v>0</v>
      </c>
      <c r="I1369" t="b">
        <v>1</v>
      </c>
    </row>
    <row r="1370" spans="1:9" x14ac:dyDescent="0.2">
      <c r="A1370" t="s">
        <v>1343</v>
      </c>
      <c r="B1370" t="s">
        <v>3344</v>
      </c>
      <c r="D1370" t="b">
        <f>IFERROR(VLOOKUP(B1370,PatData!$A$2:$A$2000,1,),"")&lt;&gt;""</f>
        <v>1</v>
      </c>
      <c r="E1370" t="b">
        <v>0</v>
      </c>
      <c r="F1370" t="b">
        <v>0</v>
      </c>
      <c r="G1370" t="b">
        <v>1</v>
      </c>
      <c r="H1370" t="b">
        <v>0</v>
      </c>
      <c r="I1370" t="b">
        <v>1</v>
      </c>
    </row>
    <row r="1371" spans="1:9" x14ac:dyDescent="0.2">
      <c r="A1371" t="s">
        <v>1344</v>
      </c>
      <c r="B1371" t="s">
        <v>3345</v>
      </c>
      <c r="D1371" t="b">
        <f>IFERROR(VLOOKUP(B1371,PatData!$A$2:$A$2000,1,),"")&lt;&gt;""</f>
        <v>1</v>
      </c>
      <c r="E1371" t="b">
        <v>0</v>
      </c>
      <c r="F1371" t="b">
        <v>0</v>
      </c>
      <c r="G1371" t="b">
        <v>1</v>
      </c>
      <c r="H1371" t="b">
        <v>0</v>
      </c>
      <c r="I1371" t="b">
        <v>1</v>
      </c>
    </row>
    <row r="1372" spans="1:9" x14ac:dyDescent="0.2">
      <c r="A1372" t="s">
        <v>1345</v>
      </c>
      <c r="B1372" t="s">
        <v>3346</v>
      </c>
      <c r="D1372" t="b">
        <f>IFERROR(VLOOKUP(B1372,PatData!$A$2:$A$2000,1,),"")&lt;&gt;""</f>
        <v>1</v>
      </c>
      <c r="E1372" t="b">
        <v>0</v>
      </c>
      <c r="F1372" t="b">
        <v>0</v>
      </c>
      <c r="G1372" t="b">
        <v>1</v>
      </c>
      <c r="H1372" t="b">
        <v>0</v>
      </c>
      <c r="I1372" t="b">
        <v>1</v>
      </c>
    </row>
    <row r="1373" spans="1:9" x14ac:dyDescent="0.2">
      <c r="A1373" t="s">
        <v>1346</v>
      </c>
      <c r="B1373" t="s">
        <v>3347</v>
      </c>
      <c r="D1373" t="b">
        <f>IFERROR(VLOOKUP(B1373,PatData!$A$2:$A$2000,1,),"")&lt;&gt;""</f>
        <v>1</v>
      </c>
      <c r="E1373" t="b">
        <v>0</v>
      </c>
      <c r="F1373" t="b">
        <v>0</v>
      </c>
      <c r="G1373" t="b">
        <v>1</v>
      </c>
      <c r="H1373" t="b">
        <v>0</v>
      </c>
      <c r="I1373" t="b">
        <v>1</v>
      </c>
    </row>
    <row r="1374" spans="1:9" x14ac:dyDescent="0.2">
      <c r="A1374" t="s">
        <v>1347</v>
      </c>
      <c r="B1374" t="s">
        <v>3348</v>
      </c>
      <c r="D1374" t="b">
        <f>IFERROR(VLOOKUP(B1374,PatData!$A$2:$A$2000,1,),"")&lt;&gt;""</f>
        <v>1</v>
      </c>
      <c r="E1374" t="b">
        <v>0</v>
      </c>
      <c r="F1374" t="b">
        <v>0</v>
      </c>
      <c r="G1374" t="b">
        <v>1</v>
      </c>
      <c r="H1374" t="b">
        <v>0</v>
      </c>
      <c r="I1374" t="b">
        <v>1</v>
      </c>
    </row>
    <row r="1375" spans="1:9" x14ac:dyDescent="0.2">
      <c r="A1375" t="s">
        <v>1348</v>
      </c>
      <c r="B1375" t="s">
        <v>3349</v>
      </c>
      <c r="D1375" t="b">
        <f>IFERROR(VLOOKUP(B1375,PatData!$A$2:$A$2000,1,),"")&lt;&gt;""</f>
        <v>1</v>
      </c>
      <c r="E1375" t="b">
        <v>0</v>
      </c>
      <c r="F1375" t="b">
        <v>0</v>
      </c>
      <c r="G1375" t="b">
        <v>1</v>
      </c>
      <c r="H1375" t="b">
        <v>0</v>
      </c>
      <c r="I1375" t="b">
        <v>1</v>
      </c>
    </row>
    <row r="1376" spans="1:9" x14ac:dyDescent="0.2">
      <c r="A1376" t="s">
        <v>1349</v>
      </c>
      <c r="B1376" t="s">
        <v>3350</v>
      </c>
      <c r="D1376" t="b">
        <f>IFERROR(VLOOKUP(B1376,PatData!$A$2:$A$2000,1,),"")&lt;&gt;""</f>
        <v>1</v>
      </c>
      <c r="E1376" t="b">
        <v>0</v>
      </c>
      <c r="F1376" t="b">
        <v>0</v>
      </c>
      <c r="G1376" t="b">
        <v>1</v>
      </c>
      <c r="H1376" t="b">
        <v>0</v>
      </c>
      <c r="I1376" t="b">
        <v>1</v>
      </c>
    </row>
    <row r="1377" spans="1:9" x14ac:dyDescent="0.2">
      <c r="A1377" t="s">
        <v>1350</v>
      </c>
      <c r="B1377" t="s">
        <v>3351</v>
      </c>
      <c r="D1377" t="b">
        <f>IFERROR(VLOOKUP(B1377,PatData!$A$2:$A$2000,1,),"")&lt;&gt;""</f>
        <v>1</v>
      </c>
      <c r="E1377" t="b">
        <v>0</v>
      </c>
      <c r="F1377" t="b">
        <v>0</v>
      </c>
      <c r="G1377" t="b">
        <v>1</v>
      </c>
      <c r="H1377" t="b">
        <v>0</v>
      </c>
      <c r="I1377" t="b">
        <v>1</v>
      </c>
    </row>
    <row r="1378" spans="1:9" x14ac:dyDescent="0.2">
      <c r="A1378" t="s">
        <v>1351</v>
      </c>
      <c r="B1378" t="s">
        <v>3352</v>
      </c>
      <c r="D1378" t="b">
        <f>IFERROR(VLOOKUP(B1378,PatData!$A$2:$A$2000,1,),"")&lt;&gt;""</f>
        <v>1</v>
      </c>
      <c r="E1378" t="b">
        <v>0</v>
      </c>
      <c r="F1378" t="b">
        <v>0</v>
      </c>
      <c r="G1378" t="b">
        <v>1</v>
      </c>
      <c r="H1378" t="b">
        <v>0</v>
      </c>
      <c r="I1378" t="b">
        <v>1</v>
      </c>
    </row>
    <row r="1379" spans="1:9" x14ac:dyDescent="0.2">
      <c r="A1379" t="s">
        <v>1352</v>
      </c>
      <c r="B1379" t="s">
        <v>3353</v>
      </c>
      <c r="D1379" t="b">
        <f>IFERROR(VLOOKUP(B1379,PatData!$A$2:$A$2000,1,),"")&lt;&gt;""</f>
        <v>1</v>
      </c>
      <c r="E1379" t="b">
        <v>0</v>
      </c>
      <c r="F1379" t="b">
        <v>0</v>
      </c>
      <c r="G1379" t="b">
        <v>1</v>
      </c>
      <c r="H1379" t="b">
        <v>0</v>
      </c>
      <c r="I1379" t="b">
        <v>1</v>
      </c>
    </row>
    <row r="1380" spans="1:9" x14ac:dyDescent="0.2">
      <c r="A1380" t="s">
        <v>1353</v>
      </c>
      <c r="B1380" t="s">
        <v>3354</v>
      </c>
      <c r="D1380" t="b">
        <f>IFERROR(VLOOKUP(B1380,PatData!$A$2:$A$2000,1,),"")&lt;&gt;""</f>
        <v>1</v>
      </c>
      <c r="E1380" t="b">
        <v>0</v>
      </c>
      <c r="F1380" t="b">
        <v>0</v>
      </c>
      <c r="G1380" t="b">
        <v>1</v>
      </c>
      <c r="H1380" t="b">
        <v>0</v>
      </c>
      <c r="I1380" t="b">
        <v>1</v>
      </c>
    </row>
    <row r="1381" spans="1:9" x14ac:dyDescent="0.2">
      <c r="A1381" t="s">
        <v>1354</v>
      </c>
      <c r="B1381" t="s">
        <v>3355</v>
      </c>
      <c r="D1381" t="b">
        <f>IFERROR(VLOOKUP(B1381,PatData!$A$2:$A$2000,1,),"")&lt;&gt;""</f>
        <v>1</v>
      </c>
      <c r="E1381" t="b">
        <v>0</v>
      </c>
      <c r="F1381" t="b">
        <v>0</v>
      </c>
      <c r="G1381" t="b">
        <v>1</v>
      </c>
      <c r="H1381" t="b">
        <v>0</v>
      </c>
      <c r="I1381" t="b">
        <v>1</v>
      </c>
    </row>
    <row r="1382" spans="1:9" x14ac:dyDescent="0.2">
      <c r="A1382" t="s">
        <v>1355</v>
      </c>
      <c r="B1382" t="s">
        <v>3356</v>
      </c>
      <c r="D1382" t="b">
        <f>IFERROR(VLOOKUP(B1382,PatData!$A$2:$A$2000,1,),"")&lt;&gt;""</f>
        <v>1</v>
      </c>
      <c r="E1382" t="b">
        <v>0</v>
      </c>
      <c r="F1382" t="b">
        <v>0</v>
      </c>
      <c r="G1382" t="b">
        <v>1</v>
      </c>
      <c r="H1382" t="b">
        <v>0</v>
      </c>
      <c r="I1382" t="b">
        <v>1</v>
      </c>
    </row>
    <row r="1383" spans="1:9" x14ac:dyDescent="0.2">
      <c r="A1383" t="s">
        <v>1356</v>
      </c>
      <c r="B1383" t="s">
        <v>3357</v>
      </c>
      <c r="D1383" t="b">
        <f>IFERROR(VLOOKUP(B1383,PatData!$A$2:$A$2000,1,),"")&lt;&gt;""</f>
        <v>1</v>
      </c>
      <c r="E1383" t="b">
        <v>0</v>
      </c>
      <c r="F1383" t="b">
        <v>0</v>
      </c>
      <c r="G1383" t="b">
        <v>1</v>
      </c>
      <c r="H1383" t="b">
        <v>0</v>
      </c>
      <c r="I1383" t="b">
        <v>1</v>
      </c>
    </row>
    <row r="1384" spans="1:9" x14ac:dyDescent="0.2">
      <c r="A1384" t="s">
        <v>1357</v>
      </c>
      <c r="B1384" t="s">
        <v>3358</v>
      </c>
      <c r="D1384" t="b">
        <f>IFERROR(VLOOKUP(B1384,PatData!$A$2:$A$2000,1,),"")&lt;&gt;""</f>
        <v>1</v>
      </c>
      <c r="E1384" t="b">
        <v>0</v>
      </c>
      <c r="F1384" t="b">
        <v>0</v>
      </c>
      <c r="G1384" t="b">
        <v>1</v>
      </c>
      <c r="H1384" t="b">
        <v>0</v>
      </c>
      <c r="I1384" t="b">
        <v>1</v>
      </c>
    </row>
    <row r="1385" spans="1:9" x14ac:dyDescent="0.2">
      <c r="A1385" t="s">
        <v>1358</v>
      </c>
      <c r="B1385" t="s">
        <v>3359</v>
      </c>
      <c r="D1385" t="b">
        <f>IFERROR(VLOOKUP(B1385,PatData!$A$2:$A$2000,1,),"")&lt;&gt;""</f>
        <v>1</v>
      </c>
      <c r="E1385" t="b">
        <v>0</v>
      </c>
      <c r="F1385" t="b">
        <v>0</v>
      </c>
      <c r="G1385" t="b">
        <v>1</v>
      </c>
      <c r="H1385" t="b">
        <v>0</v>
      </c>
      <c r="I1385" t="b">
        <v>1</v>
      </c>
    </row>
    <row r="1386" spans="1:9" x14ac:dyDescent="0.2">
      <c r="A1386" t="s">
        <v>1359</v>
      </c>
      <c r="B1386" t="s">
        <v>3360</v>
      </c>
      <c r="D1386" t="b">
        <f>IFERROR(VLOOKUP(B1386,PatData!$A$2:$A$2000,1,),"")&lt;&gt;""</f>
        <v>1</v>
      </c>
      <c r="E1386" t="b">
        <v>0</v>
      </c>
      <c r="F1386" t="b">
        <v>0</v>
      </c>
      <c r="G1386" t="b">
        <v>1</v>
      </c>
      <c r="H1386" t="b">
        <v>0</v>
      </c>
      <c r="I1386" t="b">
        <v>1</v>
      </c>
    </row>
    <row r="1387" spans="1:9" x14ac:dyDescent="0.2">
      <c r="A1387" t="s">
        <v>1360</v>
      </c>
      <c r="B1387" t="s">
        <v>3361</v>
      </c>
      <c r="D1387" t="b">
        <f>IFERROR(VLOOKUP(B1387,PatData!$A$2:$A$2000,1,),"")&lt;&gt;""</f>
        <v>1</v>
      </c>
      <c r="E1387" t="b">
        <v>0</v>
      </c>
      <c r="F1387" t="b">
        <v>0</v>
      </c>
      <c r="G1387" t="b">
        <v>1</v>
      </c>
      <c r="H1387" t="b">
        <v>0</v>
      </c>
      <c r="I1387" t="b">
        <v>1</v>
      </c>
    </row>
    <row r="1388" spans="1:9" x14ac:dyDescent="0.2">
      <c r="A1388" t="s">
        <v>1361</v>
      </c>
      <c r="B1388" t="s">
        <v>3362</v>
      </c>
      <c r="D1388" t="b">
        <f>IFERROR(VLOOKUP(B1388,PatData!$A$2:$A$2000,1,),"")&lt;&gt;""</f>
        <v>1</v>
      </c>
      <c r="E1388" t="b">
        <v>0</v>
      </c>
      <c r="F1388" t="b">
        <v>0</v>
      </c>
      <c r="G1388" t="b">
        <v>1</v>
      </c>
      <c r="H1388" t="b">
        <v>0</v>
      </c>
      <c r="I1388" t="b">
        <v>1</v>
      </c>
    </row>
    <row r="1389" spans="1:9" x14ac:dyDescent="0.2">
      <c r="A1389" t="s">
        <v>1362</v>
      </c>
      <c r="B1389" t="s">
        <v>3363</v>
      </c>
      <c r="D1389" t="b">
        <f>IFERROR(VLOOKUP(B1389,PatData!$A$2:$A$2000,1,),"")&lt;&gt;""</f>
        <v>1</v>
      </c>
      <c r="E1389" t="b">
        <v>0</v>
      </c>
      <c r="F1389" t="b">
        <v>0</v>
      </c>
      <c r="G1389" t="b">
        <v>1</v>
      </c>
      <c r="H1389" t="b">
        <v>0</v>
      </c>
      <c r="I1389" t="b">
        <v>1</v>
      </c>
    </row>
    <row r="1390" spans="1:9" x14ac:dyDescent="0.2">
      <c r="A1390" t="s">
        <v>1363</v>
      </c>
      <c r="B1390" t="s">
        <v>3364</v>
      </c>
      <c r="D1390" t="b">
        <f>IFERROR(VLOOKUP(B1390,PatData!$A$2:$A$2000,1,),"")&lt;&gt;""</f>
        <v>1</v>
      </c>
      <c r="E1390" t="b">
        <v>0</v>
      </c>
      <c r="F1390" t="b">
        <v>0</v>
      </c>
      <c r="G1390" t="b">
        <v>1</v>
      </c>
      <c r="H1390" t="b">
        <v>0</v>
      </c>
      <c r="I1390" t="b">
        <v>1</v>
      </c>
    </row>
    <row r="1391" spans="1:9" x14ac:dyDescent="0.2">
      <c r="A1391" t="s">
        <v>1364</v>
      </c>
      <c r="B1391" t="s">
        <v>3365</v>
      </c>
      <c r="D1391" t="b">
        <f>IFERROR(VLOOKUP(B1391,PatData!$A$2:$A$2000,1,),"")&lt;&gt;""</f>
        <v>1</v>
      </c>
      <c r="E1391" t="b">
        <v>0</v>
      </c>
      <c r="F1391" t="b">
        <v>0</v>
      </c>
      <c r="G1391" t="b">
        <v>1</v>
      </c>
      <c r="H1391" t="b">
        <v>0</v>
      </c>
      <c r="I1391" t="b">
        <v>1</v>
      </c>
    </row>
    <row r="1392" spans="1:9" x14ac:dyDescent="0.2">
      <c r="A1392" t="s">
        <v>1365</v>
      </c>
      <c r="B1392" t="s">
        <v>3366</v>
      </c>
      <c r="D1392" t="b">
        <f>IFERROR(VLOOKUP(B1392,PatData!$A$2:$A$2000,1,),"")&lt;&gt;""</f>
        <v>1</v>
      </c>
      <c r="E1392" t="b">
        <v>0</v>
      </c>
      <c r="F1392" t="b">
        <v>0</v>
      </c>
      <c r="G1392" t="b">
        <v>1</v>
      </c>
      <c r="H1392" t="b">
        <v>0</v>
      </c>
      <c r="I1392" t="b">
        <v>1</v>
      </c>
    </row>
    <row r="1393" spans="1:9" x14ac:dyDescent="0.2">
      <c r="A1393" t="s">
        <v>1366</v>
      </c>
      <c r="B1393" t="s">
        <v>3367</v>
      </c>
      <c r="D1393" t="b">
        <f>IFERROR(VLOOKUP(B1393,PatData!$A$2:$A$2000,1,),"")&lt;&gt;""</f>
        <v>1</v>
      </c>
      <c r="E1393" t="b">
        <v>0</v>
      </c>
      <c r="F1393" t="b">
        <v>0</v>
      </c>
      <c r="G1393" t="b">
        <v>1</v>
      </c>
      <c r="H1393" t="b">
        <v>0</v>
      </c>
      <c r="I1393" t="b">
        <v>1</v>
      </c>
    </row>
    <row r="1394" spans="1:9" x14ac:dyDescent="0.2">
      <c r="A1394" t="s">
        <v>1367</v>
      </c>
      <c r="B1394" t="s">
        <v>3368</v>
      </c>
      <c r="D1394" t="b">
        <f>IFERROR(VLOOKUP(B1394,PatData!$A$2:$A$2000,1,),"")&lt;&gt;""</f>
        <v>1</v>
      </c>
      <c r="E1394" t="b">
        <v>0</v>
      </c>
      <c r="F1394" t="b">
        <v>0</v>
      </c>
      <c r="G1394" t="b">
        <v>1</v>
      </c>
      <c r="H1394" t="b">
        <v>0</v>
      </c>
      <c r="I1394" t="b">
        <v>1</v>
      </c>
    </row>
    <row r="1395" spans="1:9" x14ac:dyDescent="0.2">
      <c r="A1395" t="s">
        <v>1368</v>
      </c>
      <c r="B1395" t="s">
        <v>3369</v>
      </c>
      <c r="D1395" t="b">
        <f>IFERROR(VLOOKUP(B1395,PatData!$A$2:$A$2000,1,),"")&lt;&gt;""</f>
        <v>1</v>
      </c>
      <c r="E1395" t="b">
        <v>0</v>
      </c>
      <c r="F1395" t="b">
        <v>0</v>
      </c>
      <c r="G1395" t="b">
        <v>1</v>
      </c>
      <c r="H1395" t="b">
        <v>0</v>
      </c>
      <c r="I1395" t="b">
        <v>1</v>
      </c>
    </row>
    <row r="1396" spans="1:9" x14ac:dyDescent="0.2">
      <c r="A1396" t="s">
        <v>1369</v>
      </c>
      <c r="B1396" t="s">
        <v>3370</v>
      </c>
      <c r="D1396" t="b">
        <f>IFERROR(VLOOKUP(B1396,PatData!$A$2:$A$2000,1,),"")&lt;&gt;""</f>
        <v>1</v>
      </c>
      <c r="E1396" t="b">
        <v>0</v>
      </c>
      <c r="F1396" t="b">
        <v>0</v>
      </c>
      <c r="G1396" t="b">
        <v>1</v>
      </c>
      <c r="H1396" t="b">
        <v>0</v>
      </c>
      <c r="I1396" t="b">
        <v>1</v>
      </c>
    </row>
    <row r="1397" spans="1:9" x14ac:dyDescent="0.2">
      <c r="A1397" t="s">
        <v>1370</v>
      </c>
      <c r="B1397" t="s">
        <v>3371</v>
      </c>
      <c r="D1397" t="b">
        <f>IFERROR(VLOOKUP(B1397,PatData!$A$2:$A$2000,1,),"")&lt;&gt;""</f>
        <v>1</v>
      </c>
      <c r="E1397" t="b">
        <v>0</v>
      </c>
      <c r="F1397" t="b">
        <v>0</v>
      </c>
      <c r="G1397" t="b">
        <v>1</v>
      </c>
      <c r="H1397" t="b">
        <v>0</v>
      </c>
      <c r="I1397" t="b">
        <v>1</v>
      </c>
    </row>
    <row r="1398" spans="1:9" x14ac:dyDescent="0.2">
      <c r="A1398" t="s">
        <v>1371</v>
      </c>
      <c r="B1398" t="s">
        <v>3372</v>
      </c>
      <c r="D1398" t="b">
        <f>IFERROR(VLOOKUP(B1398,PatData!$A$2:$A$2000,1,),"")&lt;&gt;""</f>
        <v>1</v>
      </c>
      <c r="E1398" t="b">
        <v>0</v>
      </c>
      <c r="F1398" t="b">
        <v>0</v>
      </c>
      <c r="G1398" t="b">
        <v>1</v>
      </c>
      <c r="H1398" t="b">
        <v>0</v>
      </c>
      <c r="I1398" t="b">
        <v>1</v>
      </c>
    </row>
    <row r="1399" spans="1:9" x14ac:dyDescent="0.2">
      <c r="A1399" t="s">
        <v>1372</v>
      </c>
      <c r="B1399" t="s">
        <v>3373</v>
      </c>
      <c r="D1399" t="b">
        <f>IFERROR(VLOOKUP(B1399,PatData!$A$2:$A$2000,1,),"")&lt;&gt;""</f>
        <v>1</v>
      </c>
      <c r="E1399" t="b">
        <v>0</v>
      </c>
      <c r="F1399" t="b">
        <v>0</v>
      </c>
      <c r="G1399" t="b">
        <v>1</v>
      </c>
      <c r="H1399" t="b">
        <v>0</v>
      </c>
      <c r="I1399" t="b">
        <v>1</v>
      </c>
    </row>
    <row r="1400" spans="1:9" x14ac:dyDescent="0.2">
      <c r="A1400" t="s">
        <v>1373</v>
      </c>
      <c r="B1400" t="s">
        <v>3374</v>
      </c>
      <c r="D1400" t="b">
        <f>IFERROR(VLOOKUP(B1400,PatData!$A$2:$A$2000,1,),"")&lt;&gt;""</f>
        <v>1</v>
      </c>
      <c r="E1400" t="b">
        <v>0</v>
      </c>
      <c r="F1400" t="b">
        <v>0</v>
      </c>
      <c r="G1400" t="b">
        <v>1</v>
      </c>
      <c r="H1400" t="b">
        <v>0</v>
      </c>
      <c r="I1400" t="b">
        <v>1</v>
      </c>
    </row>
    <row r="1401" spans="1:9" x14ac:dyDescent="0.2">
      <c r="A1401" t="s">
        <v>1374</v>
      </c>
      <c r="B1401" t="s">
        <v>3375</v>
      </c>
      <c r="D1401" t="b">
        <f>IFERROR(VLOOKUP(B1401,PatData!$A$2:$A$2000,1,),"")&lt;&gt;""</f>
        <v>1</v>
      </c>
      <c r="E1401" t="b">
        <v>0</v>
      </c>
      <c r="F1401" t="b">
        <v>0</v>
      </c>
      <c r="G1401" t="b">
        <v>1</v>
      </c>
      <c r="H1401" t="b">
        <v>0</v>
      </c>
      <c r="I1401" t="b">
        <v>1</v>
      </c>
    </row>
    <row r="1402" spans="1:9" x14ac:dyDescent="0.2">
      <c r="A1402" t="s">
        <v>1375</v>
      </c>
      <c r="B1402" t="s">
        <v>3376</v>
      </c>
      <c r="D1402" t="b">
        <f>IFERROR(VLOOKUP(B1402,PatData!$A$2:$A$2000,1,),"")&lt;&gt;""</f>
        <v>1</v>
      </c>
      <c r="E1402" t="b">
        <v>0</v>
      </c>
      <c r="F1402" t="b">
        <v>0</v>
      </c>
      <c r="G1402" t="b">
        <v>1</v>
      </c>
      <c r="H1402" t="b">
        <v>0</v>
      </c>
      <c r="I1402" t="b">
        <v>1</v>
      </c>
    </row>
    <row r="1403" spans="1:9" x14ac:dyDescent="0.2">
      <c r="A1403" t="s">
        <v>1376</v>
      </c>
      <c r="B1403" t="s">
        <v>3377</v>
      </c>
      <c r="D1403" t="b">
        <f>IFERROR(VLOOKUP(B1403,PatData!$A$2:$A$2000,1,),"")&lt;&gt;""</f>
        <v>1</v>
      </c>
      <c r="E1403" t="b">
        <v>0</v>
      </c>
      <c r="F1403" t="b">
        <v>0</v>
      </c>
      <c r="G1403" t="b">
        <v>1</v>
      </c>
      <c r="H1403" t="b">
        <v>0</v>
      </c>
      <c r="I1403" t="b">
        <v>1</v>
      </c>
    </row>
    <row r="1404" spans="1:9" x14ac:dyDescent="0.2">
      <c r="A1404" t="s">
        <v>1377</v>
      </c>
      <c r="B1404" t="s">
        <v>3378</v>
      </c>
      <c r="D1404" t="b">
        <f>IFERROR(VLOOKUP(B1404,PatData!$A$2:$A$2000,1,),"")&lt;&gt;""</f>
        <v>1</v>
      </c>
      <c r="E1404" t="b">
        <v>0</v>
      </c>
      <c r="F1404" t="b">
        <v>0</v>
      </c>
      <c r="G1404" t="b">
        <v>1</v>
      </c>
      <c r="H1404" t="b">
        <v>0</v>
      </c>
      <c r="I1404" t="b">
        <v>1</v>
      </c>
    </row>
    <row r="1405" spans="1:9" x14ac:dyDescent="0.2">
      <c r="A1405" t="s">
        <v>1378</v>
      </c>
      <c r="B1405" t="s">
        <v>3379</v>
      </c>
      <c r="D1405" t="b">
        <f>IFERROR(VLOOKUP(B1405,PatData!$A$2:$A$2000,1,),"")&lt;&gt;""</f>
        <v>1</v>
      </c>
      <c r="E1405" t="b">
        <v>0</v>
      </c>
      <c r="F1405" t="b">
        <v>0</v>
      </c>
      <c r="G1405" t="b">
        <v>1</v>
      </c>
      <c r="H1405" t="b">
        <v>0</v>
      </c>
      <c r="I1405" t="b">
        <v>1</v>
      </c>
    </row>
    <row r="1406" spans="1:9" x14ac:dyDescent="0.2">
      <c r="A1406" t="s">
        <v>1379</v>
      </c>
      <c r="B1406" t="s">
        <v>3380</v>
      </c>
      <c r="D1406" t="b">
        <f>IFERROR(VLOOKUP(B1406,PatData!$A$2:$A$2000,1,),"")&lt;&gt;""</f>
        <v>1</v>
      </c>
      <c r="E1406" t="b">
        <v>0</v>
      </c>
      <c r="F1406" t="b">
        <v>0</v>
      </c>
      <c r="G1406" t="b">
        <v>1</v>
      </c>
      <c r="H1406" t="b">
        <v>0</v>
      </c>
      <c r="I1406" t="b">
        <v>1</v>
      </c>
    </row>
    <row r="1407" spans="1:9" x14ac:dyDescent="0.2">
      <c r="A1407" t="s">
        <v>1380</v>
      </c>
      <c r="B1407" t="s">
        <v>3381</v>
      </c>
      <c r="D1407" t="b">
        <f>IFERROR(VLOOKUP(B1407,PatData!$A$2:$A$2000,1,),"")&lt;&gt;""</f>
        <v>1</v>
      </c>
      <c r="E1407" t="b">
        <v>0</v>
      </c>
      <c r="F1407" t="b">
        <v>0</v>
      </c>
      <c r="G1407" t="b">
        <v>1</v>
      </c>
      <c r="H1407" t="b">
        <v>0</v>
      </c>
      <c r="I1407" t="b">
        <v>1</v>
      </c>
    </row>
    <row r="1408" spans="1:9" x14ac:dyDescent="0.2">
      <c r="A1408" t="s">
        <v>1381</v>
      </c>
      <c r="B1408" t="s">
        <v>3382</v>
      </c>
      <c r="D1408" t="b">
        <f>IFERROR(VLOOKUP(B1408,PatData!$A$2:$A$2000,1,),"")&lt;&gt;""</f>
        <v>1</v>
      </c>
      <c r="E1408" t="b">
        <v>0</v>
      </c>
      <c r="F1408" t="b">
        <v>0</v>
      </c>
      <c r="G1408" t="b">
        <v>1</v>
      </c>
      <c r="H1408" t="b">
        <v>0</v>
      </c>
      <c r="I1408" t="b">
        <v>1</v>
      </c>
    </row>
    <row r="1409" spans="1:9" x14ac:dyDescent="0.2">
      <c r="A1409" t="s">
        <v>1382</v>
      </c>
      <c r="B1409" t="s">
        <v>3383</v>
      </c>
      <c r="D1409" t="b">
        <f>IFERROR(VLOOKUP(B1409,PatData!$A$2:$A$2000,1,),"")&lt;&gt;""</f>
        <v>1</v>
      </c>
      <c r="E1409" t="b">
        <v>0</v>
      </c>
      <c r="F1409" t="b">
        <v>0</v>
      </c>
      <c r="G1409" t="b">
        <v>1</v>
      </c>
      <c r="H1409" t="b">
        <v>0</v>
      </c>
      <c r="I1409" t="b">
        <v>1</v>
      </c>
    </row>
    <row r="1410" spans="1:9" x14ac:dyDescent="0.2">
      <c r="A1410" t="s">
        <v>1383</v>
      </c>
      <c r="B1410" t="s">
        <v>3384</v>
      </c>
      <c r="D1410" t="b">
        <f>IFERROR(VLOOKUP(B1410,PatData!$A$2:$A$2000,1,),"")&lt;&gt;""</f>
        <v>1</v>
      </c>
      <c r="E1410" t="b">
        <v>0</v>
      </c>
      <c r="F1410" t="b">
        <v>0</v>
      </c>
      <c r="G1410" t="b">
        <v>1</v>
      </c>
      <c r="H1410" t="b">
        <v>0</v>
      </c>
      <c r="I1410" t="b">
        <v>1</v>
      </c>
    </row>
    <row r="1411" spans="1:9" x14ac:dyDescent="0.2">
      <c r="A1411" t="s">
        <v>1384</v>
      </c>
      <c r="B1411" t="s">
        <v>3385</v>
      </c>
      <c r="D1411" t="b">
        <f>IFERROR(VLOOKUP(B1411,PatData!$A$2:$A$2000,1,),"")&lt;&gt;""</f>
        <v>1</v>
      </c>
      <c r="E1411" t="b">
        <v>0</v>
      </c>
      <c r="F1411" t="b">
        <v>0</v>
      </c>
      <c r="G1411" t="b">
        <v>1</v>
      </c>
      <c r="H1411" t="b">
        <v>0</v>
      </c>
      <c r="I1411" t="b">
        <v>1</v>
      </c>
    </row>
    <row r="1412" spans="1:9" x14ac:dyDescent="0.2">
      <c r="A1412" t="s">
        <v>1385</v>
      </c>
      <c r="B1412" t="s">
        <v>3386</v>
      </c>
      <c r="D1412" t="b">
        <f>IFERROR(VLOOKUP(B1412,PatData!$A$2:$A$2000,1,),"")&lt;&gt;""</f>
        <v>1</v>
      </c>
      <c r="E1412" t="b">
        <v>0</v>
      </c>
      <c r="F1412" t="b">
        <v>0</v>
      </c>
      <c r="G1412" t="b">
        <v>1</v>
      </c>
      <c r="H1412" t="b">
        <v>0</v>
      </c>
      <c r="I1412" t="b">
        <v>1</v>
      </c>
    </row>
    <row r="1413" spans="1:9" x14ac:dyDescent="0.2">
      <c r="A1413" t="s">
        <v>1386</v>
      </c>
      <c r="B1413" t="s">
        <v>3387</v>
      </c>
      <c r="D1413" t="b">
        <f>IFERROR(VLOOKUP(B1413,PatData!$A$2:$A$2000,1,),"")&lt;&gt;""</f>
        <v>1</v>
      </c>
      <c r="E1413" t="b">
        <v>0</v>
      </c>
      <c r="F1413" t="b">
        <v>0</v>
      </c>
      <c r="G1413" t="b">
        <v>1</v>
      </c>
      <c r="H1413" t="b">
        <v>0</v>
      </c>
      <c r="I1413" t="b">
        <v>1</v>
      </c>
    </row>
    <row r="1414" spans="1:9" x14ac:dyDescent="0.2">
      <c r="A1414" t="s">
        <v>1387</v>
      </c>
      <c r="B1414" t="s">
        <v>3388</v>
      </c>
      <c r="D1414" t="b">
        <f>IFERROR(VLOOKUP(B1414,PatData!$A$2:$A$2000,1,),"")&lt;&gt;""</f>
        <v>1</v>
      </c>
      <c r="E1414" t="b">
        <v>0</v>
      </c>
      <c r="F1414" t="b">
        <v>0</v>
      </c>
      <c r="G1414" t="b">
        <v>1</v>
      </c>
      <c r="H1414" t="b">
        <v>0</v>
      </c>
      <c r="I1414" t="b">
        <v>1</v>
      </c>
    </row>
    <row r="1415" spans="1:9" x14ac:dyDescent="0.2">
      <c r="A1415" t="s">
        <v>1388</v>
      </c>
      <c r="B1415" t="s">
        <v>3389</v>
      </c>
      <c r="D1415" t="b">
        <f>IFERROR(VLOOKUP(B1415,PatData!$A$2:$A$2000,1,),"")&lt;&gt;""</f>
        <v>1</v>
      </c>
      <c r="E1415" t="b">
        <v>0</v>
      </c>
      <c r="F1415" t="b">
        <v>0</v>
      </c>
      <c r="G1415" t="b">
        <v>1</v>
      </c>
      <c r="H1415" t="b">
        <v>0</v>
      </c>
      <c r="I1415" t="b">
        <v>1</v>
      </c>
    </row>
    <row r="1416" spans="1:9" x14ac:dyDescent="0.2">
      <c r="A1416" t="s">
        <v>1389</v>
      </c>
      <c r="B1416" t="s">
        <v>3390</v>
      </c>
      <c r="D1416" t="b">
        <f>IFERROR(VLOOKUP(B1416,PatData!$A$2:$A$2000,1,),"")&lt;&gt;""</f>
        <v>1</v>
      </c>
      <c r="E1416" t="b">
        <v>0</v>
      </c>
      <c r="F1416" t="b">
        <v>0</v>
      </c>
      <c r="G1416" t="b">
        <v>1</v>
      </c>
      <c r="H1416" t="b">
        <v>0</v>
      </c>
      <c r="I1416" t="b">
        <v>1</v>
      </c>
    </row>
    <row r="1417" spans="1:9" x14ac:dyDescent="0.2">
      <c r="A1417" t="s">
        <v>4631</v>
      </c>
      <c r="B1417" t="s">
        <v>3391</v>
      </c>
      <c r="D1417" t="b">
        <f>IFERROR(VLOOKUP(B1417,PatData!$A$2:$A$2000,1,),"")&lt;&gt;""</f>
        <v>1</v>
      </c>
      <c r="E1417"/>
      <c r="F1417" t="b">
        <v>0</v>
      </c>
      <c r="G1417" t="b">
        <v>1</v>
      </c>
      <c r="H1417" t="b">
        <v>0</v>
      </c>
      <c r="I1417" t="b">
        <v>1</v>
      </c>
    </row>
    <row r="1418" spans="1:9" x14ac:dyDescent="0.2">
      <c r="A1418" t="s">
        <v>1390</v>
      </c>
      <c r="B1418" t="s">
        <v>3392</v>
      </c>
      <c r="D1418" t="b">
        <f>IFERROR(VLOOKUP(B1418,PatData!$A$2:$A$2000,1,),"")&lt;&gt;""</f>
        <v>1</v>
      </c>
      <c r="E1418" t="b">
        <v>0</v>
      </c>
      <c r="F1418" t="b">
        <v>0</v>
      </c>
      <c r="G1418" t="b">
        <v>1</v>
      </c>
      <c r="H1418" t="b">
        <v>0</v>
      </c>
      <c r="I1418" t="b">
        <v>1</v>
      </c>
    </row>
    <row r="1419" spans="1:9" x14ac:dyDescent="0.2">
      <c r="A1419" t="s">
        <v>1391</v>
      </c>
      <c r="B1419" t="s">
        <v>3393</v>
      </c>
      <c r="D1419" t="b">
        <f>IFERROR(VLOOKUP(B1419,PatData!$A$2:$A$2000,1,),"")&lt;&gt;""</f>
        <v>1</v>
      </c>
      <c r="E1419" t="b">
        <v>0</v>
      </c>
      <c r="F1419" t="b">
        <v>0</v>
      </c>
      <c r="G1419" t="b">
        <v>1</v>
      </c>
      <c r="H1419" t="b">
        <v>0</v>
      </c>
      <c r="I1419" t="b">
        <v>1</v>
      </c>
    </row>
    <row r="1420" spans="1:9" x14ac:dyDescent="0.2">
      <c r="A1420" t="s">
        <v>1392</v>
      </c>
      <c r="B1420" t="s">
        <v>3394</v>
      </c>
      <c r="D1420" t="b">
        <f>IFERROR(VLOOKUP(B1420,PatData!$A$2:$A$2000,1,),"")&lt;&gt;""</f>
        <v>1</v>
      </c>
      <c r="E1420" t="b">
        <v>0</v>
      </c>
      <c r="F1420" t="b">
        <v>0</v>
      </c>
      <c r="G1420" t="b">
        <v>1</v>
      </c>
      <c r="H1420" t="b">
        <v>0</v>
      </c>
      <c r="I1420" t="b">
        <v>1</v>
      </c>
    </row>
    <row r="1421" spans="1:9" x14ac:dyDescent="0.2">
      <c r="A1421" t="s">
        <v>1393</v>
      </c>
      <c r="B1421" t="s">
        <v>3395</v>
      </c>
      <c r="D1421" t="b">
        <f>IFERROR(VLOOKUP(B1421,PatData!$A$2:$A$2000,1,),"")&lt;&gt;""</f>
        <v>1</v>
      </c>
      <c r="E1421" t="b">
        <v>0</v>
      </c>
      <c r="F1421" t="b">
        <v>0</v>
      </c>
      <c r="G1421" t="b">
        <v>1</v>
      </c>
      <c r="H1421" t="b">
        <v>0</v>
      </c>
      <c r="I1421" t="b">
        <v>1</v>
      </c>
    </row>
    <row r="1422" spans="1:9" x14ac:dyDescent="0.2">
      <c r="A1422" t="s">
        <v>1394</v>
      </c>
      <c r="B1422" t="s">
        <v>3396</v>
      </c>
      <c r="D1422" t="b">
        <f>IFERROR(VLOOKUP(B1422,PatData!$A$2:$A$2000,1,),"")&lt;&gt;""</f>
        <v>1</v>
      </c>
      <c r="E1422" t="b">
        <v>0</v>
      </c>
      <c r="F1422" t="b">
        <v>0</v>
      </c>
      <c r="G1422" t="b">
        <v>1</v>
      </c>
      <c r="H1422" t="b">
        <v>0</v>
      </c>
      <c r="I1422" t="b">
        <v>1</v>
      </c>
    </row>
    <row r="1423" spans="1:9" x14ac:dyDescent="0.2">
      <c r="A1423" t="s">
        <v>1395</v>
      </c>
      <c r="B1423" t="s">
        <v>3397</v>
      </c>
      <c r="D1423" t="b">
        <f>IFERROR(VLOOKUP(B1423,PatData!$A$2:$A$2000,1,),"")&lt;&gt;""</f>
        <v>1</v>
      </c>
      <c r="E1423" t="b">
        <v>0</v>
      </c>
      <c r="F1423" t="b">
        <v>0</v>
      </c>
      <c r="G1423" t="b">
        <v>1</v>
      </c>
      <c r="H1423" t="b">
        <v>0</v>
      </c>
      <c r="I1423" t="b">
        <v>1</v>
      </c>
    </row>
    <row r="1424" spans="1:9" x14ac:dyDescent="0.2">
      <c r="A1424" t="s">
        <v>1396</v>
      </c>
      <c r="B1424" t="s">
        <v>3398</v>
      </c>
      <c r="D1424" t="b">
        <f>IFERROR(VLOOKUP(B1424,PatData!$A$2:$A$2000,1,),"")&lt;&gt;""</f>
        <v>1</v>
      </c>
      <c r="E1424" t="b">
        <v>0</v>
      </c>
      <c r="F1424" t="b">
        <v>0</v>
      </c>
      <c r="G1424" t="b">
        <v>1</v>
      </c>
      <c r="H1424" t="b">
        <v>0</v>
      </c>
      <c r="I1424" t="b">
        <v>1</v>
      </c>
    </row>
    <row r="1425" spans="1:9" x14ac:dyDescent="0.2">
      <c r="A1425" t="s">
        <v>1397</v>
      </c>
      <c r="B1425" t="s">
        <v>3399</v>
      </c>
      <c r="D1425" t="b">
        <f>IFERROR(VLOOKUP(B1425,PatData!$A$2:$A$2000,1,),"")&lt;&gt;""</f>
        <v>1</v>
      </c>
      <c r="E1425" t="b">
        <v>0</v>
      </c>
      <c r="F1425" t="b">
        <v>0</v>
      </c>
      <c r="G1425" t="b">
        <v>1</v>
      </c>
      <c r="H1425" t="b">
        <v>0</v>
      </c>
      <c r="I1425" t="b">
        <v>1</v>
      </c>
    </row>
    <row r="1426" spans="1:9" x14ac:dyDescent="0.2">
      <c r="A1426" t="s">
        <v>1398</v>
      </c>
      <c r="B1426" t="s">
        <v>3400</v>
      </c>
      <c r="D1426" t="b">
        <f>IFERROR(VLOOKUP(B1426,PatData!$A$2:$A$2000,1,),"")&lt;&gt;""</f>
        <v>1</v>
      </c>
      <c r="E1426" t="b">
        <v>0</v>
      </c>
      <c r="F1426" t="b">
        <v>0</v>
      </c>
      <c r="G1426" t="b">
        <v>1</v>
      </c>
      <c r="H1426" t="b">
        <v>0</v>
      </c>
      <c r="I1426" t="b">
        <v>1</v>
      </c>
    </row>
    <row r="1427" spans="1:9" x14ac:dyDescent="0.2">
      <c r="A1427" t="s">
        <v>1399</v>
      </c>
      <c r="B1427" t="s">
        <v>3401</v>
      </c>
      <c r="D1427" t="b">
        <f>IFERROR(VLOOKUP(B1427,PatData!$A$2:$A$2000,1,),"")&lt;&gt;""</f>
        <v>1</v>
      </c>
      <c r="E1427" t="b">
        <v>0</v>
      </c>
      <c r="F1427" t="b">
        <v>0</v>
      </c>
      <c r="G1427" t="b">
        <v>1</v>
      </c>
      <c r="H1427" t="b">
        <v>0</v>
      </c>
      <c r="I1427" t="b">
        <v>1</v>
      </c>
    </row>
    <row r="1428" spans="1:9" x14ac:dyDescent="0.2">
      <c r="A1428" t="s">
        <v>1400</v>
      </c>
      <c r="B1428" t="s">
        <v>3402</v>
      </c>
      <c r="D1428" t="b">
        <f>IFERROR(VLOOKUP(B1428,PatData!$A$2:$A$2000,1,),"")&lt;&gt;""</f>
        <v>1</v>
      </c>
      <c r="E1428" t="b">
        <v>0</v>
      </c>
      <c r="F1428" t="b">
        <v>0</v>
      </c>
      <c r="G1428" t="b">
        <v>1</v>
      </c>
      <c r="H1428" t="b">
        <v>0</v>
      </c>
      <c r="I1428" t="b">
        <v>1</v>
      </c>
    </row>
    <row r="1429" spans="1:9" x14ac:dyDescent="0.2">
      <c r="A1429" t="s">
        <v>1401</v>
      </c>
      <c r="B1429" t="s">
        <v>3403</v>
      </c>
      <c r="D1429" t="b">
        <f>IFERROR(VLOOKUP(B1429,PatData!$A$2:$A$2000,1,),"")&lt;&gt;""</f>
        <v>1</v>
      </c>
      <c r="E1429" t="b">
        <v>0</v>
      </c>
      <c r="F1429" t="b">
        <v>0</v>
      </c>
      <c r="G1429" t="b">
        <v>1</v>
      </c>
      <c r="H1429" t="b">
        <v>0</v>
      </c>
      <c r="I1429" t="b">
        <v>1</v>
      </c>
    </row>
    <row r="1430" spans="1:9" x14ac:dyDescent="0.2">
      <c r="A1430" t="s">
        <v>1402</v>
      </c>
      <c r="B1430" t="s">
        <v>3404</v>
      </c>
      <c r="D1430" t="b">
        <f>IFERROR(VLOOKUP(B1430,PatData!$A$2:$A$2000,1,),"")&lt;&gt;""</f>
        <v>1</v>
      </c>
      <c r="E1430" t="b">
        <v>0</v>
      </c>
      <c r="F1430" t="b">
        <v>0</v>
      </c>
      <c r="G1430" t="b">
        <v>1</v>
      </c>
      <c r="H1430" t="b">
        <v>0</v>
      </c>
      <c r="I1430" t="b">
        <v>1</v>
      </c>
    </row>
    <row r="1431" spans="1:9" x14ac:dyDescent="0.2">
      <c r="A1431" t="s">
        <v>1403</v>
      </c>
      <c r="B1431" t="s">
        <v>3405</v>
      </c>
      <c r="D1431" t="b">
        <f>IFERROR(VLOOKUP(B1431,PatData!$A$2:$A$2000,1,),"")&lt;&gt;""</f>
        <v>1</v>
      </c>
      <c r="E1431" t="b">
        <v>0</v>
      </c>
      <c r="F1431" t="b">
        <v>0</v>
      </c>
      <c r="G1431" t="b">
        <v>1</v>
      </c>
      <c r="H1431" t="b">
        <v>0</v>
      </c>
      <c r="I1431" t="b">
        <v>1</v>
      </c>
    </row>
    <row r="1432" spans="1:9" x14ac:dyDescent="0.2">
      <c r="A1432" t="s">
        <v>1404</v>
      </c>
      <c r="B1432" t="s">
        <v>3406</v>
      </c>
      <c r="D1432" t="b">
        <f>IFERROR(VLOOKUP(B1432,PatData!$A$2:$A$2000,1,),"")&lt;&gt;""</f>
        <v>1</v>
      </c>
      <c r="E1432" t="b">
        <v>0</v>
      </c>
      <c r="F1432" t="b">
        <v>0</v>
      </c>
      <c r="G1432" t="b">
        <v>1</v>
      </c>
      <c r="H1432" t="b">
        <v>0</v>
      </c>
      <c r="I1432" t="b">
        <v>1</v>
      </c>
    </row>
    <row r="1433" spans="1:9" x14ac:dyDescent="0.2">
      <c r="A1433" t="s">
        <v>1405</v>
      </c>
      <c r="B1433" t="s">
        <v>3407</v>
      </c>
      <c r="D1433" t="b">
        <f>IFERROR(VLOOKUP(B1433,PatData!$A$2:$A$2000,1,),"")&lt;&gt;""</f>
        <v>1</v>
      </c>
      <c r="E1433" t="b">
        <v>0</v>
      </c>
      <c r="F1433" t="b">
        <v>0</v>
      </c>
      <c r="G1433" t="b">
        <v>1</v>
      </c>
      <c r="H1433" t="b">
        <v>0</v>
      </c>
      <c r="I1433" t="b">
        <v>1</v>
      </c>
    </row>
    <row r="1434" spans="1:9" x14ac:dyDescent="0.2">
      <c r="A1434" t="s">
        <v>1406</v>
      </c>
      <c r="B1434" t="s">
        <v>3408</v>
      </c>
      <c r="D1434" t="b">
        <f>IFERROR(VLOOKUP(B1434,PatData!$A$2:$A$2000,1,),"")&lt;&gt;""</f>
        <v>1</v>
      </c>
      <c r="E1434" t="b">
        <v>0</v>
      </c>
      <c r="F1434" t="b">
        <v>0</v>
      </c>
      <c r="G1434" t="b">
        <v>1</v>
      </c>
      <c r="H1434" t="b">
        <v>0</v>
      </c>
      <c r="I1434" t="b">
        <v>1</v>
      </c>
    </row>
    <row r="1435" spans="1:9" x14ac:dyDescent="0.2">
      <c r="A1435" t="s">
        <v>1407</v>
      </c>
      <c r="B1435" t="s">
        <v>3409</v>
      </c>
      <c r="D1435" t="b">
        <f>IFERROR(VLOOKUP(B1435,PatData!$A$2:$A$2000,1,),"")&lt;&gt;""</f>
        <v>1</v>
      </c>
      <c r="E1435" t="b">
        <v>0</v>
      </c>
      <c r="F1435" t="b">
        <v>0</v>
      </c>
      <c r="G1435" t="b">
        <v>1</v>
      </c>
      <c r="H1435" t="b">
        <v>0</v>
      </c>
      <c r="I1435" t="b">
        <v>1</v>
      </c>
    </row>
    <row r="1436" spans="1:9" x14ac:dyDescent="0.2">
      <c r="A1436" t="s">
        <v>1408</v>
      </c>
      <c r="B1436" t="s">
        <v>3410</v>
      </c>
      <c r="D1436" t="b">
        <f>IFERROR(VLOOKUP(B1436,PatData!$A$2:$A$2000,1,),"")&lt;&gt;""</f>
        <v>1</v>
      </c>
      <c r="E1436" t="b">
        <v>0</v>
      </c>
      <c r="F1436" t="b">
        <v>0</v>
      </c>
      <c r="G1436" t="b">
        <v>1</v>
      </c>
      <c r="H1436" t="b">
        <v>0</v>
      </c>
      <c r="I1436" t="b">
        <v>1</v>
      </c>
    </row>
    <row r="1437" spans="1:9" x14ac:dyDescent="0.2">
      <c r="A1437" t="s">
        <v>1409</v>
      </c>
      <c r="B1437" t="s">
        <v>3411</v>
      </c>
      <c r="D1437" t="b">
        <f>IFERROR(VLOOKUP(B1437,PatData!$A$2:$A$2000,1,),"")&lt;&gt;""</f>
        <v>1</v>
      </c>
      <c r="E1437" t="b">
        <v>0</v>
      </c>
      <c r="F1437" t="b">
        <v>0</v>
      </c>
      <c r="G1437" t="b">
        <v>1</v>
      </c>
      <c r="H1437" t="b">
        <v>0</v>
      </c>
      <c r="I1437" t="b">
        <v>1</v>
      </c>
    </row>
    <row r="1438" spans="1:9" x14ac:dyDescent="0.2">
      <c r="A1438" t="s">
        <v>1410</v>
      </c>
      <c r="B1438" t="s">
        <v>3412</v>
      </c>
      <c r="D1438" t="b">
        <f>IFERROR(VLOOKUP(B1438,PatData!$A$2:$A$2000,1,),"")&lt;&gt;""</f>
        <v>1</v>
      </c>
      <c r="E1438" t="b">
        <v>0</v>
      </c>
      <c r="F1438" t="b">
        <v>0</v>
      </c>
      <c r="G1438" t="b">
        <v>1</v>
      </c>
      <c r="H1438" t="b">
        <v>0</v>
      </c>
      <c r="I1438" t="b">
        <v>1</v>
      </c>
    </row>
    <row r="1439" spans="1:9" x14ac:dyDescent="0.2">
      <c r="A1439" t="s">
        <v>1411</v>
      </c>
      <c r="B1439" t="s">
        <v>3413</v>
      </c>
      <c r="D1439" t="b">
        <f>IFERROR(VLOOKUP(B1439,PatData!$A$2:$A$2000,1,),"")&lt;&gt;""</f>
        <v>1</v>
      </c>
      <c r="E1439" t="b">
        <v>0</v>
      </c>
      <c r="F1439" t="b">
        <v>0</v>
      </c>
      <c r="G1439" t="b">
        <v>1</v>
      </c>
      <c r="H1439" t="b">
        <v>0</v>
      </c>
      <c r="I1439" t="b">
        <v>1</v>
      </c>
    </row>
    <row r="1440" spans="1:9" x14ac:dyDescent="0.2">
      <c r="A1440" t="s">
        <v>1412</v>
      </c>
      <c r="B1440" t="s">
        <v>3414</v>
      </c>
      <c r="D1440" t="b">
        <f>IFERROR(VLOOKUP(B1440,PatData!$A$2:$A$2000,1,),"")&lt;&gt;""</f>
        <v>1</v>
      </c>
      <c r="E1440" t="b">
        <v>0</v>
      </c>
      <c r="F1440" t="b">
        <v>0</v>
      </c>
      <c r="G1440" t="b">
        <v>1</v>
      </c>
      <c r="H1440" t="b">
        <v>0</v>
      </c>
      <c r="I1440" t="b">
        <v>1</v>
      </c>
    </row>
    <row r="1441" spans="1:9" x14ac:dyDescent="0.2">
      <c r="A1441" t="s">
        <v>1413</v>
      </c>
      <c r="B1441" t="s">
        <v>3415</v>
      </c>
      <c r="D1441" t="b">
        <f>IFERROR(VLOOKUP(B1441,PatData!$A$2:$A$2000,1,),"")&lt;&gt;""</f>
        <v>1</v>
      </c>
      <c r="E1441" t="b">
        <v>0</v>
      </c>
      <c r="F1441" t="b">
        <v>0</v>
      </c>
      <c r="G1441" t="b">
        <v>1</v>
      </c>
      <c r="H1441" t="b">
        <v>0</v>
      </c>
      <c r="I1441" t="b">
        <v>1</v>
      </c>
    </row>
    <row r="1442" spans="1:9" x14ac:dyDescent="0.2">
      <c r="A1442" t="s">
        <v>1414</v>
      </c>
      <c r="B1442" t="s">
        <v>3416</v>
      </c>
      <c r="D1442" t="b">
        <f>IFERROR(VLOOKUP(B1442,PatData!$A$2:$A$2000,1,),"")&lt;&gt;""</f>
        <v>1</v>
      </c>
      <c r="E1442" t="b">
        <v>0</v>
      </c>
      <c r="F1442" t="b">
        <v>0</v>
      </c>
      <c r="G1442" t="b">
        <v>1</v>
      </c>
      <c r="H1442" t="b">
        <v>0</v>
      </c>
      <c r="I1442" t="b">
        <v>1</v>
      </c>
    </row>
    <row r="1443" spans="1:9" x14ac:dyDescent="0.2">
      <c r="A1443" t="s">
        <v>1415</v>
      </c>
      <c r="B1443" t="s">
        <v>3417</v>
      </c>
      <c r="D1443" t="b">
        <f>IFERROR(VLOOKUP(B1443,PatData!$A$2:$A$2000,1,),"")&lt;&gt;""</f>
        <v>1</v>
      </c>
      <c r="E1443" t="b">
        <v>0</v>
      </c>
      <c r="F1443" t="b">
        <v>0</v>
      </c>
      <c r="G1443" t="b">
        <v>1</v>
      </c>
      <c r="H1443" t="b">
        <v>0</v>
      </c>
      <c r="I1443" t="b">
        <v>1</v>
      </c>
    </row>
    <row r="1444" spans="1:9" x14ac:dyDescent="0.2">
      <c r="A1444" t="s">
        <v>1416</v>
      </c>
      <c r="B1444" t="s">
        <v>3418</v>
      </c>
      <c r="D1444" t="b">
        <f>IFERROR(VLOOKUP(B1444,PatData!$A$2:$A$2000,1,),"")&lt;&gt;""</f>
        <v>1</v>
      </c>
      <c r="E1444" t="b">
        <v>0</v>
      </c>
      <c r="F1444" t="b">
        <v>0</v>
      </c>
      <c r="G1444" t="b">
        <v>1</v>
      </c>
      <c r="H1444" t="b">
        <v>0</v>
      </c>
      <c r="I1444" t="b">
        <v>1</v>
      </c>
    </row>
    <row r="1445" spans="1:9" x14ac:dyDescent="0.2">
      <c r="A1445" t="s">
        <v>1417</v>
      </c>
      <c r="B1445" t="s">
        <v>3419</v>
      </c>
      <c r="D1445" t="b">
        <f>IFERROR(VLOOKUP(B1445,PatData!$A$2:$A$2000,1,),"")&lt;&gt;""</f>
        <v>1</v>
      </c>
      <c r="E1445" t="b">
        <v>0</v>
      </c>
      <c r="F1445" t="b">
        <v>0</v>
      </c>
      <c r="G1445" t="b">
        <v>1</v>
      </c>
      <c r="H1445" t="b">
        <v>0</v>
      </c>
      <c r="I1445" t="b">
        <v>1</v>
      </c>
    </row>
    <row r="1446" spans="1:9" x14ac:dyDescent="0.2">
      <c r="A1446" t="s">
        <v>1418</v>
      </c>
      <c r="B1446" t="s">
        <v>3420</v>
      </c>
      <c r="D1446" t="b">
        <f>IFERROR(VLOOKUP(B1446,PatData!$A$2:$A$2000,1,),"")&lt;&gt;""</f>
        <v>1</v>
      </c>
      <c r="E1446" t="b">
        <v>0</v>
      </c>
      <c r="F1446" t="b">
        <v>0</v>
      </c>
      <c r="G1446" t="b">
        <v>1</v>
      </c>
      <c r="H1446" t="b">
        <v>0</v>
      </c>
      <c r="I1446" t="b">
        <v>1</v>
      </c>
    </row>
    <row r="1447" spans="1:9" x14ac:dyDescent="0.2">
      <c r="A1447" t="s">
        <v>1419</v>
      </c>
      <c r="B1447" t="s">
        <v>3421</v>
      </c>
      <c r="D1447" t="b">
        <f>IFERROR(VLOOKUP(B1447,PatData!$A$2:$A$2000,1,),"")&lt;&gt;""</f>
        <v>1</v>
      </c>
      <c r="E1447" t="b">
        <v>0</v>
      </c>
      <c r="F1447" t="b">
        <v>0</v>
      </c>
      <c r="G1447" t="b">
        <v>1</v>
      </c>
      <c r="H1447" t="b">
        <v>0</v>
      </c>
      <c r="I1447" t="b">
        <v>1</v>
      </c>
    </row>
    <row r="1448" spans="1:9" x14ac:dyDescent="0.2">
      <c r="A1448" t="s">
        <v>1420</v>
      </c>
      <c r="B1448" t="s">
        <v>3422</v>
      </c>
      <c r="D1448" t="b">
        <f>IFERROR(VLOOKUP(B1448,PatData!$A$2:$A$2000,1,),"")&lt;&gt;""</f>
        <v>1</v>
      </c>
      <c r="E1448" t="b">
        <v>0</v>
      </c>
      <c r="F1448" t="b">
        <v>0</v>
      </c>
      <c r="G1448" t="b">
        <v>1</v>
      </c>
      <c r="H1448" t="b">
        <v>0</v>
      </c>
      <c r="I1448" t="b">
        <v>1</v>
      </c>
    </row>
    <row r="1449" spans="1:9" x14ac:dyDescent="0.2">
      <c r="A1449" t="s">
        <v>1421</v>
      </c>
      <c r="B1449" t="s">
        <v>3423</v>
      </c>
      <c r="D1449" t="b">
        <f>IFERROR(VLOOKUP(B1449,PatData!$A$2:$A$2000,1,),"")&lt;&gt;""</f>
        <v>1</v>
      </c>
      <c r="E1449" t="b">
        <v>0</v>
      </c>
      <c r="F1449" t="b">
        <v>0</v>
      </c>
      <c r="G1449" t="b">
        <v>1</v>
      </c>
      <c r="H1449" t="b">
        <v>0</v>
      </c>
      <c r="I1449" t="b">
        <v>1</v>
      </c>
    </row>
    <row r="1450" spans="1:9" x14ac:dyDescent="0.2">
      <c r="A1450" t="s">
        <v>1422</v>
      </c>
      <c r="B1450" t="s">
        <v>3424</v>
      </c>
      <c r="D1450" t="b">
        <f>IFERROR(VLOOKUP(B1450,PatData!$A$2:$A$2000,1,),"")&lt;&gt;""</f>
        <v>1</v>
      </c>
      <c r="E1450">
        <v>1</v>
      </c>
      <c r="F1450" t="b">
        <v>0</v>
      </c>
      <c r="G1450" t="b">
        <v>1</v>
      </c>
      <c r="H1450" t="b">
        <v>0</v>
      </c>
      <c r="I1450" t="b">
        <v>1</v>
      </c>
    </row>
    <row r="1451" spans="1:9" x14ac:dyDescent="0.2">
      <c r="A1451" t="s">
        <v>1423</v>
      </c>
      <c r="B1451" t="s">
        <v>3425</v>
      </c>
      <c r="D1451" t="b">
        <f>IFERROR(VLOOKUP(B1451,PatData!$A$2:$A$2000,1,),"")&lt;&gt;""</f>
        <v>1</v>
      </c>
      <c r="E1451">
        <v>1</v>
      </c>
      <c r="F1451" t="b">
        <v>0</v>
      </c>
      <c r="G1451" t="b">
        <v>1</v>
      </c>
      <c r="H1451" t="b">
        <v>0</v>
      </c>
      <c r="I1451" t="b">
        <v>1</v>
      </c>
    </row>
    <row r="1452" spans="1:9" x14ac:dyDescent="0.2">
      <c r="A1452" t="s">
        <v>1424</v>
      </c>
      <c r="B1452" t="s">
        <v>3426</v>
      </c>
      <c r="D1452" t="b">
        <f>IFERROR(VLOOKUP(B1452,PatData!$A$2:$A$2000,1,),"")&lt;&gt;""</f>
        <v>1</v>
      </c>
      <c r="E1452">
        <v>1</v>
      </c>
      <c r="F1452" t="b">
        <v>0</v>
      </c>
      <c r="G1452" t="b">
        <v>1</v>
      </c>
      <c r="H1452" t="b">
        <v>0</v>
      </c>
      <c r="I1452" t="b">
        <v>1</v>
      </c>
    </row>
    <row r="1453" spans="1:9" x14ac:dyDescent="0.2">
      <c r="A1453" t="s">
        <v>1425</v>
      </c>
      <c r="B1453" t="s">
        <v>3427</v>
      </c>
      <c r="D1453" t="b">
        <f>IFERROR(VLOOKUP(B1453,PatData!$A$2:$A$2000,1,),"")&lt;&gt;""</f>
        <v>1</v>
      </c>
      <c r="E1453">
        <v>1</v>
      </c>
      <c r="F1453" t="b">
        <v>0</v>
      </c>
      <c r="G1453" t="b">
        <v>1</v>
      </c>
      <c r="H1453" t="b">
        <v>0</v>
      </c>
      <c r="I1453" t="b">
        <v>1</v>
      </c>
    </row>
    <row r="1454" spans="1:9" x14ac:dyDescent="0.2">
      <c r="A1454" t="s">
        <v>1426</v>
      </c>
      <c r="B1454" t="s">
        <v>3428</v>
      </c>
      <c r="D1454" t="b">
        <f>IFERROR(VLOOKUP(B1454,PatData!$A$2:$A$2000,1,),"")&lt;&gt;""</f>
        <v>1</v>
      </c>
      <c r="E1454">
        <v>1</v>
      </c>
      <c r="F1454" t="b">
        <v>0</v>
      </c>
      <c r="G1454" t="b">
        <v>1</v>
      </c>
      <c r="H1454" t="b">
        <v>0</v>
      </c>
      <c r="I1454" t="b">
        <v>1</v>
      </c>
    </row>
    <row r="1455" spans="1:9" x14ac:dyDescent="0.2">
      <c r="A1455" t="s">
        <v>1427</v>
      </c>
      <c r="B1455" t="s">
        <v>3429</v>
      </c>
      <c r="D1455" t="b">
        <f>IFERROR(VLOOKUP(B1455,PatData!$A$2:$A$2000,1,),"")&lt;&gt;""</f>
        <v>1</v>
      </c>
      <c r="E1455">
        <v>1</v>
      </c>
      <c r="F1455" t="b">
        <v>0</v>
      </c>
      <c r="G1455" t="b">
        <v>1</v>
      </c>
      <c r="H1455" t="b">
        <v>0</v>
      </c>
      <c r="I1455" t="b">
        <v>1</v>
      </c>
    </row>
    <row r="1456" spans="1:9" x14ac:dyDescent="0.2">
      <c r="A1456" t="s">
        <v>1428</v>
      </c>
      <c r="B1456" t="s">
        <v>3430</v>
      </c>
      <c r="D1456" t="b">
        <f>IFERROR(VLOOKUP(B1456,PatData!$A$2:$A$2000,1,),"")&lt;&gt;""</f>
        <v>1</v>
      </c>
      <c r="E1456">
        <v>1</v>
      </c>
      <c r="F1456" t="b">
        <v>0</v>
      </c>
      <c r="G1456" t="b">
        <v>1</v>
      </c>
      <c r="H1456" t="b">
        <v>0</v>
      </c>
      <c r="I1456" t="b">
        <v>1</v>
      </c>
    </row>
    <row r="1457" spans="1:9" x14ac:dyDescent="0.2">
      <c r="A1457" t="s">
        <v>1429</v>
      </c>
      <c r="B1457" t="s">
        <v>3431</v>
      </c>
      <c r="D1457" t="b">
        <f>IFERROR(VLOOKUP(B1457,PatData!$A$2:$A$2000,1,),"")&lt;&gt;""</f>
        <v>1</v>
      </c>
      <c r="E1457">
        <v>1</v>
      </c>
      <c r="F1457" t="b">
        <v>0</v>
      </c>
      <c r="G1457" t="b">
        <v>1</v>
      </c>
      <c r="H1457" t="b">
        <v>0</v>
      </c>
      <c r="I1457" t="b">
        <v>1</v>
      </c>
    </row>
    <row r="1458" spans="1:9" x14ac:dyDescent="0.2">
      <c r="A1458" t="s">
        <v>1430</v>
      </c>
      <c r="B1458" t="s">
        <v>3432</v>
      </c>
      <c r="D1458" t="b">
        <f>IFERROR(VLOOKUP(B1458,PatData!$A$2:$A$2000,1,),"")&lt;&gt;""</f>
        <v>1</v>
      </c>
      <c r="E1458">
        <v>1</v>
      </c>
      <c r="F1458" t="b">
        <v>0</v>
      </c>
      <c r="G1458" t="b">
        <v>1</v>
      </c>
      <c r="H1458" t="b">
        <v>0</v>
      </c>
      <c r="I1458" t="b">
        <v>1</v>
      </c>
    </row>
    <row r="1459" spans="1:9" x14ac:dyDescent="0.2">
      <c r="A1459" t="s">
        <v>1431</v>
      </c>
      <c r="B1459" t="s">
        <v>3433</v>
      </c>
      <c r="D1459" t="b">
        <f>IFERROR(VLOOKUP(B1459,PatData!$A$2:$A$2000,1,),"")&lt;&gt;""</f>
        <v>1</v>
      </c>
      <c r="E1459">
        <v>1</v>
      </c>
      <c r="F1459" t="b">
        <v>0</v>
      </c>
      <c r="G1459" t="b">
        <v>1</v>
      </c>
      <c r="H1459" t="b">
        <v>0</v>
      </c>
      <c r="I1459" t="b">
        <v>1</v>
      </c>
    </row>
    <row r="1460" spans="1:9" x14ac:dyDescent="0.2">
      <c r="A1460" t="s">
        <v>1432</v>
      </c>
      <c r="B1460" t="s">
        <v>3434</v>
      </c>
      <c r="D1460" t="b">
        <f>IFERROR(VLOOKUP(B1460,PatData!$A$2:$A$2000,1,),"")&lt;&gt;""</f>
        <v>1</v>
      </c>
      <c r="E1460">
        <v>1</v>
      </c>
      <c r="F1460" t="b">
        <v>0</v>
      </c>
      <c r="G1460" t="b">
        <v>1</v>
      </c>
      <c r="H1460" t="b">
        <v>0</v>
      </c>
      <c r="I1460" t="b">
        <v>1</v>
      </c>
    </row>
    <row r="1461" spans="1:9" x14ac:dyDescent="0.2">
      <c r="A1461" t="s">
        <v>1433</v>
      </c>
      <c r="B1461" t="s">
        <v>3435</v>
      </c>
      <c r="D1461" t="b">
        <f>IFERROR(VLOOKUP(B1461,PatData!$A$2:$A$2000,1,),"")&lt;&gt;""</f>
        <v>1</v>
      </c>
      <c r="E1461">
        <v>1</v>
      </c>
      <c r="F1461" t="b">
        <v>0</v>
      </c>
      <c r="G1461" t="b">
        <v>1</v>
      </c>
      <c r="H1461" t="b">
        <v>0</v>
      </c>
      <c r="I1461" t="b">
        <v>1</v>
      </c>
    </row>
    <row r="1462" spans="1:9" x14ac:dyDescent="0.2">
      <c r="A1462" t="s">
        <v>1434</v>
      </c>
      <c r="B1462" t="s">
        <v>3436</v>
      </c>
      <c r="D1462" t="b">
        <f>IFERROR(VLOOKUP(B1462,PatData!$A$2:$A$2000,1,),"")&lt;&gt;""</f>
        <v>1</v>
      </c>
      <c r="E1462">
        <v>1</v>
      </c>
      <c r="F1462" t="b">
        <v>0</v>
      </c>
      <c r="G1462" t="b">
        <v>1</v>
      </c>
      <c r="H1462" t="b">
        <v>0</v>
      </c>
      <c r="I1462" t="b">
        <v>1</v>
      </c>
    </row>
    <row r="1463" spans="1:9" x14ac:dyDescent="0.2">
      <c r="A1463" t="s">
        <v>1435</v>
      </c>
      <c r="B1463" t="s">
        <v>3437</v>
      </c>
      <c r="D1463" t="b">
        <f>IFERROR(VLOOKUP(B1463,PatData!$A$2:$A$2000,1,),"")&lt;&gt;""</f>
        <v>1</v>
      </c>
      <c r="E1463">
        <v>1</v>
      </c>
      <c r="F1463" t="b">
        <v>0</v>
      </c>
      <c r="G1463" t="b">
        <v>1</v>
      </c>
      <c r="H1463" t="b">
        <v>0</v>
      </c>
      <c r="I1463" t="b">
        <v>1</v>
      </c>
    </row>
    <row r="1464" spans="1:9" x14ac:dyDescent="0.2">
      <c r="A1464" t="s">
        <v>1436</v>
      </c>
      <c r="B1464" t="s">
        <v>3438</v>
      </c>
      <c r="D1464" t="b">
        <f>IFERROR(VLOOKUP(B1464,PatData!$A$2:$A$2000,1,),"")&lt;&gt;""</f>
        <v>1</v>
      </c>
      <c r="E1464">
        <v>1</v>
      </c>
      <c r="F1464" t="b">
        <v>0</v>
      </c>
      <c r="G1464" t="b">
        <v>1</v>
      </c>
      <c r="H1464" t="b">
        <v>0</v>
      </c>
      <c r="I1464" t="b">
        <v>1</v>
      </c>
    </row>
    <row r="1465" spans="1:9" x14ac:dyDescent="0.2">
      <c r="A1465" t="s">
        <v>4407</v>
      </c>
      <c r="B1465" t="s">
        <v>4408</v>
      </c>
      <c r="D1465" t="b">
        <f>IFERROR(VLOOKUP(B1465,PatData!$A$2:$A$2000,1,),"")&lt;&gt;""</f>
        <v>1</v>
      </c>
      <c r="E1465"/>
      <c r="F1465" t="b">
        <v>0</v>
      </c>
      <c r="G1465" t="b">
        <v>1</v>
      </c>
      <c r="H1465" t="b">
        <v>0</v>
      </c>
      <c r="I1465" t="b">
        <v>1</v>
      </c>
    </row>
    <row r="1466" spans="1:9" x14ac:dyDescent="0.2">
      <c r="A1466" t="s">
        <v>4409</v>
      </c>
      <c r="B1466" t="s">
        <v>4410</v>
      </c>
      <c r="D1466" t="b">
        <f>IFERROR(VLOOKUP(B1466,PatData!$A$2:$A$2000,1,),"")&lt;&gt;""</f>
        <v>1</v>
      </c>
      <c r="E1466"/>
      <c r="F1466" t="b">
        <v>0</v>
      </c>
      <c r="G1466" t="b">
        <v>1</v>
      </c>
      <c r="H1466" t="b">
        <v>0</v>
      </c>
      <c r="I1466" t="b">
        <v>1</v>
      </c>
    </row>
    <row r="1467" spans="1:9" x14ac:dyDescent="0.2">
      <c r="A1467" t="s">
        <v>4411</v>
      </c>
      <c r="B1467" t="s">
        <v>4412</v>
      </c>
      <c r="D1467" t="b">
        <f>IFERROR(VLOOKUP(B1467,PatData!$A$2:$A$2000,1,),"")&lt;&gt;""</f>
        <v>1</v>
      </c>
      <c r="E1467"/>
      <c r="F1467" t="b">
        <v>0</v>
      </c>
      <c r="G1467" t="b">
        <v>1</v>
      </c>
      <c r="H1467" t="b">
        <v>0</v>
      </c>
      <c r="I1467" t="b">
        <v>1</v>
      </c>
    </row>
    <row r="1468" spans="1:9" x14ac:dyDescent="0.2">
      <c r="A1468" t="s">
        <v>4413</v>
      </c>
      <c r="B1468" t="s">
        <v>4414</v>
      </c>
      <c r="D1468" t="b">
        <f>IFERROR(VLOOKUP(B1468,PatData!$A$2:$A$2000,1,),"")&lt;&gt;""</f>
        <v>1</v>
      </c>
      <c r="E1468"/>
      <c r="F1468" t="b">
        <v>0</v>
      </c>
      <c r="G1468" t="b">
        <v>1</v>
      </c>
      <c r="H1468" t="b">
        <v>0</v>
      </c>
      <c r="I1468" t="b">
        <v>1</v>
      </c>
    </row>
    <row r="1469" spans="1:9" x14ac:dyDescent="0.2">
      <c r="A1469" t="s">
        <v>4415</v>
      </c>
      <c r="B1469" t="s">
        <v>4416</v>
      </c>
      <c r="D1469" t="b">
        <f>IFERROR(VLOOKUP(B1469,PatData!$A$2:$A$2000,1,),"")&lt;&gt;""</f>
        <v>1</v>
      </c>
      <c r="E1469"/>
      <c r="F1469" t="b">
        <v>0</v>
      </c>
      <c r="G1469" t="b">
        <v>1</v>
      </c>
      <c r="H1469" t="b">
        <v>0</v>
      </c>
      <c r="I1469" t="b">
        <v>1</v>
      </c>
    </row>
    <row r="1470" spans="1:9" x14ac:dyDescent="0.2">
      <c r="A1470" t="s">
        <v>1437</v>
      </c>
      <c r="B1470" t="s">
        <v>3439</v>
      </c>
      <c r="D1470" t="b">
        <f>IFERROR(VLOOKUP(B1470,PatData!$A$2:$A$2000,1,),"")&lt;&gt;""</f>
        <v>1</v>
      </c>
      <c r="E1470">
        <v>1</v>
      </c>
      <c r="F1470" t="b">
        <v>0</v>
      </c>
      <c r="G1470" t="b">
        <v>1</v>
      </c>
      <c r="H1470" t="b">
        <v>0</v>
      </c>
      <c r="I1470" t="b">
        <v>1</v>
      </c>
    </row>
    <row r="1471" spans="1:9" x14ac:dyDescent="0.2">
      <c r="A1471" t="s">
        <v>1438</v>
      </c>
      <c r="B1471" t="s">
        <v>3440</v>
      </c>
      <c r="D1471" t="b">
        <f>IFERROR(VLOOKUP(B1471,PatData!$A$2:$A$2000,1,),"")&lt;&gt;""</f>
        <v>1</v>
      </c>
      <c r="E1471">
        <v>1</v>
      </c>
      <c r="F1471" t="b">
        <v>0</v>
      </c>
      <c r="G1471" t="b">
        <v>1</v>
      </c>
      <c r="H1471" t="b">
        <v>0</v>
      </c>
      <c r="I1471" t="b">
        <v>1</v>
      </c>
    </row>
    <row r="1472" spans="1:9" x14ac:dyDescent="0.2">
      <c r="A1472" t="s">
        <v>1439</v>
      </c>
      <c r="B1472" t="s">
        <v>3441</v>
      </c>
      <c r="D1472" t="b">
        <f>IFERROR(VLOOKUP(B1472,PatData!$A$2:$A$2000,1,),"")&lt;&gt;""</f>
        <v>1</v>
      </c>
      <c r="E1472">
        <v>1</v>
      </c>
      <c r="F1472" t="b">
        <v>0</v>
      </c>
      <c r="G1472" t="b">
        <v>1</v>
      </c>
      <c r="H1472" t="b">
        <v>0</v>
      </c>
      <c r="I1472" t="b">
        <v>1</v>
      </c>
    </row>
    <row r="1473" spans="1:9" x14ac:dyDescent="0.2">
      <c r="A1473" t="s">
        <v>1440</v>
      </c>
      <c r="B1473" t="s">
        <v>3442</v>
      </c>
      <c r="D1473" t="b">
        <f>IFERROR(VLOOKUP(B1473,PatData!$A$2:$A$2000,1,),"")&lt;&gt;""</f>
        <v>1</v>
      </c>
      <c r="E1473">
        <v>1</v>
      </c>
      <c r="F1473" t="b">
        <v>0</v>
      </c>
      <c r="G1473" t="b">
        <v>1</v>
      </c>
      <c r="H1473" t="b">
        <v>0</v>
      </c>
      <c r="I1473" t="b">
        <v>1</v>
      </c>
    </row>
    <row r="1474" spans="1:9" x14ac:dyDescent="0.2">
      <c r="A1474" t="s">
        <v>1441</v>
      </c>
      <c r="B1474" t="s">
        <v>3443</v>
      </c>
      <c r="D1474" t="b">
        <f>IFERROR(VLOOKUP(B1474,PatData!$A$2:$A$2000,1,),"")&lt;&gt;""</f>
        <v>1</v>
      </c>
      <c r="E1474">
        <v>1</v>
      </c>
      <c r="F1474" t="b">
        <v>0</v>
      </c>
      <c r="G1474" t="b">
        <v>1</v>
      </c>
      <c r="H1474" t="b">
        <v>0</v>
      </c>
      <c r="I1474" t="b">
        <v>1</v>
      </c>
    </row>
    <row r="1475" spans="1:9" x14ac:dyDescent="0.2">
      <c r="A1475" t="s">
        <v>1442</v>
      </c>
      <c r="B1475" t="s">
        <v>3444</v>
      </c>
      <c r="D1475" t="b">
        <f>IFERROR(VLOOKUP(B1475,PatData!$A$2:$A$2000,1,),"")&lt;&gt;""</f>
        <v>1</v>
      </c>
      <c r="E1475">
        <v>1</v>
      </c>
      <c r="F1475" t="b">
        <v>0</v>
      </c>
      <c r="G1475" t="b">
        <v>1</v>
      </c>
      <c r="H1475" t="b">
        <v>0</v>
      </c>
      <c r="I1475" t="b">
        <v>1</v>
      </c>
    </row>
    <row r="1476" spans="1:9" x14ac:dyDescent="0.2">
      <c r="A1476" t="s">
        <v>1443</v>
      </c>
      <c r="B1476" t="s">
        <v>3445</v>
      </c>
      <c r="D1476" t="b">
        <f>IFERROR(VLOOKUP(B1476,PatData!$A$2:$A$2000,1,),"")&lt;&gt;""</f>
        <v>1</v>
      </c>
      <c r="E1476">
        <v>1</v>
      </c>
      <c r="F1476" t="b">
        <v>0</v>
      </c>
      <c r="G1476" t="b">
        <v>1</v>
      </c>
      <c r="H1476" t="b">
        <v>0</v>
      </c>
      <c r="I1476" t="b">
        <v>1</v>
      </c>
    </row>
    <row r="1477" spans="1:9" x14ac:dyDescent="0.2">
      <c r="A1477" t="s">
        <v>1444</v>
      </c>
      <c r="B1477" t="s">
        <v>3446</v>
      </c>
      <c r="D1477" t="b">
        <f>IFERROR(VLOOKUP(B1477,PatData!$A$2:$A$2000,1,),"")&lt;&gt;""</f>
        <v>1</v>
      </c>
      <c r="E1477">
        <v>1</v>
      </c>
      <c r="F1477" t="b">
        <v>0</v>
      </c>
      <c r="G1477" t="b">
        <v>1</v>
      </c>
      <c r="H1477" t="b">
        <v>0</v>
      </c>
      <c r="I1477" t="b">
        <v>1</v>
      </c>
    </row>
    <row r="1478" spans="1:9" x14ac:dyDescent="0.2">
      <c r="A1478" t="s">
        <v>1445</v>
      </c>
      <c r="B1478" t="s">
        <v>3447</v>
      </c>
      <c r="D1478" t="b">
        <f>IFERROR(VLOOKUP(B1478,PatData!$A$2:$A$2000,1,),"")&lt;&gt;""</f>
        <v>1</v>
      </c>
      <c r="E1478">
        <v>1</v>
      </c>
      <c r="F1478" t="b">
        <v>0</v>
      </c>
      <c r="G1478" t="b">
        <v>1</v>
      </c>
      <c r="H1478" t="b">
        <v>0</v>
      </c>
      <c r="I1478" t="b">
        <v>1</v>
      </c>
    </row>
    <row r="1479" spans="1:9" x14ac:dyDescent="0.2">
      <c r="A1479" t="s">
        <v>1446</v>
      </c>
      <c r="B1479" t="s">
        <v>3448</v>
      </c>
      <c r="D1479" t="b">
        <f>IFERROR(VLOOKUP(B1479,PatData!$A$2:$A$2000,1,),"")&lt;&gt;""</f>
        <v>1</v>
      </c>
      <c r="E1479">
        <v>1</v>
      </c>
      <c r="F1479" t="b">
        <v>0</v>
      </c>
      <c r="G1479" t="b">
        <v>1</v>
      </c>
      <c r="H1479" t="b">
        <v>0</v>
      </c>
      <c r="I1479" t="b">
        <v>1</v>
      </c>
    </row>
    <row r="1480" spans="1:9" x14ac:dyDescent="0.2">
      <c r="A1480" t="s">
        <v>1447</v>
      </c>
      <c r="B1480" t="s">
        <v>3449</v>
      </c>
      <c r="D1480" t="b">
        <f>IFERROR(VLOOKUP(B1480,PatData!$A$2:$A$2000,1,),"")&lt;&gt;""</f>
        <v>1</v>
      </c>
      <c r="E1480">
        <v>1</v>
      </c>
      <c r="F1480" t="b">
        <v>0</v>
      </c>
      <c r="G1480" t="b">
        <v>1</v>
      </c>
      <c r="H1480" t="b">
        <v>0</v>
      </c>
      <c r="I1480" t="b">
        <v>1</v>
      </c>
    </row>
    <row r="1481" spans="1:9" x14ac:dyDescent="0.2">
      <c r="A1481" t="s">
        <v>1448</v>
      </c>
      <c r="B1481" t="s">
        <v>3450</v>
      </c>
      <c r="D1481" t="b">
        <f>IFERROR(VLOOKUP(B1481,PatData!$A$2:$A$2000,1,),"")&lt;&gt;""</f>
        <v>1</v>
      </c>
      <c r="E1481">
        <v>1</v>
      </c>
      <c r="F1481" t="b">
        <v>0</v>
      </c>
      <c r="G1481" t="b">
        <v>1</v>
      </c>
      <c r="H1481" t="b">
        <v>0</v>
      </c>
      <c r="I1481" t="b">
        <v>1</v>
      </c>
    </row>
    <row r="1482" spans="1:9" x14ac:dyDescent="0.2">
      <c r="A1482" t="s">
        <v>1449</v>
      </c>
      <c r="B1482" t="s">
        <v>3451</v>
      </c>
      <c r="D1482" t="b">
        <f>IFERROR(VLOOKUP(B1482,PatData!$A$2:$A$2000,1,),"")&lt;&gt;""</f>
        <v>1</v>
      </c>
      <c r="E1482">
        <v>1</v>
      </c>
      <c r="F1482" t="b">
        <v>0</v>
      </c>
      <c r="G1482" t="b">
        <v>1</v>
      </c>
      <c r="H1482" t="b">
        <v>0</v>
      </c>
      <c r="I1482" t="b">
        <v>1</v>
      </c>
    </row>
    <row r="1483" spans="1:9" x14ac:dyDescent="0.2">
      <c r="A1483" t="s">
        <v>1450</v>
      </c>
      <c r="B1483" t="s">
        <v>3452</v>
      </c>
      <c r="D1483" t="b">
        <f>IFERROR(VLOOKUP(B1483,PatData!$A$2:$A$2000,1,),"")&lt;&gt;""</f>
        <v>1</v>
      </c>
      <c r="E1483">
        <v>1</v>
      </c>
      <c r="F1483" t="b">
        <v>0</v>
      </c>
      <c r="G1483" t="b">
        <v>1</v>
      </c>
      <c r="H1483" t="b">
        <v>0</v>
      </c>
      <c r="I1483" t="b">
        <v>1</v>
      </c>
    </row>
    <row r="1484" spans="1:9" x14ac:dyDescent="0.2">
      <c r="A1484" t="s">
        <v>1451</v>
      </c>
      <c r="B1484" t="s">
        <v>3453</v>
      </c>
      <c r="D1484" t="b">
        <f>IFERROR(VLOOKUP(B1484,PatData!$A$2:$A$2000,1,),"")&lt;&gt;""</f>
        <v>1</v>
      </c>
      <c r="E1484">
        <v>1</v>
      </c>
      <c r="F1484" t="b">
        <v>0</v>
      </c>
      <c r="G1484" t="b">
        <v>1</v>
      </c>
      <c r="H1484" t="b">
        <v>0</v>
      </c>
      <c r="I1484" t="b">
        <v>1</v>
      </c>
    </row>
    <row r="1485" spans="1:9" x14ac:dyDescent="0.2">
      <c r="A1485" t="s">
        <v>4417</v>
      </c>
      <c r="B1485" t="s">
        <v>4418</v>
      </c>
      <c r="D1485" t="b">
        <f>IFERROR(VLOOKUP(B1485,PatData!$A$2:$A$2000,1,),"")&lt;&gt;""</f>
        <v>1</v>
      </c>
      <c r="E1485">
        <v>1</v>
      </c>
      <c r="F1485" t="b">
        <v>0</v>
      </c>
      <c r="G1485" t="b">
        <v>1</v>
      </c>
      <c r="H1485" t="b">
        <v>0</v>
      </c>
      <c r="I1485" t="b">
        <v>1</v>
      </c>
    </row>
    <row r="1486" spans="1:9" x14ac:dyDescent="0.2">
      <c r="A1486" t="s">
        <v>4419</v>
      </c>
      <c r="B1486" t="s">
        <v>4420</v>
      </c>
      <c r="D1486" t="b">
        <f>IFERROR(VLOOKUP(B1486,PatData!$A$2:$A$2000,1,),"")&lt;&gt;""</f>
        <v>1</v>
      </c>
      <c r="E1486">
        <v>1</v>
      </c>
      <c r="F1486" t="b">
        <v>0</v>
      </c>
      <c r="G1486" t="b">
        <v>1</v>
      </c>
      <c r="H1486" t="b">
        <v>0</v>
      </c>
      <c r="I1486" t="b">
        <v>1</v>
      </c>
    </row>
    <row r="1487" spans="1:9" x14ac:dyDescent="0.2">
      <c r="A1487" t="s">
        <v>4421</v>
      </c>
      <c r="B1487" t="s">
        <v>4422</v>
      </c>
      <c r="D1487" t="b">
        <f>IFERROR(VLOOKUP(B1487,PatData!$A$2:$A$2000,1,),"")&lt;&gt;""</f>
        <v>1</v>
      </c>
      <c r="E1487">
        <v>1</v>
      </c>
      <c r="F1487" t="b">
        <v>0</v>
      </c>
      <c r="G1487" t="b">
        <v>1</v>
      </c>
      <c r="H1487" t="b">
        <v>0</v>
      </c>
      <c r="I1487" t="b">
        <v>1</v>
      </c>
    </row>
    <row r="1488" spans="1:9" x14ac:dyDescent="0.2">
      <c r="A1488" t="s">
        <v>4423</v>
      </c>
      <c r="B1488" t="s">
        <v>4424</v>
      </c>
      <c r="D1488" t="b">
        <f>IFERROR(VLOOKUP(B1488,PatData!$A$2:$A$2000,1,),"")&lt;&gt;""</f>
        <v>1</v>
      </c>
      <c r="E1488">
        <v>1</v>
      </c>
      <c r="F1488" t="b">
        <v>0</v>
      </c>
      <c r="G1488" t="b">
        <v>1</v>
      </c>
      <c r="H1488" t="b">
        <v>0</v>
      </c>
      <c r="I1488" t="b">
        <v>1</v>
      </c>
    </row>
    <row r="1489" spans="1:9" x14ac:dyDescent="0.2">
      <c r="A1489" t="s">
        <v>4425</v>
      </c>
      <c r="B1489" t="s">
        <v>4426</v>
      </c>
      <c r="D1489" t="b">
        <f>IFERROR(VLOOKUP(B1489,PatData!$A$2:$A$2000,1,),"")&lt;&gt;""</f>
        <v>1</v>
      </c>
      <c r="E1489">
        <v>1</v>
      </c>
      <c r="F1489" t="b">
        <v>0</v>
      </c>
      <c r="G1489" t="b">
        <v>1</v>
      </c>
      <c r="H1489" t="b">
        <v>0</v>
      </c>
      <c r="I1489" t="b">
        <v>1</v>
      </c>
    </row>
    <row r="1490" spans="1:9" x14ac:dyDescent="0.2">
      <c r="A1490" t="s">
        <v>1452</v>
      </c>
      <c r="B1490" t="s">
        <v>3454</v>
      </c>
      <c r="D1490" t="b">
        <f>IFERROR(VLOOKUP(B1490,PatData!$A$2:$A$2000,1,),"")&lt;&gt;""</f>
        <v>1</v>
      </c>
      <c r="E1490">
        <v>0</v>
      </c>
      <c r="F1490" t="b">
        <v>0</v>
      </c>
      <c r="G1490" t="b">
        <v>1</v>
      </c>
      <c r="H1490" t="b">
        <v>0</v>
      </c>
      <c r="I1490" t="b">
        <v>1</v>
      </c>
    </row>
    <row r="1491" spans="1:9" x14ac:dyDescent="0.2">
      <c r="A1491" t="s">
        <v>1453</v>
      </c>
      <c r="B1491" t="s">
        <v>3455</v>
      </c>
      <c r="D1491" t="b">
        <f>IFERROR(VLOOKUP(B1491,PatData!$A$2:$A$2000,1,),"")&lt;&gt;""</f>
        <v>1</v>
      </c>
      <c r="E1491">
        <v>0</v>
      </c>
      <c r="F1491" t="b">
        <v>0</v>
      </c>
      <c r="G1491" t="b">
        <v>1</v>
      </c>
      <c r="H1491" t="b">
        <v>0</v>
      </c>
      <c r="I1491" t="b">
        <v>1</v>
      </c>
    </row>
    <row r="1492" spans="1:9" x14ac:dyDescent="0.2">
      <c r="A1492" t="s">
        <v>1454</v>
      </c>
      <c r="B1492" t="s">
        <v>3456</v>
      </c>
      <c r="D1492" t="b">
        <f>IFERROR(VLOOKUP(B1492,PatData!$A$2:$A$2000,1,),"")&lt;&gt;""</f>
        <v>1</v>
      </c>
      <c r="E1492">
        <v>0</v>
      </c>
      <c r="F1492" t="b">
        <v>0</v>
      </c>
      <c r="G1492" t="b">
        <v>1</v>
      </c>
      <c r="H1492" t="b">
        <v>0</v>
      </c>
      <c r="I1492" t="b">
        <v>1</v>
      </c>
    </row>
    <row r="1493" spans="1:9" x14ac:dyDescent="0.2">
      <c r="A1493" t="s">
        <v>1455</v>
      </c>
      <c r="B1493" t="s">
        <v>3457</v>
      </c>
      <c r="D1493" t="b">
        <f>IFERROR(VLOOKUP(B1493,PatData!$A$2:$A$2000,1,),"")&lt;&gt;""</f>
        <v>1</v>
      </c>
      <c r="E1493">
        <v>0</v>
      </c>
      <c r="F1493" t="b">
        <v>0</v>
      </c>
      <c r="G1493" t="b">
        <v>1</v>
      </c>
      <c r="H1493" t="b">
        <v>0</v>
      </c>
      <c r="I1493" t="b">
        <v>1</v>
      </c>
    </row>
    <row r="1494" spans="1:9" x14ac:dyDescent="0.2">
      <c r="A1494" t="s">
        <v>1456</v>
      </c>
      <c r="B1494" t="s">
        <v>3458</v>
      </c>
      <c r="D1494" t="b">
        <f>IFERROR(VLOOKUP(B1494,PatData!$A$2:$A$2000,1,),"")&lt;&gt;""</f>
        <v>1</v>
      </c>
      <c r="E1494">
        <v>0</v>
      </c>
      <c r="F1494" t="b">
        <v>0</v>
      </c>
      <c r="G1494" t="b">
        <v>1</v>
      </c>
      <c r="H1494" t="b">
        <v>0</v>
      </c>
      <c r="I1494" t="b">
        <v>1</v>
      </c>
    </row>
    <row r="1495" spans="1:9" x14ac:dyDescent="0.2">
      <c r="A1495" t="s">
        <v>1457</v>
      </c>
      <c r="B1495" t="s">
        <v>3459</v>
      </c>
      <c r="D1495" t="b">
        <f>IFERROR(VLOOKUP(B1495,PatData!$A$2:$A$2000,1,),"")&lt;&gt;""</f>
        <v>1</v>
      </c>
      <c r="E1495">
        <v>0</v>
      </c>
      <c r="F1495" t="b">
        <v>0</v>
      </c>
      <c r="G1495" t="b">
        <v>1</v>
      </c>
      <c r="H1495" t="b">
        <v>0</v>
      </c>
      <c r="I1495" t="b">
        <v>1</v>
      </c>
    </row>
    <row r="1496" spans="1:9" x14ac:dyDescent="0.2">
      <c r="A1496" t="s">
        <v>1458</v>
      </c>
      <c r="B1496" t="s">
        <v>3460</v>
      </c>
      <c r="D1496" t="b">
        <f>IFERROR(VLOOKUP(B1496,PatData!$A$2:$A$2000,1,),"")&lt;&gt;""</f>
        <v>1</v>
      </c>
      <c r="E1496">
        <v>0</v>
      </c>
      <c r="F1496" t="b">
        <v>0</v>
      </c>
      <c r="G1496" t="b">
        <v>1</v>
      </c>
      <c r="H1496" t="b">
        <v>0</v>
      </c>
      <c r="I1496" t="b">
        <v>1</v>
      </c>
    </row>
    <row r="1497" spans="1:9" x14ac:dyDescent="0.2">
      <c r="A1497" t="s">
        <v>1459</v>
      </c>
      <c r="B1497" t="s">
        <v>3461</v>
      </c>
      <c r="D1497" t="b">
        <f>IFERROR(VLOOKUP(B1497,PatData!$A$2:$A$2000,1,),"")&lt;&gt;""</f>
        <v>1</v>
      </c>
      <c r="E1497">
        <v>0</v>
      </c>
      <c r="F1497" t="b">
        <v>0</v>
      </c>
      <c r="G1497" t="b">
        <v>1</v>
      </c>
      <c r="H1497" t="b">
        <v>0</v>
      </c>
      <c r="I1497" t="b">
        <v>1</v>
      </c>
    </row>
    <row r="1498" spans="1:9" x14ac:dyDescent="0.2">
      <c r="A1498" t="s">
        <v>1460</v>
      </c>
      <c r="B1498" t="s">
        <v>3462</v>
      </c>
      <c r="D1498" t="b">
        <f>IFERROR(VLOOKUP(B1498,PatData!$A$2:$A$2000,1,),"")&lt;&gt;""</f>
        <v>1</v>
      </c>
      <c r="E1498">
        <v>0</v>
      </c>
      <c r="F1498" t="b">
        <v>0</v>
      </c>
      <c r="G1498" t="b">
        <v>1</v>
      </c>
      <c r="H1498" t="b">
        <v>0</v>
      </c>
      <c r="I1498" t="b">
        <v>1</v>
      </c>
    </row>
    <row r="1499" spans="1:9" x14ac:dyDescent="0.2">
      <c r="A1499" t="s">
        <v>1461</v>
      </c>
      <c r="B1499" t="s">
        <v>3463</v>
      </c>
      <c r="D1499" t="b">
        <f>IFERROR(VLOOKUP(B1499,PatData!$A$2:$A$2000,1,),"")&lt;&gt;""</f>
        <v>1</v>
      </c>
      <c r="E1499">
        <v>0</v>
      </c>
      <c r="F1499" t="b">
        <v>0</v>
      </c>
      <c r="G1499" t="b">
        <v>1</v>
      </c>
      <c r="H1499" t="b">
        <v>0</v>
      </c>
      <c r="I1499" t="b">
        <v>1</v>
      </c>
    </row>
    <row r="1500" spans="1:9" x14ac:dyDescent="0.2">
      <c r="A1500" t="s">
        <v>1462</v>
      </c>
      <c r="B1500" t="s">
        <v>3464</v>
      </c>
      <c r="D1500" t="b">
        <f>IFERROR(VLOOKUP(B1500,PatData!$A$2:$A$2000,1,),"")&lt;&gt;""</f>
        <v>1</v>
      </c>
      <c r="E1500">
        <v>0</v>
      </c>
      <c r="F1500" t="b">
        <v>0</v>
      </c>
      <c r="G1500" t="b">
        <v>1</v>
      </c>
      <c r="H1500" t="b">
        <v>0</v>
      </c>
      <c r="I1500" t="b">
        <v>1</v>
      </c>
    </row>
    <row r="1501" spans="1:9" x14ac:dyDescent="0.2">
      <c r="A1501" t="s">
        <v>1463</v>
      </c>
      <c r="B1501" t="s">
        <v>3465</v>
      </c>
      <c r="D1501" t="b">
        <f>IFERROR(VLOOKUP(B1501,PatData!$A$2:$A$2000,1,),"")&lt;&gt;""</f>
        <v>1</v>
      </c>
      <c r="E1501">
        <v>0</v>
      </c>
      <c r="F1501" t="b">
        <v>0</v>
      </c>
      <c r="G1501" t="b">
        <v>1</v>
      </c>
      <c r="H1501" t="b">
        <v>0</v>
      </c>
      <c r="I1501" t="b">
        <v>1</v>
      </c>
    </row>
    <row r="1502" spans="1:9" x14ac:dyDescent="0.2">
      <c r="A1502" t="s">
        <v>1464</v>
      </c>
      <c r="B1502" t="s">
        <v>3466</v>
      </c>
      <c r="D1502" t="b">
        <f>IFERROR(VLOOKUP(B1502,PatData!$A$2:$A$2000,1,),"")&lt;&gt;""</f>
        <v>1</v>
      </c>
      <c r="E1502">
        <v>0</v>
      </c>
      <c r="F1502" t="b">
        <v>0</v>
      </c>
      <c r="G1502" t="b">
        <v>1</v>
      </c>
      <c r="H1502" t="b">
        <v>0</v>
      </c>
      <c r="I1502" t="b">
        <v>1</v>
      </c>
    </row>
    <row r="1503" spans="1:9" x14ac:dyDescent="0.2">
      <c r="A1503" t="s">
        <v>1465</v>
      </c>
      <c r="B1503" t="s">
        <v>3467</v>
      </c>
      <c r="D1503" t="b">
        <f>IFERROR(VLOOKUP(B1503,PatData!$A$2:$A$2000,1,),"")&lt;&gt;""</f>
        <v>1</v>
      </c>
      <c r="E1503">
        <v>0</v>
      </c>
      <c r="F1503" t="b">
        <v>0</v>
      </c>
      <c r="G1503" t="b">
        <v>1</v>
      </c>
      <c r="H1503" t="b">
        <v>0</v>
      </c>
      <c r="I1503" t="b">
        <v>1</v>
      </c>
    </row>
    <row r="1504" spans="1:9" x14ac:dyDescent="0.2">
      <c r="A1504" t="s">
        <v>1466</v>
      </c>
      <c r="B1504" t="s">
        <v>3468</v>
      </c>
      <c r="D1504" t="b">
        <f>IFERROR(VLOOKUP(B1504,PatData!$A$2:$A$2000,1,),"")&lt;&gt;""</f>
        <v>1</v>
      </c>
      <c r="E1504">
        <v>0</v>
      </c>
      <c r="F1504" t="b">
        <v>0</v>
      </c>
      <c r="G1504" t="b">
        <v>1</v>
      </c>
      <c r="H1504" t="b">
        <v>0</v>
      </c>
      <c r="I1504" t="b">
        <v>1</v>
      </c>
    </row>
    <row r="1505" spans="1:9" x14ac:dyDescent="0.2">
      <c r="A1505" t="s">
        <v>4427</v>
      </c>
      <c r="B1505" t="s">
        <v>4428</v>
      </c>
      <c r="D1505" t="b">
        <f>IFERROR(VLOOKUP(B1505,PatData!$A$2:$A$2000,1,),"")&lt;&gt;""</f>
        <v>1</v>
      </c>
      <c r="E1505">
        <v>0</v>
      </c>
      <c r="F1505" t="b">
        <v>0</v>
      </c>
      <c r="G1505" t="b">
        <v>1</v>
      </c>
      <c r="H1505" t="b">
        <v>0</v>
      </c>
      <c r="I1505" t="b">
        <v>1</v>
      </c>
    </row>
    <row r="1506" spans="1:9" x14ac:dyDescent="0.2">
      <c r="A1506" t="s">
        <v>4429</v>
      </c>
      <c r="B1506" t="s">
        <v>4430</v>
      </c>
      <c r="D1506" t="b">
        <f>IFERROR(VLOOKUP(B1506,PatData!$A$2:$A$2000,1,),"")&lt;&gt;""</f>
        <v>1</v>
      </c>
      <c r="E1506">
        <v>0</v>
      </c>
      <c r="F1506" t="b">
        <v>0</v>
      </c>
      <c r="G1506" t="b">
        <v>1</v>
      </c>
      <c r="H1506" t="b">
        <v>0</v>
      </c>
      <c r="I1506" t="b">
        <v>1</v>
      </c>
    </row>
    <row r="1507" spans="1:9" x14ac:dyDescent="0.2">
      <c r="A1507" t="s">
        <v>4431</v>
      </c>
      <c r="B1507" t="s">
        <v>4432</v>
      </c>
      <c r="D1507" t="b">
        <f>IFERROR(VLOOKUP(B1507,PatData!$A$2:$A$2000,1,),"")&lt;&gt;""</f>
        <v>1</v>
      </c>
      <c r="E1507">
        <v>0</v>
      </c>
      <c r="F1507" t="b">
        <v>0</v>
      </c>
      <c r="G1507" t="b">
        <v>1</v>
      </c>
      <c r="H1507" t="b">
        <v>0</v>
      </c>
      <c r="I1507" t="b">
        <v>1</v>
      </c>
    </row>
    <row r="1508" spans="1:9" x14ac:dyDescent="0.2">
      <c r="A1508" t="s">
        <v>4433</v>
      </c>
      <c r="B1508" t="s">
        <v>4434</v>
      </c>
      <c r="D1508" t="b">
        <f>IFERROR(VLOOKUP(B1508,PatData!$A$2:$A$2000,1,),"")&lt;&gt;""</f>
        <v>1</v>
      </c>
      <c r="E1508">
        <v>0</v>
      </c>
      <c r="F1508" t="b">
        <v>0</v>
      </c>
      <c r="G1508" t="b">
        <v>1</v>
      </c>
      <c r="H1508" t="b">
        <v>0</v>
      </c>
      <c r="I1508" t="b">
        <v>1</v>
      </c>
    </row>
    <row r="1509" spans="1:9" x14ac:dyDescent="0.2">
      <c r="A1509" t="s">
        <v>4435</v>
      </c>
      <c r="B1509" t="s">
        <v>4436</v>
      </c>
      <c r="D1509" t="b">
        <f>IFERROR(VLOOKUP(B1509,PatData!$A$2:$A$2000,1,),"")&lt;&gt;""</f>
        <v>1</v>
      </c>
      <c r="E1509">
        <v>0</v>
      </c>
      <c r="F1509" t="b">
        <v>0</v>
      </c>
      <c r="G1509" t="b">
        <v>1</v>
      </c>
      <c r="H1509" t="b">
        <v>0</v>
      </c>
      <c r="I1509" t="b">
        <v>1</v>
      </c>
    </row>
    <row r="1510" spans="1:9" x14ac:dyDescent="0.2">
      <c r="A1510" t="s">
        <v>4632</v>
      </c>
      <c r="B1510" t="s">
        <v>3469</v>
      </c>
      <c r="D1510" t="b">
        <f>IFERROR(VLOOKUP(B1510,PatData!$A$2:$A$2000,1,),"")&lt;&gt;""</f>
        <v>1</v>
      </c>
      <c r="E1510"/>
      <c r="F1510" t="b">
        <v>0</v>
      </c>
      <c r="G1510" t="b">
        <v>1</v>
      </c>
      <c r="H1510" t="b">
        <v>0</v>
      </c>
      <c r="I1510" t="b">
        <v>1</v>
      </c>
    </row>
    <row r="1511" spans="1:9" x14ac:dyDescent="0.2">
      <c r="A1511" t="s">
        <v>1467</v>
      </c>
      <c r="B1511" t="s">
        <v>3470</v>
      </c>
      <c r="D1511" t="b">
        <f>IFERROR(VLOOKUP(B1511,PatData!$A$2:$A$2000,1,),"")&lt;&gt;""</f>
        <v>1</v>
      </c>
      <c r="E1511">
        <v>0</v>
      </c>
      <c r="F1511" t="b">
        <v>0</v>
      </c>
      <c r="G1511" t="b">
        <v>1</v>
      </c>
      <c r="H1511" t="b">
        <v>0</v>
      </c>
      <c r="I1511" t="b">
        <v>1</v>
      </c>
    </row>
    <row r="1512" spans="1:9" x14ac:dyDescent="0.2">
      <c r="A1512" t="s">
        <v>1468</v>
      </c>
      <c r="B1512" t="s">
        <v>3471</v>
      </c>
      <c r="D1512" t="b">
        <f>IFERROR(VLOOKUP(B1512,PatData!$A$2:$A$2000,1,),"")&lt;&gt;""</f>
        <v>1</v>
      </c>
      <c r="E1512">
        <v>0</v>
      </c>
      <c r="F1512" t="b">
        <v>0</v>
      </c>
      <c r="G1512" t="b">
        <v>1</v>
      </c>
      <c r="H1512" t="b">
        <v>0</v>
      </c>
      <c r="I1512" t="b">
        <v>1</v>
      </c>
    </row>
    <row r="1513" spans="1:9" x14ac:dyDescent="0.2">
      <c r="A1513" t="s">
        <v>1469</v>
      </c>
      <c r="B1513" t="s">
        <v>3472</v>
      </c>
      <c r="D1513" t="b">
        <f>IFERROR(VLOOKUP(B1513,PatData!$A$2:$A$2000,1,),"")&lt;&gt;""</f>
        <v>1</v>
      </c>
      <c r="E1513">
        <v>0</v>
      </c>
      <c r="F1513" t="b">
        <v>0</v>
      </c>
      <c r="G1513" t="b">
        <v>1</v>
      </c>
      <c r="H1513" t="b">
        <v>0</v>
      </c>
      <c r="I1513" t="b">
        <v>1</v>
      </c>
    </row>
    <row r="1514" spans="1:9" x14ac:dyDescent="0.2">
      <c r="A1514" t="s">
        <v>1470</v>
      </c>
      <c r="B1514" t="s">
        <v>3473</v>
      </c>
      <c r="D1514" t="b">
        <f>IFERROR(VLOOKUP(B1514,PatData!$A$2:$A$2000,1,),"")&lt;&gt;""</f>
        <v>1</v>
      </c>
      <c r="E1514">
        <v>0</v>
      </c>
      <c r="F1514" t="b">
        <v>0</v>
      </c>
      <c r="G1514" t="b">
        <v>1</v>
      </c>
      <c r="H1514" t="b">
        <v>0</v>
      </c>
      <c r="I1514" t="b">
        <v>1</v>
      </c>
    </row>
    <row r="1515" spans="1:9" x14ac:dyDescent="0.2">
      <c r="A1515" t="s">
        <v>1471</v>
      </c>
      <c r="B1515" t="s">
        <v>3474</v>
      </c>
      <c r="D1515" t="b">
        <f>IFERROR(VLOOKUP(B1515,PatData!$A$2:$A$2000,1,),"")&lt;&gt;""</f>
        <v>1</v>
      </c>
      <c r="E1515">
        <v>0</v>
      </c>
      <c r="F1515" t="b">
        <v>0</v>
      </c>
      <c r="G1515" t="b">
        <v>1</v>
      </c>
      <c r="H1515" t="b">
        <v>0</v>
      </c>
      <c r="I1515" t="b">
        <v>1</v>
      </c>
    </row>
    <row r="1516" spans="1:9" x14ac:dyDescent="0.2">
      <c r="A1516" t="s">
        <v>1472</v>
      </c>
      <c r="B1516" t="s">
        <v>3475</v>
      </c>
      <c r="D1516" t="b">
        <f>IFERROR(VLOOKUP(B1516,PatData!$A$2:$A$2000,1,),"")&lt;&gt;""</f>
        <v>1</v>
      </c>
      <c r="E1516">
        <v>0</v>
      </c>
      <c r="F1516" t="b">
        <v>0</v>
      </c>
      <c r="G1516" t="b">
        <v>1</v>
      </c>
      <c r="H1516" t="b">
        <v>0</v>
      </c>
      <c r="I1516" t="b">
        <v>1</v>
      </c>
    </row>
    <row r="1517" spans="1:9" x14ac:dyDescent="0.2">
      <c r="A1517" t="s">
        <v>1473</v>
      </c>
      <c r="B1517" t="s">
        <v>3476</v>
      </c>
      <c r="D1517" t="b">
        <f>IFERROR(VLOOKUP(B1517,PatData!$A$2:$A$2000,1,),"")&lt;&gt;""</f>
        <v>1</v>
      </c>
      <c r="E1517">
        <v>0</v>
      </c>
      <c r="F1517" t="b">
        <v>0</v>
      </c>
      <c r="G1517" t="b">
        <v>1</v>
      </c>
      <c r="H1517" t="b">
        <v>0</v>
      </c>
      <c r="I1517" t="b">
        <v>1</v>
      </c>
    </row>
    <row r="1518" spans="1:9" x14ac:dyDescent="0.2">
      <c r="A1518" t="s">
        <v>1474</v>
      </c>
      <c r="B1518" t="s">
        <v>3477</v>
      </c>
      <c r="D1518" t="b">
        <f>IFERROR(VLOOKUP(B1518,PatData!$A$2:$A$2000,1,),"")&lt;&gt;""</f>
        <v>1</v>
      </c>
      <c r="E1518">
        <v>0</v>
      </c>
      <c r="F1518" t="b">
        <v>0</v>
      </c>
      <c r="G1518" t="b">
        <v>1</v>
      </c>
      <c r="H1518" t="b">
        <v>0</v>
      </c>
      <c r="I1518" t="b">
        <v>1</v>
      </c>
    </row>
    <row r="1519" spans="1:9" x14ac:dyDescent="0.2">
      <c r="A1519" t="s">
        <v>1475</v>
      </c>
      <c r="B1519" t="s">
        <v>3478</v>
      </c>
      <c r="D1519" t="b">
        <f>IFERROR(VLOOKUP(B1519,PatData!$A$2:$A$2000,1,),"")&lt;&gt;""</f>
        <v>1</v>
      </c>
      <c r="E1519">
        <v>0</v>
      </c>
      <c r="F1519" t="b">
        <v>0</v>
      </c>
      <c r="G1519" t="b">
        <v>1</v>
      </c>
      <c r="H1519" t="b">
        <v>0</v>
      </c>
      <c r="I1519" t="b">
        <v>1</v>
      </c>
    </row>
    <row r="1520" spans="1:9" x14ac:dyDescent="0.2">
      <c r="A1520" t="s">
        <v>1476</v>
      </c>
      <c r="B1520" t="s">
        <v>3479</v>
      </c>
      <c r="D1520" t="b">
        <f>IFERROR(VLOOKUP(B1520,PatData!$A$2:$A$2000,1,),"")&lt;&gt;""</f>
        <v>1</v>
      </c>
      <c r="E1520">
        <v>0</v>
      </c>
      <c r="F1520" t="b">
        <v>0</v>
      </c>
      <c r="G1520" t="b">
        <v>1</v>
      </c>
      <c r="H1520" t="b">
        <v>0</v>
      </c>
      <c r="I1520" t="b">
        <v>1</v>
      </c>
    </row>
    <row r="1521" spans="1:9" x14ac:dyDescent="0.2">
      <c r="A1521" t="s">
        <v>1477</v>
      </c>
      <c r="B1521" t="s">
        <v>3480</v>
      </c>
      <c r="D1521" t="b">
        <f>IFERROR(VLOOKUP(B1521,PatData!$A$2:$A$2000,1,),"")&lt;&gt;""</f>
        <v>1</v>
      </c>
      <c r="E1521">
        <v>0</v>
      </c>
      <c r="F1521" t="b">
        <v>0</v>
      </c>
      <c r="G1521" t="b">
        <v>1</v>
      </c>
      <c r="H1521" t="b">
        <v>0</v>
      </c>
      <c r="I1521" t="b">
        <v>1</v>
      </c>
    </row>
    <row r="1522" spans="1:9" x14ac:dyDescent="0.2">
      <c r="A1522" t="s">
        <v>1478</v>
      </c>
      <c r="B1522" t="s">
        <v>3481</v>
      </c>
      <c r="D1522" t="b">
        <f>IFERROR(VLOOKUP(B1522,PatData!$A$2:$A$2000,1,),"")&lt;&gt;""</f>
        <v>1</v>
      </c>
      <c r="E1522">
        <v>0</v>
      </c>
      <c r="F1522" t="b">
        <v>0</v>
      </c>
      <c r="G1522" t="b">
        <v>1</v>
      </c>
      <c r="H1522" t="b">
        <v>0</v>
      </c>
      <c r="I1522" t="b">
        <v>1</v>
      </c>
    </row>
    <row r="1523" spans="1:9" x14ac:dyDescent="0.2">
      <c r="A1523" t="s">
        <v>1479</v>
      </c>
      <c r="B1523" t="s">
        <v>3482</v>
      </c>
      <c r="D1523" t="b">
        <f>IFERROR(VLOOKUP(B1523,PatData!$A$2:$A$2000,1,),"")&lt;&gt;""</f>
        <v>1</v>
      </c>
      <c r="E1523">
        <v>0</v>
      </c>
      <c r="F1523" t="b">
        <v>0</v>
      </c>
      <c r="G1523" t="b">
        <v>1</v>
      </c>
      <c r="H1523" t="b">
        <v>0</v>
      </c>
      <c r="I1523" t="b">
        <v>1</v>
      </c>
    </row>
    <row r="1524" spans="1:9" x14ac:dyDescent="0.2">
      <c r="A1524" t="s">
        <v>1480</v>
      </c>
      <c r="B1524" t="s">
        <v>3483</v>
      </c>
      <c r="D1524" t="b">
        <f>IFERROR(VLOOKUP(B1524,PatData!$A$2:$A$2000,1,),"")&lt;&gt;""</f>
        <v>1</v>
      </c>
      <c r="E1524">
        <v>0</v>
      </c>
      <c r="F1524" t="b">
        <v>0</v>
      </c>
      <c r="G1524" t="b">
        <v>1</v>
      </c>
      <c r="H1524" t="b">
        <v>0</v>
      </c>
      <c r="I1524" t="b">
        <v>1</v>
      </c>
    </row>
    <row r="1525" spans="1:9" x14ac:dyDescent="0.2">
      <c r="A1525" t="s">
        <v>1481</v>
      </c>
      <c r="B1525" t="s">
        <v>3484</v>
      </c>
      <c r="D1525" t="b">
        <f>IFERROR(VLOOKUP(B1525,PatData!$A$2:$A$2000,1,),"")&lt;&gt;""</f>
        <v>1</v>
      </c>
      <c r="E1525">
        <v>0</v>
      </c>
      <c r="F1525" t="b">
        <v>0</v>
      </c>
      <c r="G1525" t="b">
        <v>1</v>
      </c>
      <c r="H1525" t="b">
        <v>0</v>
      </c>
      <c r="I1525" t="b">
        <v>1</v>
      </c>
    </row>
    <row r="1526" spans="1:9" x14ac:dyDescent="0.2">
      <c r="A1526" t="s">
        <v>4437</v>
      </c>
      <c r="B1526" t="s">
        <v>4438</v>
      </c>
      <c r="D1526" t="b">
        <f>IFERROR(VLOOKUP(B1526,PatData!$A$2:$A$2000,1,),"")&lt;&gt;""</f>
        <v>1</v>
      </c>
      <c r="E1526">
        <v>0</v>
      </c>
      <c r="F1526" t="b">
        <v>0</v>
      </c>
      <c r="G1526" t="b">
        <v>1</v>
      </c>
      <c r="H1526" t="b">
        <v>0</v>
      </c>
      <c r="I1526" t="b">
        <v>1</v>
      </c>
    </row>
    <row r="1527" spans="1:9" x14ac:dyDescent="0.2">
      <c r="A1527" t="s">
        <v>4439</v>
      </c>
      <c r="B1527" t="s">
        <v>4440</v>
      </c>
      <c r="D1527" t="b">
        <f>IFERROR(VLOOKUP(B1527,PatData!$A$2:$A$2000,1,),"")&lt;&gt;""</f>
        <v>1</v>
      </c>
      <c r="E1527">
        <v>0</v>
      </c>
      <c r="F1527" t="b">
        <v>0</v>
      </c>
      <c r="G1527" t="b">
        <v>1</v>
      </c>
      <c r="H1527" t="b">
        <v>0</v>
      </c>
      <c r="I1527" t="b">
        <v>1</v>
      </c>
    </row>
    <row r="1528" spans="1:9" x14ac:dyDescent="0.2">
      <c r="A1528" t="s">
        <v>4441</v>
      </c>
      <c r="B1528" t="s">
        <v>4442</v>
      </c>
      <c r="D1528" t="b">
        <f>IFERROR(VLOOKUP(B1528,PatData!$A$2:$A$2000,1,),"")&lt;&gt;""</f>
        <v>1</v>
      </c>
      <c r="E1528">
        <v>0</v>
      </c>
      <c r="F1528" t="b">
        <v>0</v>
      </c>
      <c r="G1528" t="b">
        <v>1</v>
      </c>
      <c r="H1528" t="b">
        <v>0</v>
      </c>
      <c r="I1528" t="b">
        <v>1</v>
      </c>
    </row>
    <row r="1529" spans="1:9" x14ac:dyDescent="0.2">
      <c r="A1529" t="s">
        <v>4443</v>
      </c>
      <c r="B1529" t="s">
        <v>4444</v>
      </c>
      <c r="D1529" t="b">
        <f>IFERROR(VLOOKUP(B1529,PatData!$A$2:$A$2000,1,),"")&lt;&gt;""</f>
        <v>1</v>
      </c>
      <c r="E1529">
        <v>0</v>
      </c>
      <c r="F1529" t="b">
        <v>0</v>
      </c>
      <c r="G1529" t="b">
        <v>1</v>
      </c>
      <c r="H1529" t="b">
        <v>0</v>
      </c>
      <c r="I1529" t="b">
        <v>1</v>
      </c>
    </row>
    <row r="1530" spans="1:9" x14ac:dyDescent="0.2">
      <c r="A1530" t="s">
        <v>4445</v>
      </c>
      <c r="B1530" t="s">
        <v>4446</v>
      </c>
      <c r="D1530" t="b">
        <f>IFERROR(VLOOKUP(B1530,PatData!$A$2:$A$2000,1,),"")&lt;&gt;""</f>
        <v>1</v>
      </c>
      <c r="E1530">
        <v>0</v>
      </c>
      <c r="F1530" t="b">
        <v>0</v>
      </c>
      <c r="G1530" t="b">
        <v>1</v>
      </c>
      <c r="H1530" t="b">
        <v>0</v>
      </c>
      <c r="I1530" t="b">
        <v>1</v>
      </c>
    </row>
    <row r="1531" spans="1:9" x14ac:dyDescent="0.2">
      <c r="A1531" t="s">
        <v>1482</v>
      </c>
      <c r="B1531" t="s">
        <v>3485</v>
      </c>
      <c r="D1531" t="b">
        <f>IFERROR(VLOOKUP(B1531,PatData!$A$2:$A$2000,1,),"")&lt;&gt;""</f>
        <v>1</v>
      </c>
      <c r="E1531">
        <v>0</v>
      </c>
      <c r="F1531" t="b">
        <v>0</v>
      </c>
      <c r="G1531" t="b">
        <v>1</v>
      </c>
      <c r="H1531" t="b">
        <v>0</v>
      </c>
      <c r="I1531" t="b">
        <v>1</v>
      </c>
    </row>
    <row r="1532" spans="1:9" x14ac:dyDescent="0.2">
      <c r="A1532" t="s">
        <v>1483</v>
      </c>
      <c r="B1532" t="s">
        <v>3486</v>
      </c>
      <c r="D1532" t="b">
        <f>IFERROR(VLOOKUP(B1532,PatData!$A$2:$A$2000,1,),"")&lt;&gt;""</f>
        <v>1</v>
      </c>
      <c r="E1532">
        <v>0</v>
      </c>
      <c r="F1532" t="b">
        <v>0</v>
      </c>
      <c r="G1532" t="b">
        <v>1</v>
      </c>
      <c r="H1532" t="b">
        <v>0</v>
      </c>
      <c r="I1532" t="b">
        <v>1</v>
      </c>
    </row>
    <row r="1533" spans="1:9" x14ac:dyDescent="0.2">
      <c r="A1533" t="s">
        <v>1484</v>
      </c>
      <c r="B1533" t="s">
        <v>3487</v>
      </c>
      <c r="D1533" t="b">
        <f>IFERROR(VLOOKUP(B1533,PatData!$A$2:$A$2000,1,),"")&lt;&gt;""</f>
        <v>1</v>
      </c>
      <c r="E1533">
        <v>0</v>
      </c>
      <c r="F1533" t="b">
        <v>0</v>
      </c>
      <c r="G1533" t="b">
        <v>1</v>
      </c>
      <c r="H1533" t="b">
        <v>0</v>
      </c>
      <c r="I1533" t="b">
        <v>1</v>
      </c>
    </row>
    <row r="1534" spans="1:9" x14ac:dyDescent="0.2">
      <c r="A1534" t="s">
        <v>1485</v>
      </c>
      <c r="B1534" t="s">
        <v>3488</v>
      </c>
      <c r="D1534" t="b">
        <f>IFERROR(VLOOKUP(B1534,PatData!$A$2:$A$2000,1,),"")&lt;&gt;""</f>
        <v>1</v>
      </c>
      <c r="E1534">
        <v>0</v>
      </c>
      <c r="F1534" t="b">
        <v>0</v>
      </c>
      <c r="G1534" t="b">
        <v>1</v>
      </c>
      <c r="H1534" t="b">
        <v>0</v>
      </c>
      <c r="I1534" t="b">
        <v>1</v>
      </c>
    </row>
    <row r="1535" spans="1:9" x14ac:dyDescent="0.2">
      <c r="A1535" t="s">
        <v>1486</v>
      </c>
      <c r="B1535" t="s">
        <v>3489</v>
      </c>
      <c r="D1535" t="b">
        <f>IFERROR(VLOOKUP(B1535,PatData!$A$2:$A$2000,1,),"")&lt;&gt;""</f>
        <v>1</v>
      </c>
      <c r="E1535">
        <v>0</v>
      </c>
      <c r="F1535" t="b">
        <v>0</v>
      </c>
      <c r="G1535" t="b">
        <v>1</v>
      </c>
      <c r="H1535" t="b">
        <v>0</v>
      </c>
      <c r="I1535" t="b">
        <v>1</v>
      </c>
    </row>
    <row r="1536" spans="1:9" x14ac:dyDescent="0.2">
      <c r="A1536" t="s">
        <v>1487</v>
      </c>
      <c r="B1536" t="s">
        <v>3490</v>
      </c>
      <c r="D1536" t="b">
        <f>IFERROR(VLOOKUP(B1536,PatData!$A$2:$A$2000,1,),"")&lt;&gt;""</f>
        <v>1</v>
      </c>
      <c r="E1536">
        <v>0</v>
      </c>
      <c r="F1536" t="b">
        <v>0</v>
      </c>
      <c r="G1536" t="b">
        <v>1</v>
      </c>
      <c r="H1536" t="b">
        <v>0</v>
      </c>
      <c r="I1536" t="b">
        <v>1</v>
      </c>
    </row>
    <row r="1537" spans="1:9" x14ac:dyDescent="0.2">
      <c r="A1537" t="s">
        <v>1488</v>
      </c>
      <c r="B1537" t="s">
        <v>3491</v>
      </c>
      <c r="D1537" t="b">
        <f>IFERROR(VLOOKUP(B1537,PatData!$A$2:$A$2000,1,),"")&lt;&gt;""</f>
        <v>1</v>
      </c>
      <c r="E1537">
        <v>0</v>
      </c>
      <c r="F1537" t="b">
        <v>0</v>
      </c>
      <c r="G1537" t="b">
        <v>1</v>
      </c>
      <c r="H1537" t="b">
        <v>0</v>
      </c>
      <c r="I1537" t="b">
        <v>1</v>
      </c>
    </row>
    <row r="1538" spans="1:9" x14ac:dyDescent="0.2">
      <c r="A1538" t="s">
        <v>1489</v>
      </c>
      <c r="B1538" t="s">
        <v>3492</v>
      </c>
      <c r="D1538" t="b">
        <f>IFERROR(VLOOKUP(B1538,PatData!$A$2:$A$2000,1,),"")&lt;&gt;""</f>
        <v>1</v>
      </c>
      <c r="E1538">
        <v>0</v>
      </c>
      <c r="F1538" t="b">
        <v>0</v>
      </c>
      <c r="G1538" t="b">
        <v>1</v>
      </c>
      <c r="H1538" t="b">
        <v>0</v>
      </c>
      <c r="I1538" t="b">
        <v>1</v>
      </c>
    </row>
    <row r="1539" spans="1:9" x14ac:dyDescent="0.2">
      <c r="A1539" t="s">
        <v>1490</v>
      </c>
      <c r="B1539" t="s">
        <v>3493</v>
      </c>
      <c r="D1539" t="b">
        <f>IFERROR(VLOOKUP(B1539,PatData!$A$2:$A$2000,1,),"")&lt;&gt;""</f>
        <v>1</v>
      </c>
      <c r="E1539">
        <v>0</v>
      </c>
      <c r="F1539" t="b">
        <v>0</v>
      </c>
      <c r="G1539" t="b">
        <v>1</v>
      </c>
      <c r="H1539" t="b">
        <v>0</v>
      </c>
      <c r="I1539" t="b">
        <v>1</v>
      </c>
    </row>
    <row r="1540" spans="1:9" x14ac:dyDescent="0.2">
      <c r="A1540" t="s">
        <v>1491</v>
      </c>
      <c r="B1540" t="s">
        <v>3494</v>
      </c>
      <c r="D1540" t="b">
        <f>IFERROR(VLOOKUP(B1540,PatData!$A$2:$A$2000,1,),"")&lt;&gt;""</f>
        <v>1</v>
      </c>
      <c r="E1540">
        <v>0</v>
      </c>
      <c r="F1540" t="b">
        <v>0</v>
      </c>
      <c r="G1540" t="b">
        <v>1</v>
      </c>
      <c r="H1540" t="b">
        <v>0</v>
      </c>
      <c r="I1540" t="b">
        <v>1</v>
      </c>
    </row>
    <row r="1541" spans="1:9" x14ac:dyDescent="0.2">
      <c r="A1541" t="s">
        <v>1492</v>
      </c>
      <c r="B1541" t="s">
        <v>3495</v>
      </c>
      <c r="D1541" t="b">
        <f>IFERROR(VLOOKUP(B1541,PatData!$A$2:$A$2000,1,),"")&lt;&gt;""</f>
        <v>1</v>
      </c>
      <c r="E1541">
        <v>0</v>
      </c>
      <c r="F1541" t="b">
        <v>0</v>
      </c>
      <c r="G1541" t="b">
        <v>1</v>
      </c>
      <c r="H1541" t="b">
        <v>0</v>
      </c>
      <c r="I1541" t="b">
        <v>1</v>
      </c>
    </row>
    <row r="1542" spans="1:9" x14ac:dyDescent="0.2">
      <c r="A1542" t="s">
        <v>1493</v>
      </c>
      <c r="B1542" t="s">
        <v>3496</v>
      </c>
      <c r="D1542" t="b">
        <f>IFERROR(VLOOKUP(B1542,PatData!$A$2:$A$2000,1,),"")&lt;&gt;""</f>
        <v>1</v>
      </c>
      <c r="E1542">
        <v>0</v>
      </c>
      <c r="F1542" t="b">
        <v>0</v>
      </c>
      <c r="G1542" t="b">
        <v>1</v>
      </c>
      <c r="H1542" t="b">
        <v>0</v>
      </c>
      <c r="I1542" t="b">
        <v>1</v>
      </c>
    </row>
    <row r="1543" spans="1:9" x14ac:dyDescent="0.2">
      <c r="A1543" t="s">
        <v>1494</v>
      </c>
      <c r="B1543" t="s">
        <v>3497</v>
      </c>
      <c r="D1543" t="b">
        <f>IFERROR(VLOOKUP(B1543,PatData!$A$2:$A$2000,1,),"")&lt;&gt;""</f>
        <v>1</v>
      </c>
      <c r="E1543">
        <v>0</v>
      </c>
      <c r="F1543" t="b">
        <v>0</v>
      </c>
      <c r="G1543" t="b">
        <v>1</v>
      </c>
      <c r="H1543" t="b">
        <v>0</v>
      </c>
      <c r="I1543" t="b">
        <v>1</v>
      </c>
    </row>
    <row r="1544" spans="1:9" x14ac:dyDescent="0.2">
      <c r="A1544" t="s">
        <v>1495</v>
      </c>
      <c r="B1544" t="s">
        <v>3498</v>
      </c>
      <c r="D1544" t="b">
        <f>IFERROR(VLOOKUP(B1544,PatData!$A$2:$A$2000,1,),"")&lt;&gt;""</f>
        <v>1</v>
      </c>
      <c r="E1544">
        <v>0</v>
      </c>
      <c r="F1544" t="b">
        <v>0</v>
      </c>
      <c r="G1544" t="b">
        <v>1</v>
      </c>
      <c r="H1544" t="b">
        <v>0</v>
      </c>
      <c r="I1544" t="b">
        <v>1</v>
      </c>
    </row>
    <row r="1545" spans="1:9" x14ac:dyDescent="0.2">
      <c r="A1545" t="s">
        <v>1496</v>
      </c>
      <c r="B1545" t="s">
        <v>3499</v>
      </c>
      <c r="D1545" t="b">
        <f>IFERROR(VLOOKUP(B1545,PatData!$A$2:$A$2000,1,),"")&lt;&gt;""</f>
        <v>1</v>
      </c>
      <c r="E1545">
        <v>0</v>
      </c>
      <c r="F1545" t="b">
        <v>0</v>
      </c>
      <c r="G1545" t="b">
        <v>1</v>
      </c>
      <c r="H1545" t="b">
        <v>0</v>
      </c>
      <c r="I1545" t="b">
        <v>1</v>
      </c>
    </row>
    <row r="1546" spans="1:9" x14ac:dyDescent="0.2">
      <c r="A1546" t="s">
        <v>4447</v>
      </c>
      <c r="B1546" t="s">
        <v>4448</v>
      </c>
      <c r="D1546" t="b">
        <f>IFERROR(VLOOKUP(B1546,PatData!$A$2:$A$2000,1,),"")&lt;&gt;""</f>
        <v>1</v>
      </c>
      <c r="E1546">
        <v>0</v>
      </c>
      <c r="F1546" t="b">
        <v>0</v>
      </c>
      <c r="G1546" t="b">
        <v>1</v>
      </c>
      <c r="H1546" t="b">
        <v>0</v>
      </c>
      <c r="I1546" t="b">
        <v>1</v>
      </c>
    </row>
    <row r="1547" spans="1:9" x14ac:dyDescent="0.2">
      <c r="A1547" t="s">
        <v>4449</v>
      </c>
      <c r="B1547" t="s">
        <v>4450</v>
      </c>
      <c r="D1547" t="b">
        <f>IFERROR(VLOOKUP(B1547,PatData!$A$2:$A$2000,1,),"")&lt;&gt;""</f>
        <v>1</v>
      </c>
      <c r="E1547">
        <v>0</v>
      </c>
      <c r="F1547" t="b">
        <v>0</v>
      </c>
      <c r="G1547" t="b">
        <v>1</v>
      </c>
      <c r="H1547" t="b">
        <v>0</v>
      </c>
      <c r="I1547" t="b">
        <v>1</v>
      </c>
    </row>
    <row r="1548" spans="1:9" x14ac:dyDescent="0.2">
      <c r="A1548" t="s">
        <v>4451</v>
      </c>
      <c r="B1548" t="s">
        <v>4452</v>
      </c>
      <c r="D1548" t="b">
        <f>IFERROR(VLOOKUP(B1548,PatData!$A$2:$A$2000,1,),"")&lt;&gt;""</f>
        <v>1</v>
      </c>
      <c r="E1548">
        <v>0</v>
      </c>
      <c r="F1548" t="b">
        <v>0</v>
      </c>
      <c r="G1548" t="b">
        <v>1</v>
      </c>
      <c r="H1548" t="b">
        <v>0</v>
      </c>
      <c r="I1548" t="b">
        <v>1</v>
      </c>
    </row>
    <row r="1549" spans="1:9" x14ac:dyDescent="0.2">
      <c r="A1549" t="s">
        <v>4453</v>
      </c>
      <c r="B1549" t="s">
        <v>4454</v>
      </c>
      <c r="D1549" t="b">
        <f>IFERROR(VLOOKUP(B1549,PatData!$A$2:$A$2000,1,),"")&lt;&gt;""</f>
        <v>1</v>
      </c>
      <c r="E1549">
        <v>0</v>
      </c>
      <c r="F1549" t="b">
        <v>0</v>
      </c>
      <c r="G1549" t="b">
        <v>1</v>
      </c>
      <c r="H1549" t="b">
        <v>0</v>
      </c>
      <c r="I1549" t="b">
        <v>1</v>
      </c>
    </row>
    <row r="1550" spans="1:9" x14ac:dyDescent="0.2">
      <c r="A1550" t="s">
        <v>4455</v>
      </c>
      <c r="B1550" t="s">
        <v>4456</v>
      </c>
      <c r="D1550" t="b">
        <f>IFERROR(VLOOKUP(B1550,PatData!$A$2:$A$2000,1,),"")&lt;&gt;""</f>
        <v>1</v>
      </c>
      <c r="E1550">
        <v>0</v>
      </c>
      <c r="F1550" t="b">
        <v>0</v>
      </c>
      <c r="G1550" t="b">
        <v>1</v>
      </c>
      <c r="H1550" t="b">
        <v>0</v>
      </c>
      <c r="I1550" t="b">
        <v>1</v>
      </c>
    </row>
    <row r="1551" spans="1:9" x14ac:dyDescent="0.2">
      <c r="A1551" t="s">
        <v>4721</v>
      </c>
      <c r="B1551" t="s">
        <v>3500</v>
      </c>
      <c r="D1551" t="b">
        <f>IFERROR(VLOOKUP(B1551,PatData!$A$2:$A$2000,1,),"")&lt;&gt;""</f>
        <v>1</v>
      </c>
      <c r="E1551">
        <v>1</v>
      </c>
      <c r="F1551" t="b">
        <v>0</v>
      </c>
      <c r="G1551" t="b">
        <v>1</v>
      </c>
      <c r="H1551" t="b">
        <v>0</v>
      </c>
      <c r="I1551" t="b">
        <v>1</v>
      </c>
    </row>
    <row r="1552" spans="1:9" x14ac:dyDescent="0.2">
      <c r="A1552" t="s">
        <v>4722</v>
      </c>
      <c r="B1552" t="s">
        <v>3501</v>
      </c>
      <c r="D1552" t="b">
        <f>IFERROR(VLOOKUP(B1552,PatData!$A$2:$A$2000,1,),"")&lt;&gt;""</f>
        <v>1</v>
      </c>
      <c r="E1552">
        <v>1</v>
      </c>
      <c r="F1552" t="b">
        <v>0</v>
      </c>
      <c r="G1552" t="b">
        <v>1</v>
      </c>
      <c r="H1552" t="b">
        <v>0</v>
      </c>
      <c r="I1552" t="b">
        <v>1</v>
      </c>
    </row>
    <row r="1553" spans="1:9" x14ac:dyDescent="0.2">
      <c r="A1553" t="s">
        <v>4723</v>
      </c>
      <c r="B1553" t="s">
        <v>3502</v>
      </c>
      <c r="D1553" t="b">
        <f>IFERROR(VLOOKUP(B1553,PatData!$A$2:$A$2000,1,),"")&lt;&gt;""</f>
        <v>1</v>
      </c>
      <c r="E1553">
        <v>2</v>
      </c>
      <c r="F1553" t="b">
        <v>0</v>
      </c>
      <c r="G1553" t="b">
        <v>1</v>
      </c>
      <c r="H1553" t="b">
        <v>0</v>
      </c>
      <c r="I1553" t="b">
        <v>1</v>
      </c>
    </row>
    <row r="1554" spans="1:9" x14ac:dyDescent="0.2">
      <c r="A1554" t="s">
        <v>4724</v>
      </c>
      <c r="B1554" t="s">
        <v>3503</v>
      </c>
      <c r="D1554" t="b">
        <f>IFERROR(VLOOKUP(B1554,PatData!$A$2:$A$2000,1,),"")&lt;&gt;""</f>
        <v>1</v>
      </c>
      <c r="E1554">
        <v>20</v>
      </c>
      <c r="F1554" t="b">
        <v>0</v>
      </c>
      <c r="G1554" t="b">
        <v>1</v>
      </c>
      <c r="H1554" t="b">
        <v>0</v>
      </c>
      <c r="I1554" t="b">
        <v>1</v>
      </c>
    </row>
    <row r="1555" spans="1:9" x14ac:dyDescent="0.2">
      <c r="A1555" t="s">
        <v>4725</v>
      </c>
      <c r="B1555" t="s">
        <v>3504</v>
      </c>
      <c r="D1555" t="b">
        <f>IFERROR(VLOOKUP(B1555,PatData!$A$2:$A$2000,1,),"")&lt;&gt;""</f>
        <v>1</v>
      </c>
      <c r="E1555">
        <v>30</v>
      </c>
      <c r="F1555" t="b">
        <v>0</v>
      </c>
      <c r="G1555" t="b">
        <v>1</v>
      </c>
      <c r="H1555" t="b">
        <v>0</v>
      </c>
      <c r="I1555" t="b">
        <v>1</v>
      </c>
    </row>
    <row r="1556" spans="1:9" x14ac:dyDescent="0.2">
      <c r="A1556" t="s">
        <v>4726</v>
      </c>
      <c r="B1556" t="s">
        <v>3505</v>
      </c>
      <c r="D1556" t="b">
        <f>IFERROR(VLOOKUP(B1556,PatData!$A$2:$A$2000,1,),"")&lt;&gt;""</f>
        <v>1</v>
      </c>
      <c r="E1556">
        <v>1</v>
      </c>
      <c r="F1556" t="b">
        <v>0</v>
      </c>
      <c r="G1556" t="b">
        <v>1</v>
      </c>
      <c r="H1556" t="b">
        <v>0</v>
      </c>
      <c r="I1556" t="b">
        <v>1</v>
      </c>
    </row>
    <row r="1557" spans="1:9" x14ac:dyDescent="0.2">
      <c r="A1557" t="s">
        <v>4727</v>
      </c>
      <c r="B1557" t="s">
        <v>3506</v>
      </c>
      <c r="D1557" t="b">
        <f>IFERROR(VLOOKUP(B1557,PatData!$A$2:$A$2000,1,),"")&lt;&gt;""</f>
        <v>1</v>
      </c>
      <c r="E1557">
        <v>1</v>
      </c>
      <c r="F1557" t="b">
        <v>0</v>
      </c>
      <c r="G1557" t="b">
        <v>1</v>
      </c>
      <c r="H1557" t="b">
        <v>0</v>
      </c>
      <c r="I1557" t="b">
        <v>1</v>
      </c>
    </row>
    <row r="1558" spans="1:9" x14ac:dyDescent="0.2">
      <c r="A1558" t="s">
        <v>4728</v>
      </c>
      <c r="B1558" t="s">
        <v>3507</v>
      </c>
      <c r="D1558" t="b">
        <f>IFERROR(VLOOKUP(B1558,PatData!$A$2:$A$2000,1,),"")&lt;&gt;""</f>
        <v>1</v>
      </c>
      <c r="E1558">
        <v>10</v>
      </c>
      <c r="F1558" t="b">
        <v>0</v>
      </c>
      <c r="G1558" t="b">
        <v>1</v>
      </c>
      <c r="H1558" t="b">
        <v>0</v>
      </c>
      <c r="I1558" t="b">
        <v>1</v>
      </c>
    </row>
    <row r="1559" spans="1:9" x14ac:dyDescent="0.2">
      <c r="A1559" t="s">
        <v>1618</v>
      </c>
      <c r="B1559" t="s">
        <v>3508</v>
      </c>
      <c r="D1559" t="b">
        <f>IFERROR(VLOOKUP(B1559,PatData!$A$2:$A$2000,1,),"")&lt;&gt;""</f>
        <v>1</v>
      </c>
      <c r="E1559" t="b">
        <v>0</v>
      </c>
      <c r="F1559" t="b">
        <v>0</v>
      </c>
      <c r="G1559" t="b">
        <v>1</v>
      </c>
      <c r="H1559" t="b">
        <v>0</v>
      </c>
      <c r="I1559" t="b">
        <v>1</v>
      </c>
    </row>
    <row r="1560" spans="1:9" x14ac:dyDescent="0.2">
      <c r="A1560" t="s">
        <v>1619</v>
      </c>
      <c r="B1560" t="s">
        <v>3509</v>
      </c>
      <c r="D1560" t="b">
        <f>IFERROR(VLOOKUP(B1560,PatData!$A$2:$A$2000,1,),"")&lt;&gt;""</f>
        <v>1</v>
      </c>
      <c r="E1560">
        <v>0</v>
      </c>
      <c r="F1560" t="b">
        <v>0</v>
      </c>
      <c r="G1560" t="b">
        <v>1</v>
      </c>
      <c r="H1560" t="b">
        <v>0</v>
      </c>
      <c r="I1560" t="b">
        <v>1</v>
      </c>
    </row>
    <row r="1561" spans="1:9" x14ac:dyDescent="0.2">
      <c r="A1561" t="s">
        <v>1622</v>
      </c>
      <c r="B1561" t="s">
        <v>3510</v>
      </c>
      <c r="D1561" t="b">
        <f>IFERROR(VLOOKUP(B1561,PatData!$A$2:$A$2000,1,),"")&lt;&gt;""</f>
        <v>1</v>
      </c>
      <c r="E1561" t="b">
        <v>0</v>
      </c>
      <c r="F1561" t="b">
        <v>0</v>
      </c>
      <c r="G1561" t="b">
        <v>1</v>
      </c>
      <c r="H1561" t="b">
        <v>0</v>
      </c>
      <c r="I1561" t="b">
        <v>1</v>
      </c>
    </row>
    <row r="1562" spans="1:9" x14ac:dyDescent="0.2">
      <c r="A1562" t="s">
        <v>1623</v>
      </c>
      <c r="B1562" t="s">
        <v>3511</v>
      </c>
      <c r="D1562" t="b">
        <f>IFERROR(VLOOKUP(B1562,PatData!$A$2:$A$2000,1,),"")&lt;&gt;""</f>
        <v>1</v>
      </c>
      <c r="E1562" t="b">
        <v>0</v>
      </c>
      <c r="F1562" t="b">
        <v>0</v>
      </c>
      <c r="G1562" t="b">
        <v>1</v>
      </c>
      <c r="H1562" t="b">
        <v>0</v>
      </c>
      <c r="I1562" t="b">
        <v>1</v>
      </c>
    </row>
    <row r="1563" spans="1:9" x14ac:dyDescent="0.2">
      <c r="A1563" t="s">
        <v>1624</v>
      </c>
      <c r="B1563" t="s">
        <v>3512</v>
      </c>
      <c r="D1563" t="b">
        <f>IFERROR(VLOOKUP(B1563,PatData!$A$2:$A$2000,1,),"")&lt;&gt;""</f>
        <v>1</v>
      </c>
      <c r="E1563">
        <v>0</v>
      </c>
      <c r="F1563" t="b">
        <v>0</v>
      </c>
      <c r="G1563" t="b">
        <v>1</v>
      </c>
      <c r="H1563" t="b">
        <v>0</v>
      </c>
      <c r="I1563" t="b">
        <v>1</v>
      </c>
    </row>
    <row r="1564" spans="1:9" x14ac:dyDescent="0.2">
      <c r="A1564" t="s">
        <v>1625</v>
      </c>
      <c r="B1564" t="s">
        <v>3513</v>
      </c>
      <c r="D1564" t="b">
        <f>IFERROR(VLOOKUP(B1564,PatData!$A$2:$A$2000,1,),"")&lt;&gt;""</f>
        <v>1</v>
      </c>
      <c r="E1564">
        <v>0</v>
      </c>
      <c r="F1564" t="b">
        <v>0</v>
      </c>
      <c r="G1564" t="b">
        <v>1</v>
      </c>
      <c r="H1564" t="b">
        <v>0</v>
      </c>
      <c r="I1564" t="b">
        <v>1</v>
      </c>
    </row>
    <row r="1565" spans="1:9" x14ac:dyDescent="0.2">
      <c r="A1565" t="s">
        <v>1990</v>
      </c>
      <c r="B1565" t="s">
        <v>3514</v>
      </c>
      <c r="D1565" t="b">
        <f>IFERROR(VLOOKUP(B1565,PatData!$A$2:$A$2000,1,),"")&lt;&gt;""</f>
        <v>1</v>
      </c>
      <c r="E1565">
        <v>1</v>
      </c>
      <c r="F1565" t="b">
        <v>0</v>
      </c>
      <c r="G1565" t="b">
        <v>1</v>
      </c>
      <c r="H1565" t="b">
        <v>0</v>
      </c>
      <c r="I1565" t="b">
        <v>1</v>
      </c>
    </row>
    <row r="1566" spans="1:9" x14ac:dyDescent="0.2">
      <c r="A1566" t="s">
        <v>1626</v>
      </c>
      <c r="B1566" t="s">
        <v>3515</v>
      </c>
      <c r="D1566" t="b">
        <f>IFERROR(VLOOKUP(B1566,PatData!$A$2:$A$2000,1,),"")&lt;&gt;""</f>
        <v>1</v>
      </c>
      <c r="E1566" t="b">
        <v>0</v>
      </c>
      <c r="F1566" t="b">
        <v>0</v>
      </c>
      <c r="G1566" t="b">
        <v>1</v>
      </c>
      <c r="H1566" t="b">
        <v>0</v>
      </c>
      <c r="I1566" t="b">
        <v>1</v>
      </c>
    </row>
    <row r="1567" spans="1:9" x14ac:dyDescent="0.2">
      <c r="A1567" t="s">
        <v>1627</v>
      </c>
      <c r="B1567" t="s">
        <v>3516</v>
      </c>
      <c r="D1567" t="b">
        <f>IFERROR(VLOOKUP(B1567,PatData!$A$2:$A$2000,1,),"")&lt;&gt;""</f>
        <v>1</v>
      </c>
      <c r="E1567">
        <v>0</v>
      </c>
      <c r="F1567" t="b">
        <v>0</v>
      </c>
      <c r="G1567" t="b">
        <v>1</v>
      </c>
      <c r="H1567" t="b">
        <v>0</v>
      </c>
      <c r="I1567" t="b">
        <v>1</v>
      </c>
    </row>
    <row r="1568" spans="1:9" x14ac:dyDescent="0.2">
      <c r="A1568" t="s">
        <v>1918</v>
      </c>
      <c r="B1568" t="s">
        <v>3517</v>
      </c>
      <c r="D1568" t="b">
        <f>IFERROR(VLOOKUP(B1568,PatData!$A$2:$A$2000,1,),"")&lt;&gt;""</f>
        <v>1</v>
      </c>
      <c r="E1568">
        <v>0</v>
      </c>
      <c r="F1568" t="b">
        <v>0</v>
      </c>
      <c r="G1568" t="b">
        <v>1</v>
      </c>
      <c r="H1568" t="b">
        <v>0</v>
      </c>
      <c r="I1568" t="b">
        <v>1</v>
      </c>
    </row>
    <row r="1569" spans="1:9" x14ac:dyDescent="0.2">
      <c r="A1569" t="s">
        <v>1920</v>
      </c>
      <c r="B1569" t="s">
        <v>3518</v>
      </c>
      <c r="D1569" t="b">
        <f>IFERROR(VLOOKUP(B1569,PatData!$A$2:$A$2000,1,),"")&lt;&gt;""</f>
        <v>1</v>
      </c>
      <c r="E1569" t="b">
        <v>0</v>
      </c>
      <c r="F1569" t="b">
        <v>0</v>
      </c>
      <c r="G1569" t="b">
        <v>1</v>
      </c>
      <c r="H1569" t="b">
        <v>0</v>
      </c>
      <c r="I1569" t="b">
        <v>1</v>
      </c>
    </row>
    <row r="1570" spans="1:9" x14ac:dyDescent="0.2">
      <c r="A1570" t="s">
        <v>1921</v>
      </c>
      <c r="B1570" t="s">
        <v>3519</v>
      </c>
      <c r="D1570" t="b">
        <f>IFERROR(VLOOKUP(B1570,PatData!$A$2:$A$2000,1,),"")&lt;&gt;""</f>
        <v>1</v>
      </c>
      <c r="E1570">
        <v>0</v>
      </c>
      <c r="F1570" t="b">
        <v>0</v>
      </c>
      <c r="G1570" t="b">
        <v>1</v>
      </c>
      <c r="H1570" t="b">
        <v>0</v>
      </c>
      <c r="I1570" t="b">
        <v>1</v>
      </c>
    </row>
    <row r="1571" spans="1:9" x14ac:dyDescent="0.2">
      <c r="A1571" t="s">
        <v>1922</v>
      </c>
      <c r="B1571" t="s">
        <v>3520</v>
      </c>
      <c r="D1571" t="b">
        <f>IFERROR(VLOOKUP(B1571,PatData!$A$2:$A$2000,1,),"")&lt;&gt;""</f>
        <v>1</v>
      </c>
      <c r="E1571" t="b">
        <v>0</v>
      </c>
      <c r="F1571" t="b">
        <v>0</v>
      </c>
      <c r="G1571" t="b">
        <v>1</v>
      </c>
      <c r="H1571" t="b">
        <v>0</v>
      </c>
      <c r="I1571" t="b">
        <v>1</v>
      </c>
    </row>
    <row r="1572" spans="1:9" x14ac:dyDescent="0.2">
      <c r="A1572" t="s">
        <v>1923</v>
      </c>
      <c r="B1572" t="s">
        <v>3521</v>
      </c>
      <c r="D1572" t="b">
        <f>IFERROR(VLOOKUP(B1572,PatData!$A$2:$A$2000,1,),"")&lt;&gt;""</f>
        <v>1</v>
      </c>
      <c r="E1572" t="b">
        <v>0</v>
      </c>
      <c r="F1572" t="b">
        <v>0</v>
      </c>
      <c r="G1572" t="b">
        <v>1</v>
      </c>
      <c r="H1572" t="b">
        <v>0</v>
      </c>
      <c r="I1572" t="b">
        <v>1</v>
      </c>
    </row>
    <row r="1573" spans="1:9" x14ac:dyDescent="0.2">
      <c r="A1573" t="s">
        <v>1924</v>
      </c>
      <c r="B1573" t="s">
        <v>3522</v>
      </c>
      <c r="D1573" t="b">
        <f>IFERROR(VLOOKUP(B1573,PatData!$A$2:$A$2000,1,),"")&lt;&gt;""</f>
        <v>1</v>
      </c>
      <c r="E1573">
        <v>0</v>
      </c>
      <c r="F1573" t="b">
        <v>0</v>
      </c>
      <c r="G1573" t="b">
        <v>1</v>
      </c>
      <c r="H1573" t="b">
        <v>0</v>
      </c>
      <c r="I1573" t="b">
        <v>1</v>
      </c>
    </row>
    <row r="1574" spans="1:9" x14ac:dyDescent="0.2">
      <c r="A1574" t="s">
        <v>1925</v>
      </c>
      <c r="B1574" t="s">
        <v>3523</v>
      </c>
      <c r="D1574" t="b">
        <f>IFERROR(VLOOKUP(B1574,PatData!$A$2:$A$2000,1,),"")&lt;&gt;""</f>
        <v>1</v>
      </c>
      <c r="E1574">
        <v>0</v>
      </c>
      <c r="F1574" t="b">
        <v>0</v>
      </c>
      <c r="G1574" t="b">
        <v>1</v>
      </c>
      <c r="H1574" t="b">
        <v>0</v>
      </c>
      <c r="I1574" t="b">
        <v>1</v>
      </c>
    </row>
    <row r="1575" spans="1:9" x14ac:dyDescent="0.2">
      <c r="A1575" t="s">
        <v>4633</v>
      </c>
      <c r="B1575" t="s">
        <v>3524</v>
      </c>
      <c r="D1575" t="b">
        <f>IFERROR(VLOOKUP(B1575,PatData!$A$2:$A$2000,1,),"")&lt;&gt;""</f>
        <v>1</v>
      </c>
      <c r="E1575">
        <v>0</v>
      </c>
      <c r="F1575" t="b">
        <v>0</v>
      </c>
      <c r="G1575" t="b">
        <v>1</v>
      </c>
      <c r="H1575" t="b">
        <v>0</v>
      </c>
      <c r="I1575" t="b">
        <v>1</v>
      </c>
    </row>
    <row r="1576" spans="1:9" x14ac:dyDescent="0.2">
      <c r="A1576" t="s">
        <v>1927</v>
      </c>
      <c r="B1576" t="s">
        <v>3525</v>
      </c>
      <c r="D1576" t="b">
        <f>IFERROR(VLOOKUP(B1576,PatData!$A$2:$A$2000,1,),"")&lt;&gt;""</f>
        <v>1</v>
      </c>
      <c r="E1576">
        <v>0</v>
      </c>
      <c r="F1576" t="b">
        <v>0</v>
      </c>
      <c r="G1576" t="b">
        <v>1</v>
      </c>
      <c r="H1576" t="b">
        <v>0</v>
      </c>
      <c r="I1576" t="b">
        <v>1</v>
      </c>
    </row>
    <row r="1577" spans="1:9" x14ac:dyDescent="0.2">
      <c r="A1577" t="s">
        <v>1953</v>
      </c>
      <c r="B1577" t="s">
        <v>3526</v>
      </c>
      <c r="D1577" t="b">
        <f>IFERROR(VLOOKUP(B1577,PatData!$A$2:$A$2000,1,),"")&lt;&gt;""</f>
        <v>1</v>
      </c>
      <c r="E1577">
        <v>0</v>
      </c>
      <c r="F1577" t="b">
        <v>0</v>
      </c>
      <c r="G1577" t="b">
        <v>1</v>
      </c>
      <c r="H1577" t="b">
        <v>0</v>
      </c>
      <c r="I1577" t="b">
        <v>1</v>
      </c>
    </row>
    <row r="1578" spans="1:9" x14ac:dyDescent="0.2">
      <c r="A1578" t="s">
        <v>1954</v>
      </c>
      <c r="B1578" t="s">
        <v>3527</v>
      </c>
      <c r="D1578" t="b">
        <f>IFERROR(VLOOKUP(B1578,PatData!$A$2:$A$2000,1,),"")&lt;&gt;""</f>
        <v>1</v>
      </c>
      <c r="E1578" t="b">
        <v>0</v>
      </c>
      <c r="F1578" t="b">
        <v>0</v>
      </c>
      <c r="G1578" t="b">
        <v>1</v>
      </c>
      <c r="H1578" t="b">
        <v>0</v>
      </c>
      <c r="I1578" t="b">
        <v>1</v>
      </c>
    </row>
    <row r="1579" spans="1:9" x14ac:dyDescent="0.2">
      <c r="A1579" t="s">
        <v>1955</v>
      </c>
      <c r="B1579" t="s">
        <v>3528</v>
      </c>
      <c r="D1579" t="b">
        <f>IFERROR(VLOOKUP(B1579,PatData!$A$2:$A$2000,1,),"")&lt;&gt;""</f>
        <v>1</v>
      </c>
      <c r="E1579">
        <v>1</v>
      </c>
      <c r="F1579" t="b">
        <v>0</v>
      </c>
      <c r="G1579" t="b">
        <v>1</v>
      </c>
      <c r="H1579" t="b">
        <v>0</v>
      </c>
      <c r="I1579" t="b">
        <v>1</v>
      </c>
    </row>
    <row r="1580" spans="1:9" x14ac:dyDescent="0.2">
      <c r="A1580" t="s">
        <v>1957</v>
      </c>
      <c r="B1580" t="s">
        <v>3529</v>
      </c>
      <c r="D1580" t="b">
        <f>IFERROR(VLOOKUP(B1580,PatData!$A$2:$A$2000,1,),"")&lt;&gt;""</f>
        <v>1</v>
      </c>
      <c r="E1580">
        <v>1</v>
      </c>
      <c r="F1580" t="b">
        <v>0</v>
      </c>
      <c r="G1580" t="b">
        <v>1</v>
      </c>
      <c r="H1580" t="b">
        <v>0</v>
      </c>
      <c r="I1580" t="b">
        <v>1</v>
      </c>
    </row>
    <row r="1581" spans="1:9" x14ac:dyDescent="0.2">
      <c r="A1581" t="s">
        <v>1959</v>
      </c>
      <c r="B1581" t="s">
        <v>3530</v>
      </c>
      <c r="D1581" t="b">
        <f>IFERROR(VLOOKUP(B1581,PatData!$A$2:$A$2000,1,),"")&lt;&gt;""</f>
        <v>1</v>
      </c>
      <c r="E1581">
        <v>0</v>
      </c>
      <c r="F1581" t="b">
        <v>0</v>
      </c>
      <c r="G1581" t="b">
        <v>1</v>
      </c>
      <c r="H1581" t="b">
        <v>0</v>
      </c>
      <c r="I1581" t="b">
        <v>1</v>
      </c>
    </row>
    <row r="1582" spans="1:9" x14ac:dyDescent="0.2">
      <c r="A1582" t="s">
        <v>1958</v>
      </c>
      <c r="B1582" t="s">
        <v>3531</v>
      </c>
      <c r="D1582" t="b">
        <f>IFERROR(VLOOKUP(B1582,PatData!$A$2:$A$2000,1,),"")&lt;&gt;""</f>
        <v>1</v>
      </c>
      <c r="E1582">
        <v>1</v>
      </c>
      <c r="F1582" t="b">
        <v>0</v>
      </c>
      <c r="G1582" t="b">
        <v>1</v>
      </c>
      <c r="H1582" t="b">
        <v>0</v>
      </c>
      <c r="I1582" t="b">
        <v>1</v>
      </c>
    </row>
    <row r="1583" spans="1:9" x14ac:dyDescent="0.2">
      <c r="A1583" t="s">
        <v>1956</v>
      </c>
      <c r="B1583" t="s">
        <v>3532</v>
      </c>
      <c r="D1583" t="b">
        <f>IFERROR(VLOOKUP(B1583,PatData!$A$2:$A$2000,1,),"")&lt;&gt;""</f>
        <v>1</v>
      </c>
      <c r="E1583">
        <v>0</v>
      </c>
      <c r="F1583" t="b">
        <v>0</v>
      </c>
      <c r="G1583" t="b">
        <v>1</v>
      </c>
      <c r="H1583" t="b">
        <v>0</v>
      </c>
      <c r="I1583" t="b">
        <v>1</v>
      </c>
    </row>
    <row r="1584" spans="1:9" x14ac:dyDescent="0.2">
      <c r="A1584" t="s">
        <v>1999</v>
      </c>
      <c r="B1584" t="s">
        <v>3533</v>
      </c>
      <c r="D1584" t="b">
        <f>IFERROR(VLOOKUP(B1584,PatData!$A$2:$A$2000,1,),"")&lt;&gt;""</f>
        <v>1</v>
      </c>
      <c r="E1584" t="b">
        <v>0</v>
      </c>
      <c r="F1584" t="b">
        <v>0</v>
      </c>
      <c r="G1584" t="b">
        <v>1</v>
      </c>
      <c r="H1584" t="b">
        <v>0</v>
      </c>
      <c r="I1584" t="b">
        <v>1</v>
      </c>
    </row>
    <row r="1585" spans="1:9" x14ac:dyDescent="0.2">
      <c r="A1585" t="s">
        <v>2000</v>
      </c>
      <c r="B1585" t="s">
        <v>3534</v>
      </c>
      <c r="D1585" t="b">
        <f>IFERROR(VLOOKUP(B1585,PatData!$A$2:$A$2000,1,),"")&lt;&gt;""</f>
        <v>1</v>
      </c>
      <c r="E1585">
        <v>1</v>
      </c>
      <c r="F1585" t="b">
        <v>0</v>
      </c>
      <c r="G1585" t="b">
        <v>1</v>
      </c>
      <c r="H1585" t="b">
        <v>0</v>
      </c>
      <c r="I1585" t="b">
        <v>1</v>
      </c>
    </row>
    <row r="1586" spans="1:9" x14ac:dyDescent="0.2">
      <c r="A1586" t="s">
        <v>1998</v>
      </c>
      <c r="B1586" t="s">
        <v>3535</v>
      </c>
      <c r="D1586" t="b">
        <f>IFERROR(VLOOKUP(B1586,PatData!$A$2:$A$2000,1,),"")&lt;&gt;""</f>
        <v>1</v>
      </c>
      <c r="E1586">
        <v>0</v>
      </c>
      <c r="F1586" t="b">
        <v>0</v>
      </c>
      <c r="G1586" t="b">
        <v>1</v>
      </c>
      <c r="H1586" t="b">
        <v>0</v>
      </c>
      <c r="I1586" t="b">
        <v>1</v>
      </c>
    </row>
    <row r="1587" spans="1:9" x14ac:dyDescent="0.2">
      <c r="A1587" t="e">
        <v>#NAME?</v>
      </c>
      <c r="B1587" t="s">
        <v>1165</v>
      </c>
      <c r="D1587" t="b">
        <f>IFERROR(VLOOKUP(B1587,PatData!$A$2:$A$2000,1,),"")&lt;&gt;""</f>
        <v>0</v>
      </c>
      <c r="E1587">
        <v>0</v>
      </c>
      <c r="F1587" t="b">
        <v>0</v>
      </c>
      <c r="G1587" t="b">
        <v>0</v>
      </c>
      <c r="H1587" t="b">
        <v>0</v>
      </c>
      <c r="I1587" t="b">
        <v>0</v>
      </c>
    </row>
    <row r="1588" spans="1:9" x14ac:dyDescent="0.2">
      <c r="A1588" t="s">
        <v>1929</v>
      </c>
      <c r="B1588" t="s">
        <v>1166</v>
      </c>
      <c r="D1588" t="b">
        <f>IFERROR(VLOOKUP(B1588,PatData!$A$2:$A$2000,1,),"")&lt;&gt;""</f>
        <v>0</v>
      </c>
      <c r="E1588" t="s">
        <v>4296</v>
      </c>
      <c r="F1588" t="b">
        <v>0</v>
      </c>
      <c r="G1588" t="b">
        <v>0</v>
      </c>
      <c r="H1588" t="b">
        <v>0</v>
      </c>
      <c r="I1588" t="b">
        <v>0</v>
      </c>
    </row>
    <row r="1589" spans="1:9" x14ac:dyDescent="0.2">
      <c r="A1589" t="s">
        <v>1930</v>
      </c>
      <c r="B1589" t="s">
        <v>1167</v>
      </c>
      <c r="D1589" t="b">
        <f>IFERROR(VLOOKUP(B1589,PatData!$A$2:$A$2000,1,),"")&lt;&gt;""</f>
        <v>0</v>
      </c>
      <c r="E1589"/>
      <c r="F1589" t="b">
        <v>0</v>
      </c>
      <c r="G1589" t="b">
        <v>0</v>
      </c>
      <c r="H1589" t="b">
        <v>0</v>
      </c>
      <c r="I1589" t="b">
        <v>0</v>
      </c>
    </row>
    <row r="1590" spans="1:9" x14ac:dyDescent="0.2">
      <c r="A1590" t="s">
        <v>1931</v>
      </c>
      <c r="B1590" t="s">
        <v>1168</v>
      </c>
      <c r="D1590" t="b">
        <f>IFERROR(VLOOKUP(B1590,PatData!$A$2:$A$2000,1,),"")&lt;&gt;""</f>
        <v>0</v>
      </c>
      <c r="E1590"/>
      <c r="F1590" t="b">
        <v>0</v>
      </c>
      <c r="G1590" t="b">
        <v>0</v>
      </c>
      <c r="H1590" t="b">
        <v>0</v>
      </c>
      <c r="I1590" t="b">
        <v>0</v>
      </c>
    </row>
    <row r="1591" spans="1:9" x14ac:dyDescent="0.2">
      <c r="A1591" t="s">
        <v>1932</v>
      </c>
      <c r="B1591" t="s">
        <v>1169</v>
      </c>
      <c r="D1591" t="b">
        <f>IFERROR(VLOOKUP(B1591,PatData!$A$2:$A$2000,1,),"")&lt;&gt;""</f>
        <v>0</v>
      </c>
      <c r="E1591" t="s">
        <v>4297</v>
      </c>
      <c r="F1591" t="b">
        <v>0</v>
      </c>
      <c r="G1591" t="b">
        <v>0</v>
      </c>
      <c r="H1591" t="b">
        <v>0</v>
      </c>
      <c r="I1591" t="b">
        <v>0</v>
      </c>
    </row>
    <row r="1592" spans="1:9" x14ac:dyDescent="0.2">
      <c r="A1592" t="s">
        <v>1933</v>
      </c>
      <c r="B1592" t="s">
        <v>1170</v>
      </c>
      <c r="D1592" t="b">
        <f>IFERROR(VLOOKUP(B1592,PatData!$A$2:$A$2000,1,),"")&lt;&gt;""</f>
        <v>0</v>
      </c>
      <c r="E1592" t="s">
        <v>4296</v>
      </c>
      <c r="F1592" t="b">
        <v>0</v>
      </c>
      <c r="G1592" t="b">
        <v>0</v>
      </c>
      <c r="H1592" t="b">
        <v>0</v>
      </c>
      <c r="I1592" t="b">
        <v>0</v>
      </c>
    </row>
    <row r="1593" spans="1:9" x14ac:dyDescent="0.2">
      <c r="A1593" t="s">
        <v>1934</v>
      </c>
      <c r="B1593" t="s">
        <v>1171</v>
      </c>
      <c r="D1593" t="b">
        <f>IFERROR(VLOOKUP(B1593,PatData!$A$2:$A$2000,1,),"")&lt;&gt;""</f>
        <v>0</v>
      </c>
      <c r="E1593"/>
      <c r="F1593" t="b">
        <v>0</v>
      </c>
      <c r="G1593" t="b">
        <v>0</v>
      </c>
      <c r="H1593" t="b">
        <v>0</v>
      </c>
      <c r="I1593" t="b">
        <v>0</v>
      </c>
    </row>
    <row r="1594" spans="1:9" x14ac:dyDescent="0.2">
      <c r="A1594" t="s">
        <v>1935</v>
      </c>
      <c r="B1594" t="s">
        <v>1172</v>
      </c>
      <c r="D1594" t="b">
        <f>IFERROR(VLOOKUP(B1594,PatData!$A$2:$A$2000,1,),"")&lt;&gt;""</f>
        <v>0</v>
      </c>
      <c r="E1594" t="s">
        <v>4297</v>
      </c>
      <c r="F1594" t="b">
        <v>0</v>
      </c>
      <c r="G1594" t="b">
        <v>0</v>
      </c>
      <c r="H1594" t="b">
        <v>0</v>
      </c>
      <c r="I1594" t="b">
        <v>0</v>
      </c>
    </row>
    <row r="1595" spans="1:9" x14ac:dyDescent="0.2">
      <c r="A1595" t="s">
        <v>1936</v>
      </c>
      <c r="B1595" t="s">
        <v>1173</v>
      </c>
      <c r="D1595" t="b">
        <f>IFERROR(VLOOKUP(B1595,PatData!$A$2:$A$2000,1,),"")&lt;&gt;""</f>
        <v>0</v>
      </c>
      <c r="E1595" t="s">
        <v>252</v>
      </c>
      <c r="F1595" t="b">
        <v>0</v>
      </c>
      <c r="G1595" t="b">
        <v>0</v>
      </c>
      <c r="H1595" t="b">
        <v>0</v>
      </c>
      <c r="I1595" t="b">
        <v>0</v>
      </c>
    </row>
    <row r="1596" spans="1:9" x14ac:dyDescent="0.2">
      <c r="A1596" t="s">
        <v>1937</v>
      </c>
      <c r="B1596" t="s">
        <v>1174</v>
      </c>
      <c r="D1596" t="b">
        <f>IFERROR(VLOOKUP(B1596,PatData!$A$2:$A$2000,1,),"")&lt;&gt;""</f>
        <v>0</v>
      </c>
      <c r="E1596" t="s">
        <v>252</v>
      </c>
      <c r="F1596" t="b">
        <v>0</v>
      </c>
      <c r="G1596" t="b">
        <v>0</v>
      </c>
      <c r="H1596" t="b">
        <v>0</v>
      </c>
      <c r="I1596" t="b">
        <v>0</v>
      </c>
    </row>
    <row r="1597" spans="1:9" x14ac:dyDescent="0.2">
      <c r="A1597" t="s">
        <v>1938</v>
      </c>
      <c r="B1597" t="s">
        <v>1175</v>
      </c>
      <c r="D1597" t="b">
        <f>IFERROR(VLOOKUP(B1597,PatData!$A$2:$A$2000,1,),"")&lt;&gt;""</f>
        <v>0</v>
      </c>
      <c r="E1597" t="s">
        <v>252</v>
      </c>
      <c r="F1597" t="b">
        <v>0</v>
      </c>
      <c r="G1597" t="b">
        <v>0</v>
      </c>
      <c r="H1597" t="b">
        <v>0</v>
      </c>
      <c r="I1597" t="b">
        <v>0</v>
      </c>
    </row>
    <row r="1598" spans="1:9" x14ac:dyDescent="0.2">
      <c r="A1598" t="s">
        <v>1939</v>
      </c>
      <c r="B1598" t="s">
        <v>1176</v>
      </c>
      <c r="D1598" t="b">
        <f>IFERROR(VLOOKUP(B1598,PatData!$A$2:$A$2000,1,),"")&lt;&gt;""</f>
        <v>0</v>
      </c>
      <c r="E1598" t="s">
        <v>252</v>
      </c>
      <c r="F1598" t="b">
        <v>0</v>
      </c>
      <c r="G1598" t="b">
        <v>0</v>
      </c>
      <c r="H1598" t="b">
        <v>0</v>
      </c>
      <c r="I1598" t="b">
        <v>0</v>
      </c>
    </row>
    <row r="1599" spans="1:9" x14ac:dyDescent="0.2">
      <c r="A1599" t="s">
        <v>1940</v>
      </c>
      <c r="B1599" t="s">
        <v>1177</v>
      </c>
      <c r="D1599" t="b">
        <f>IFERROR(VLOOKUP(B1599,PatData!$A$2:$A$2000,1,),"")&lt;&gt;""</f>
        <v>0</v>
      </c>
      <c r="E1599" t="s">
        <v>252</v>
      </c>
      <c r="F1599" t="b">
        <v>0</v>
      </c>
      <c r="G1599" t="b">
        <v>0</v>
      </c>
      <c r="H1599" t="b">
        <v>0</v>
      </c>
      <c r="I1599" t="b">
        <v>0</v>
      </c>
    </row>
    <row r="1600" spans="1:9" x14ac:dyDescent="0.2">
      <c r="A1600" t="s">
        <v>1941</v>
      </c>
      <c r="B1600" t="s">
        <v>1178</v>
      </c>
      <c r="D1600" t="b">
        <f>IFERROR(VLOOKUP(B1600,PatData!$A$2:$A$2000,1,),"")&lt;&gt;""</f>
        <v>0</v>
      </c>
      <c r="E1600" t="b">
        <v>0</v>
      </c>
      <c r="F1600" t="b">
        <v>0</v>
      </c>
      <c r="G1600" t="b">
        <v>0</v>
      </c>
      <c r="H1600" t="b">
        <v>0</v>
      </c>
      <c r="I1600" t="b">
        <v>0</v>
      </c>
    </row>
    <row r="1601" spans="1:9" x14ac:dyDescent="0.2">
      <c r="A1601" t="s">
        <v>1942</v>
      </c>
      <c r="B1601" t="s">
        <v>1179</v>
      </c>
      <c r="D1601" t="b">
        <f>IFERROR(VLOOKUP(B1601,PatData!$A$2:$A$2000,1,),"")&lt;&gt;""</f>
        <v>0</v>
      </c>
      <c r="E1601">
        <v>0</v>
      </c>
      <c r="F1601" t="b">
        <v>0</v>
      </c>
      <c r="G1601" t="b">
        <v>0</v>
      </c>
      <c r="H1601" t="b">
        <v>0</v>
      </c>
      <c r="I1601" t="b">
        <v>0</v>
      </c>
    </row>
    <row r="1602" spans="1:9" x14ac:dyDescent="0.2">
      <c r="A1602" t="s">
        <v>1943</v>
      </c>
      <c r="B1602" t="s">
        <v>1180</v>
      </c>
      <c r="D1602" t="b">
        <f>IFERROR(VLOOKUP(B1602,PatData!$A$2:$A$2000,1,),"")&lt;&gt;""</f>
        <v>0</v>
      </c>
      <c r="E1602" t="b">
        <v>0</v>
      </c>
      <c r="F1602" t="b">
        <v>0</v>
      </c>
      <c r="G1602" t="b">
        <v>0</v>
      </c>
      <c r="H1602" t="b">
        <v>0</v>
      </c>
      <c r="I1602" t="b">
        <v>0</v>
      </c>
    </row>
    <row r="1603" spans="1:9" x14ac:dyDescent="0.2">
      <c r="A1603" t="s">
        <v>4298</v>
      </c>
      <c r="B1603" t="s">
        <v>1181</v>
      </c>
      <c r="D1603" t="b">
        <f>IFERROR(VLOOKUP(B1603,PatData!$A$2:$A$2000,1,),"")&lt;&gt;""</f>
        <v>0</v>
      </c>
      <c r="E1603" t="b">
        <v>0</v>
      </c>
      <c r="F1603" t="b">
        <v>0</v>
      </c>
      <c r="G1603" t="b">
        <v>0</v>
      </c>
      <c r="H1603" t="b">
        <v>0</v>
      </c>
      <c r="I1603" t="b">
        <v>0</v>
      </c>
    </row>
    <row r="1604" spans="1:9" x14ac:dyDescent="0.2">
      <c r="A1604" t="s">
        <v>4299</v>
      </c>
      <c r="B1604" t="s">
        <v>1182</v>
      </c>
      <c r="D1604" t="b">
        <f>IFERROR(VLOOKUP(B1604,PatData!$A$2:$A$2000,1,),"")&lt;&gt;""</f>
        <v>0</v>
      </c>
      <c r="E1604">
        <v>0</v>
      </c>
      <c r="F1604" t="b">
        <v>0</v>
      </c>
      <c r="G1604" t="b">
        <v>0</v>
      </c>
      <c r="H1604" t="b">
        <v>0</v>
      </c>
      <c r="I1604" t="b">
        <v>0</v>
      </c>
    </row>
    <row r="1605" spans="1:9" x14ac:dyDescent="0.2">
      <c r="A1605" t="s">
        <v>1944</v>
      </c>
      <c r="B1605" t="s">
        <v>1183</v>
      </c>
      <c r="D1605" t="b">
        <f>IFERROR(VLOOKUP(B1605,PatData!$A$2:$A$2000,1,),"")&lt;&gt;""</f>
        <v>0</v>
      </c>
      <c r="E1605" t="b">
        <v>0</v>
      </c>
      <c r="F1605" t="b">
        <v>0</v>
      </c>
      <c r="G1605" t="b">
        <v>0</v>
      </c>
      <c r="H1605" t="b">
        <v>0</v>
      </c>
      <c r="I1605" t="b">
        <v>0</v>
      </c>
    </row>
    <row r="1606" spans="1:9" x14ac:dyDescent="0.2">
      <c r="A1606" t="s">
        <v>1945</v>
      </c>
      <c r="B1606" t="s">
        <v>1184</v>
      </c>
      <c r="D1606" t="b">
        <f>IFERROR(VLOOKUP(B1606,PatData!$A$2:$A$2000,1,),"")&lt;&gt;""</f>
        <v>0</v>
      </c>
      <c r="E1606" t="s">
        <v>1144</v>
      </c>
      <c r="F1606" t="b">
        <v>0</v>
      </c>
      <c r="G1606" t="b">
        <v>0</v>
      </c>
      <c r="H1606" t="b">
        <v>0</v>
      </c>
      <c r="I1606" t="b">
        <v>0</v>
      </c>
    </row>
    <row r="1607" spans="1:9" x14ac:dyDescent="0.2">
      <c r="A1607" t="s">
        <v>1946</v>
      </c>
      <c r="B1607" t="s">
        <v>1185</v>
      </c>
      <c r="D1607" t="b">
        <f>IFERROR(VLOOKUP(B1607,PatData!$A$2:$A$2000,1,),"")&lt;&gt;""</f>
        <v>0</v>
      </c>
      <c r="E1607" t="s">
        <v>4711</v>
      </c>
      <c r="F1607" t="b">
        <v>0</v>
      </c>
      <c r="G1607" t="b">
        <v>0</v>
      </c>
      <c r="H1607" t="b">
        <v>0</v>
      </c>
      <c r="I1607" t="b">
        <v>0</v>
      </c>
    </row>
    <row r="1608" spans="1:9" x14ac:dyDescent="0.2">
      <c r="A1608" t="s">
        <v>1947</v>
      </c>
      <c r="B1608" t="s">
        <v>1186</v>
      </c>
      <c r="D1608" t="b">
        <f>IFERROR(VLOOKUP(B1608,PatData!$A$2:$A$2000,1,),"")&lt;&gt;""</f>
        <v>0</v>
      </c>
      <c r="E1608" t="b">
        <v>1</v>
      </c>
      <c r="F1608" t="b">
        <v>0</v>
      </c>
      <c r="G1608" t="b">
        <v>0</v>
      </c>
      <c r="H1608" t="b">
        <v>0</v>
      </c>
      <c r="I1608" t="b">
        <v>0</v>
      </c>
    </row>
    <row r="1609" spans="1:9" x14ac:dyDescent="0.2">
      <c r="A1609" t="s">
        <v>1948</v>
      </c>
      <c r="B1609" t="s">
        <v>1187</v>
      </c>
      <c r="D1609" t="b">
        <f>IFERROR(VLOOKUP(B1609,PatData!$A$2:$A$2000,1,),"")&lt;&gt;""</f>
        <v>0</v>
      </c>
      <c r="E1609" t="s">
        <v>1142</v>
      </c>
      <c r="F1609" t="b">
        <v>0</v>
      </c>
      <c r="G1609" t="b">
        <v>0</v>
      </c>
      <c r="H1609" t="b">
        <v>0</v>
      </c>
      <c r="I1609" t="b">
        <v>0</v>
      </c>
    </row>
    <row r="1610" spans="1:9" x14ac:dyDescent="0.2">
      <c r="A1610" t="s">
        <v>1949</v>
      </c>
      <c r="B1610" t="s">
        <v>1188</v>
      </c>
      <c r="D1610" t="b">
        <f>IFERROR(VLOOKUP(B1610,PatData!$A$2:$A$2000,1,),"")&lt;&gt;""</f>
        <v>0</v>
      </c>
      <c r="E1610" t="b">
        <v>1</v>
      </c>
      <c r="F1610" t="b">
        <v>0</v>
      </c>
      <c r="G1610" t="b">
        <v>0</v>
      </c>
      <c r="H1610" t="b">
        <v>0</v>
      </c>
      <c r="I1610" t="b">
        <v>0</v>
      </c>
    </row>
    <row r="1611" spans="1:9" x14ac:dyDescent="0.2">
      <c r="A1611" t="s">
        <v>1950</v>
      </c>
      <c r="B1611" t="s">
        <v>1189</v>
      </c>
      <c r="D1611" t="b">
        <f>IFERROR(VLOOKUP(B1611,PatData!$A$2:$A$2000,1,),"")&lt;&gt;""</f>
        <v>0</v>
      </c>
      <c r="E1611" t="s">
        <v>1136</v>
      </c>
      <c r="F1611" t="b">
        <v>0</v>
      </c>
      <c r="G1611" t="b">
        <v>0</v>
      </c>
      <c r="H1611" t="b">
        <v>0</v>
      </c>
      <c r="I1611" t="b">
        <v>0</v>
      </c>
    </row>
    <row r="1612" spans="1:9" x14ac:dyDescent="0.2">
      <c r="A1612" t="s">
        <v>1951</v>
      </c>
      <c r="B1612" t="s">
        <v>1190</v>
      </c>
      <c r="D1612" t="b">
        <f>IFERROR(VLOOKUP(B1612,PatData!$A$2:$A$2000,1,),"")&lt;&gt;""</f>
        <v>0</v>
      </c>
      <c r="E1612" t="s">
        <v>1137</v>
      </c>
      <c r="F1612" t="b">
        <v>0</v>
      </c>
      <c r="G1612" t="b">
        <v>0</v>
      </c>
      <c r="H1612" t="b">
        <v>0</v>
      </c>
      <c r="I1612" t="b">
        <v>0</v>
      </c>
    </row>
    <row r="1613" spans="1:9" x14ac:dyDescent="0.2">
      <c r="A1613" t="s">
        <v>1952</v>
      </c>
      <c r="B1613" t="s">
        <v>1191</v>
      </c>
      <c r="D1613" t="b">
        <f>IFERROR(VLOOKUP(B1613,PatData!$A$2:$A$2000,1,),"")&lt;&gt;""</f>
        <v>0</v>
      </c>
      <c r="E1613" t="s">
        <v>1140</v>
      </c>
      <c r="F1613" t="b">
        <v>0</v>
      </c>
      <c r="G1613" t="b">
        <v>0</v>
      </c>
      <c r="H1613" t="b">
        <v>0</v>
      </c>
      <c r="I1613" t="b">
        <v>0</v>
      </c>
    </row>
    <row r="1614" spans="1:9" x14ac:dyDescent="0.2">
      <c r="A1614" t="s">
        <v>5411</v>
      </c>
      <c r="B1614" t="s">
        <v>2202</v>
      </c>
      <c r="D1614" t="b">
        <f>IFERROR(VLOOKUP(B1614,PatData!$A$2:$A$2000,1,),"")&lt;&gt;""</f>
        <v>0</v>
      </c>
      <c r="E1614" t="s">
        <v>158</v>
      </c>
      <c r="F1614" t="b">
        <v>0</v>
      </c>
      <c r="G1614" t="b">
        <v>0</v>
      </c>
      <c r="H1614" t="b">
        <v>0</v>
      </c>
      <c r="I1614" t="b">
        <v>0</v>
      </c>
    </row>
    <row r="1615" spans="1:9" x14ac:dyDescent="0.2">
      <c r="A1615" t="s">
        <v>3614</v>
      </c>
      <c r="B1615" t="s">
        <v>3615</v>
      </c>
      <c r="D1615" t="b">
        <f>IFERROR(VLOOKUP(B1615,PatData!$A$2:$A$2000,1,),"")&lt;&gt;""</f>
        <v>0</v>
      </c>
      <c r="E1615" t="s">
        <v>3561</v>
      </c>
      <c r="F1615" t="b">
        <v>0</v>
      </c>
      <c r="G1615" t="b">
        <v>0</v>
      </c>
      <c r="H1615" t="b">
        <v>0</v>
      </c>
      <c r="I1615" t="b">
        <v>0</v>
      </c>
    </row>
    <row r="1616" spans="1:9" x14ac:dyDescent="0.2">
      <c r="A1616" t="s">
        <v>1620</v>
      </c>
      <c r="B1616" t="s">
        <v>2203</v>
      </c>
      <c r="D1616" t="b">
        <f>IFERROR(VLOOKUP(B1616,PatData!$A$2:$A$2000,1,),"")&lt;&gt;""</f>
        <v>0</v>
      </c>
      <c r="E1616"/>
      <c r="F1616" t="b">
        <v>0</v>
      </c>
      <c r="G1616" t="b">
        <v>0</v>
      </c>
      <c r="H1616" t="b">
        <v>0</v>
      </c>
      <c r="I1616" t="b">
        <v>0</v>
      </c>
    </row>
    <row r="1617" spans="1:9" x14ac:dyDescent="0.2">
      <c r="A1617" t="s">
        <v>1621</v>
      </c>
      <c r="B1617" t="s">
        <v>2204</v>
      </c>
      <c r="D1617" t="b">
        <f>IFERROR(VLOOKUP(B1617,PatData!$A$2:$A$2000,1,),"")&lt;&gt;""</f>
        <v>0</v>
      </c>
      <c r="E1617"/>
      <c r="F1617" t="b">
        <v>0</v>
      </c>
      <c r="G1617" t="b">
        <v>0</v>
      </c>
      <c r="H1617" t="b">
        <v>0</v>
      </c>
      <c r="I1617" t="b">
        <v>0</v>
      </c>
    </row>
    <row r="1618" spans="1:9" x14ac:dyDescent="0.2">
      <c r="A1618" t="s">
        <v>1915</v>
      </c>
      <c r="B1618" t="s">
        <v>2233</v>
      </c>
      <c r="D1618" t="b">
        <f>IFERROR(VLOOKUP(B1618,PatData!$A$2:$A$2000,1,),"")&lt;&gt;""</f>
        <v>0</v>
      </c>
      <c r="E1618" t="s">
        <v>584</v>
      </c>
      <c r="F1618" t="b">
        <v>0</v>
      </c>
      <c r="G1618" t="b">
        <v>0</v>
      </c>
      <c r="H1618" t="b">
        <v>0</v>
      </c>
      <c r="I1618" t="b">
        <v>0</v>
      </c>
    </row>
    <row r="1619" spans="1:9" x14ac:dyDescent="0.2">
      <c r="A1619" t="s">
        <v>1909</v>
      </c>
      <c r="B1619" t="s">
        <v>2227</v>
      </c>
      <c r="D1619" t="b">
        <f>IFERROR(VLOOKUP(B1619,PatData!$A$2:$A$2000,1,),"")&lt;&gt;""</f>
        <v>0</v>
      </c>
      <c r="E1619"/>
      <c r="F1619" t="b">
        <v>0</v>
      </c>
      <c r="G1619" t="b">
        <v>0</v>
      </c>
      <c r="H1619" t="b">
        <v>0</v>
      </c>
      <c r="I1619" t="b">
        <v>0</v>
      </c>
    </row>
    <row r="1620" spans="1:9" x14ac:dyDescent="0.2">
      <c r="A1620" t="s">
        <v>1910</v>
      </c>
      <c r="B1620" t="s">
        <v>2228</v>
      </c>
      <c r="D1620" t="b">
        <f>IFERROR(VLOOKUP(B1620,PatData!$A$2:$A$2000,1,),"")&lt;&gt;""</f>
        <v>0</v>
      </c>
      <c r="E1620"/>
      <c r="F1620" t="b">
        <v>0</v>
      </c>
      <c r="G1620" t="b">
        <v>0</v>
      </c>
      <c r="H1620" t="b">
        <v>0</v>
      </c>
      <c r="I1620" t="b">
        <v>0</v>
      </c>
    </row>
    <row r="1621" spans="1:9" x14ac:dyDescent="0.2">
      <c r="A1621" t="s">
        <v>1911</v>
      </c>
      <c r="B1621" t="s">
        <v>2229</v>
      </c>
      <c r="D1621" t="b">
        <f>IFERROR(VLOOKUP(B1621,PatData!$A$2:$A$2000,1,),"")&lt;&gt;""</f>
        <v>0</v>
      </c>
      <c r="E1621"/>
      <c r="F1621" t="b">
        <v>0</v>
      </c>
      <c r="G1621" t="b">
        <v>0</v>
      </c>
      <c r="H1621" t="b">
        <v>0</v>
      </c>
      <c r="I1621" t="b">
        <v>0</v>
      </c>
    </row>
    <row r="1622" spans="1:9" x14ac:dyDescent="0.2">
      <c r="A1622" t="s">
        <v>1919</v>
      </c>
      <c r="B1622" t="s">
        <v>3536</v>
      </c>
      <c r="D1622" t="b">
        <f>IFERROR(VLOOKUP(B1622,PatData!$A$2:$A$2000,1,),"")&lt;&gt;""</f>
        <v>0</v>
      </c>
      <c r="E1622"/>
      <c r="F1622" t="b">
        <v>0</v>
      </c>
      <c r="G1622" t="b">
        <v>0</v>
      </c>
      <c r="H1622" t="b">
        <v>0</v>
      </c>
      <c r="I1622" t="b">
        <v>0</v>
      </c>
    </row>
    <row r="1623" spans="1:9" x14ac:dyDescent="0.2">
      <c r="A1623" t="s">
        <v>1498</v>
      </c>
      <c r="B1623" t="s">
        <v>2194</v>
      </c>
      <c r="D1623" t="b">
        <f>IFERROR(VLOOKUP(B1623,PatData!$A$2:$A$2000,1,),"")&lt;&gt;""</f>
        <v>0</v>
      </c>
      <c r="E1623"/>
      <c r="F1623" t="b">
        <v>0</v>
      </c>
      <c r="G1623" t="b">
        <v>0</v>
      </c>
      <c r="H1623" t="b">
        <v>0</v>
      </c>
      <c r="I1623" t="b">
        <v>0</v>
      </c>
    </row>
    <row r="1624" spans="1:9" x14ac:dyDescent="0.2">
      <c r="A1624" t="s">
        <v>1497</v>
      </c>
      <c r="B1624" t="s">
        <v>2195</v>
      </c>
      <c r="D1624" t="b">
        <f>IFERROR(VLOOKUP(B1624,PatData!$A$2:$A$2000,1,),"")&lt;&gt;""</f>
        <v>0</v>
      </c>
      <c r="E1624"/>
      <c r="F1624" t="b">
        <v>0</v>
      </c>
      <c r="G1624" t="b">
        <v>0</v>
      </c>
      <c r="H1624" t="b">
        <v>0</v>
      </c>
      <c r="I1624" t="b">
        <v>0</v>
      </c>
    </row>
    <row r="1625" spans="1:9" x14ac:dyDescent="0.2">
      <c r="A1625" t="s">
        <v>1499</v>
      </c>
      <c r="B1625" t="s">
        <v>2192</v>
      </c>
      <c r="D1625" t="b">
        <f>IFERROR(VLOOKUP(B1625,PatData!$A$2:$A$2000,1,),"")&lt;&gt;""</f>
        <v>0</v>
      </c>
      <c r="E1625"/>
      <c r="F1625" t="b">
        <v>0</v>
      </c>
      <c r="G1625" t="b">
        <v>0</v>
      </c>
      <c r="H1625" t="b">
        <v>0</v>
      </c>
      <c r="I1625" t="b">
        <v>0</v>
      </c>
    </row>
    <row r="1626" spans="1:9" x14ac:dyDescent="0.2">
      <c r="A1626" t="s">
        <v>1500</v>
      </c>
      <c r="B1626" t="s">
        <v>2193</v>
      </c>
      <c r="D1626" t="b">
        <f>IFERROR(VLOOKUP(B1626,PatData!$A$2:$A$2000,1,),"")&lt;&gt;""</f>
        <v>0</v>
      </c>
      <c r="E1626"/>
      <c r="F1626" t="b">
        <v>0</v>
      </c>
      <c r="G1626" t="b">
        <v>0</v>
      </c>
      <c r="H1626" t="b">
        <v>0</v>
      </c>
      <c r="I1626" t="b">
        <v>0</v>
      </c>
    </row>
    <row r="1627" spans="1:9" x14ac:dyDescent="0.2">
      <c r="A1627" t="s">
        <v>1501</v>
      </c>
      <c r="B1627" t="s">
        <v>2196</v>
      </c>
      <c r="D1627" t="b">
        <f>IFERROR(VLOOKUP(B1627,PatData!$A$2:$A$2000,1,),"")&lt;&gt;""</f>
        <v>0</v>
      </c>
      <c r="E1627"/>
      <c r="F1627" t="b">
        <v>0</v>
      </c>
      <c r="G1627" t="b">
        <v>0</v>
      </c>
      <c r="H1627" t="b">
        <v>0</v>
      </c>
      <c r="I1627" t="b">
        <v>0</v>
      </c>
    </row>
    <row r="1628" spans="1:9" x14ac:dyDescent="0.2">
      <c r="A1628" t="s">
        <v>1926</v>
      </c>
      <c r="B1628" t="s">
        <v>2205</v>
      </c>
      <c r="D1628" t="b">
        <f>IFERROR(VLOOKUP(B1628,PatData!$A$2:$A$2000,1,),"")&lt;&gt;""</f>
        <v>0</v>
      </c>
      <c r="E1628"/>
      <c r="F1628" t="b">
        <v>0</v>
      </c>
      <c r="G1628" t="b">
        <v>0</v>
      </c>
      <c r="H1628" t="b">
        <v>0</v>
      </c>
      <c r="I1628" t="b">
        <v>0</v>
      </c>
    </row>
    <row r="1629" spans="1:9" x14ac:dyDescent="0.2">
      <c r="A1629" t="s">
        <v>1912</v>
      </c>
      <c r="B1629" t="s">
        <v>2230</v>
      </c>
      <c r="D1629" t="b">
        <f>IFERROR(VLOOKUP(B1629,PatData!$A$2:$A$2000,1,),"")&lt;&gt;""</f>
        <v>0</v>
      </c>
      <c r="E1629" t="s">
        <v>933</v>
      </c>
      <c r="F1629" t="b">
        <v>0</v>
      </c>
      <c r="G1629" t="b">
        <v>0</v>
      </c>
      <c r="H1629" t="b">
        <v>0</v>
      </c>
      <c r="I1629" t="b">
        <v>0</v>
      </c>
    </row>
    <row r="1630" spans="1:9" x14ac:dyDescent="0.2">
      <c r="A1630" t="s">
        <v>1913</v>
      </c>
      <c r="B1630" t="s">
        <v>2231</v>
      </c>
      <c r="D1630" t="b">
        <f>IFERROR(VLOOKUP(B1630,PatData!$A$2:$A$2000,1,),"")&lt;&gt;""</f>
        <v>0</v>
      </c>
      <c r="E1630" t="s">
        <v>932</v>
      </c>
      <c r="F1630" t="b">
        <v>0</v>
      </c>
      <c r="G1630" t="b">
        <v>0</v>
      </c>
      <c r="H1630" t="b">
        <v>0</v>
      </c>
      <c r="I1630" t="b">
        <v>0</v>
      </c>
    </row>
    <row r="1631" spans="1:9" x14ac:dyDescent="0.2">
      <c r="A1631" t="s">
        <v>1914</v>
      </c>
      <c r="B1631" t="s">
        <v>2232</v>
      </c>
      <c r="D1631" t="b">
        <f>IFERROR(VLOOKUP(B1631,PatData!$A$2:$A$2000,1,),"")&lt;&gt;""</f>
        <v>0</v>
      </c>
      <c r="E1631" t="s">
        <v>284</v>
      </c>
      <c r="F1631" t="b">
        <v>0</v>
      </c>
      <c r="G1631" t="b">
        <v>0</v>
      </c>
      <c r="H1631" t="b">
        <v>0</v>
      </c>
      <c r="I1631" t="b">
        <v>0</v>
      </c>
    </row>
    <row r="1632" spans="1:9" x14ac:dyDescent="0.2">
      <c r="A1632" t="s">
        <v>1928</v>
      </c>
      <c r="B1632" t="s">
        <v>2208</v>
      </c>
      <c r="D1632" t="b">
        <f>IFERROR(VLOOKUP(B1632,PatData!$A$2:$A$2000,1,),"")&lt;&gt;""</f>
        <v>0</v>
      </c>
      <c r="E1632"/>
      <c r="F1632" t="b">
        <v>0</v>
      </c>
      <c r="G1632" t="b">
        <v>0</v>
      </c>
      <c r="H1632" t="b">
        <v>0</v>
      </c>
      <c r="I1632" t="b">
        <v>0</v>
      </c>
    </row>
    <row r="1633" spans="1:9" x14ac:dyDescent="0.2">
      <c r="A1633" t="s">
        <v>1916</v>
      </c>
      <c r="B1633" t="s">
        <v>2234</v>
      </c>
      <c r="D1633" t="b">
        <f>IFERROR(VLOOKUP(B1633,PatData!$A$2:$A$2000,1,),"")&lt;&gt;""</f>
        <v>0</v>
      </c>
      <c r="E1633"/>
      <c r="F1633" t="b">
        <v>0</v>
      </c>
      <c r="G1633" t="b">
        <v>0</v>
      </c>
      <c r="H1633" t="b">
        <v>0</v>
      </c>
      <c r="I1633" t="b">
        <v>0</v>
      </c>
    </row>
    <row r="1634" spans="1:9" x14ac:dyDescent="0.2">
      <c r="A1634" t="s">
        <v>1917</v>
      </c>
      <c r="B1634" t="s">
        <v>2235</v>
      </c>
      <c r="D1634" t="b">
        <f>IFERROR(VLOOKUP(B1634,PatData!$A$2:$A$2000,1,),"")&lt;&gt;""</f>
        <v>0</v>
      </c>
      <c r="E1634"/>
      <c r="F1634" t="b">
        <v>0</v>
      </c>
      <c r="G1634" t="b">
        <v>0</v>
      </c>
      <c r="H1634" t="b">
        <v>0</v>
      </c>
      <c r="I1634" t="b">
        <v>0</v>
      </c>
    </row>
    <row r="1635" spans="1:9" x14ac:dyDescent="0.2">
      <c r="A1635" t="s">
        <v>1995</v>
      </c>
      <c r="B1635" t="s">
        <v>2240</v>
      </c>
      <c r="D1635" t="b">
        <f>IFERROR(VLOOKUP(B1635,PatData!$A$2:$A$2000,1,),"")&lt;&gt;""</f>
        <v>0</v>
      </c>
      <c r="E1635" t="s">
        <v>333</v>
      </c>
      <c r="F1635" t="b">
        <v>0</v>
      </c>
      <c r="G1635" t="b">
        <v>0</v>
      </c>
      <c r="H1635" t="b">
        <v>0</v>
      </c>
      <c r="I1635" t="b">
        <v>0</v>
      </c>
    </row>
    <row r="1636" spans="1:9" x14ac:dyDescent="0.2">
      <c r="A1636" t="s">
        <v>1960</v>
      </c>
      <c r="B1636" t="s">
        <v>2209</v>
      </c>
      <c r="D1636" t="b">
        <f>IFERROR(VLOOKUP(B1636,PatData!$A$2:$A$2000,1,),"")&lt;&gt;""</f>
        <v>0</v>
      </c>
      <c r="E1636">
        <v>0</v>
      </c>
      <c r="F1636" t="b">
        <v>0</v>
      </c>
      <c r="G1636" t="b">
        <v>0</v>
      </c>
      <c r="H1636" t="b">
        <v>0</v>
      </c>
      <c r="I1636" t="b">
        <v>0</v>
      </c>
    </row>
    <row r="1637" spans="1:9" x14ac:dyDescent="0.2">
      <c r="A1637" t="s">
        <v>4300</v>
      </c>
      <c r="B1637" t="s">
        <v>2003</v>
      </c>
      <c r="D1637" t="b">
        <f>IFERROR(VLOOKUP(B1637,PatData!$A$2:$A$2000,1,),"")&lt;&gt;""</f>
        <v>0</v>
      </c>
      <c r="E1637"/>
      <c r="F1637" t="b">
        <v>0</v>
      </c>
      <c r="G1637" t="b">
        <v>0</v>
      </c>
      <c r="H1637" t="b">
        <v>0</v>
      </c>
      <c r="I1637" t="b">
        <v>0</v>
      </c>
    </row>
    <row r="1638" spans="1:9" x14ac:dyDescent="0.2">
      <c r="A1638" t="s">
        <v>3616</v>
      </c>
      <c r="B1638" t="s">
        <v>3617</v>
      </c>
      <c r="D1638" t="b">
        <f>IFERROR(VLOOKUP(B1638,PatData!$A$2:$A$2000,1,),"")&lt;&gt;""</f>
        <v>0</v>
      </c>
      <c r="E1638" t="s">
        <v>3543</v>
      </c>
      <c r="F1638" t="b">
        <v>0</v>
      </c>
      <c r="G1638" t="b">
        <v>0</v>
      </c>
      <c r="H1638" t="b">
        <v>0</v>
      </c>
      <c r="I1638" t="b">
        <v>0</v>
      </c>
    </row>
    <row r="1639" spans="1:9" x14ac:dyDescent="0.2">
      <c r="A1639" t="s">
        <v>4301</v>
      </c>
      <c r="B1639" t="s">
        <v>2009</v>
      </c>
      <c r="D1639" t="b">
        <f>IFERROR(VLOOKUP(B1639,PatData!$A$2:$A$2000,1,),"")&lt;&gt;""</f>
        <v>0</v>
      </c>
      <c r="E1639"/>
      <c r="F1639" t="b">
        <v>0</v>
      </c>
      <c r="G1639" t="b">
        <v>0</v>
      </c>
      <c r="H1639" t="b">
        <v>0</v>
      </c>
      <c r="I1639" t="b">
        <v>0</v>
      </c>
    </row>
    <row r="1640" spans="1:9" x14ac:dyDescent="0.2">
      <c r="A1640" t="s">
        <v>4302</v>
      </c>
      <c r="B1640" t="s">
        <v>2010</v>
      </c>
      <c r="D1640" t="b">
        <f>IFERROR(VLOOKUP(B1640,PatData!$A$2:$A$2000,1,),"")&lt;&gt;""</f>
        <v>0</v>
      </c>
      <c r="E1640"/>
      <c r="F1640" t="b">
        <v>0</v>
      </c>
      <c r="G1640" t="b">
        <v>0</v>
      </c>
      <c r="H1640" t="b">
        <v>0</v>
      </c>
      <c r="I1640" t="b">
        <v>0</v>
      </c>
    </row>
    <row r="1641" spans="1:9" x14ac:dyDescent="0.2">
      <c r="A1641" t="s">
        <v>4303</v>
      </c>
      <c r="B1641" t="s">
        <v>2008</v>
      </c>
      <c r="D1641" t="b">
        <f>IFERROR(VLOOKUP(B1641,PatData!$A$2:$A$2000,1,),"")&lt;&gt;""</f>
        <v>0</v>
      </c>
      <c r="E1641"/>
      <c r="F1641" t="b">
        <v>0</v>
      </c>
      <c r="G1641" t="b">
        <v>0</v>
      </c>
      <c r="H1641" t="b">
        <v>0</v>
      </c>
      <c r="I1641" t="b">
        <v>0</v>
      </c>
    </row>
    <row r="1642" spans="1:9" x14ac:dyDescent="0.2">
      <c r="A1642" t="s">
        <v>4304</v>
      </c>
      <c r="B1642" t="s">
        <v>2012</v>
      </c>
      <c r="D1642" t="b">
        <f>IFERROR(VLOOKUP(B1642,PatData!$A$2:$A$2000,1,),"")&lt;&gt;""</f>
        <v>0</v>
      </c>
      <c r="E1642"/>
      <c r="F1642" t="b">
        <v>0</v>
      </c>
      <c r="G1642" t="b">
        <v>0</v>
      </c>
      <c r="H1642" t="b">
        <v>0</v>
      </c>
      <c r="I1642" t="b">
        <v>0</v>
      </c>
    </row>
    <row r="1643" spans="1:9" x14ac:dyDescent="0.2">
      <c r="A1643" t="s">
        <v>4305</v>
      </c>
      <c r="B1643" t="s">
        <v>2005</v>
      </c>
      <c r="D1643" t="b">
        <f>IFERROR(VLOOKUP(B1643,PatData!$A$2:$A$2000,1,),"")&lt;&gt;""</f>
        <v>0</v>
      </c>
      <c r="E1643"/>
      <c r="F1643" t="b">
        <v>0</v>
      </c>
      <c r="G1643" t="b">
        <v>0</v>
      </c>
      <c r="H1643" t="b">
        <v>0</v>
      </c>
      <c r="I1643" t="b">
        <v>0</v>
      </c>
    </row>
    <row r="1644" spans="1:9" x14ac:dyDescent="0.2">
      <c r="A1644" t="s">
        <v>4306</v>
      </c>
      <c r="B1644" t="s">
        <v>2004</v>
      </c>
      <c r="D1644" t="b">
        <f>IFERROR(VLOOKUP(B1644,PatData!$A$2:$A$2000,1,),"")&lt;&gt;""</f>
        <v>0</v>
      </c>
      <c r="E1644"/>
      <c r="F1644" t="b">
        <v>0</v>
      </c>
      <c r="G1644" t="b">
        <v>0</v>
      </c>
      <c r="H1644" t="b">
        <v>0</v>
      </c>
      <c r="I1644" t="b">
        <v>0</v>
      </c>
    </row>
    <row r="1645" spans="1:9" x14ac:dyDescent="0.2">
      <c r="A1645" t="s">
        <v>4307</v>
      </c>
      <c r="B1645" t="s">
        <v>2007</v>
      </c>
      <c r="D1645" t="b">
        <f>IFERROR(VLOOKUP(B1645,PatData!$A$2:$A$2000,1,),"")&lt;&gt;""</f>
        <v>0</v>
      </c>
      <c r="E1645"/>
      <c r="F1645" t="b">
        <v>0</v>
      </c>
      <c r="G1645" t="b">
        <v>0</v>
      </c>
      <c r="H1645" t="b">
        <v>0</v>
      </c>
      <c r="I1645" t="b">
        <v>0</v>
      </c>
    </row>
    <row r="1646" spans="1:9" x14ac:dyDescent="0.2">
      <c r="A1646" t="s">
        <v>4729</v>
      </c>
      <c r="B1646" t="s">
        <v>2206</v>
      </c>
      <c r="D1646" t="b">
        <f>IFERROR(VLOOKUP(B1646,PatData!$A$2:$A$2000,1,),"")&lt;&gt;""</f>
        <v>0</v>
      </c>
      <c r="E1646">
        <v>30</v>
      </c>
      <c r="F1646" t="b">
        <v>0</v>
      </c>
      <c r="G1646" t="b">
        <v>0</v>
      </c>
      <c r="H1646" t="b">
        <v>0</v>
      </c>
      <c r="I1646" t="b">
        <v>0</v>
      </c>
    </row>
    <row r="1647" spans="1:9" x14ac:dyDescent="0.2">
      <c r="A1647" t="s">
        <v>4730</v>
      </c>
      <c r="B1647" t="s">
        <v>2207</v>
      </c>
      <c r="D1647" t="b">
        <f>IFERROR(VLOOKUP(B1647,PatData!$A$2:$A$2000,1,),"")&lt;&gt;""</f>
        <v>0</v>
      </c>
      <c r="E1647">
        <v>70</v>
      </c>
      <c r="F1647" t="b">
        <v>0</v>
      </c>
      <c r="G1647" t="b">
        <v>0</v>
      </c>
      <c r="H1647" t="b">
        <v>0</v>
      </c>
      <c r="I1647" t="b">
        <v>0</v>
      </c>
    </row>
    <row r="1648" spans="1:9" x14ac:dyDescent="0.2">
      <c r="A1648" t="s">
        <v>1991</v>
      </c>
      <c r="B1648" t="s">
        <v>2236</v>
      </c>
      <c r="D1648" t="b">
        <f>IFERROR(VLOOKUP(B1648,PatData!$A$2:$A$2000,1,),"")&lt;&gt;""</f>
        <v>0</v>
      </c>
      <c r="E1648" t="s">
        <v>333</v>
      </c>
      <c r="F1648" t="b">
        <v>0</v>
      </c>
      <c r="G1648" t="b">
        <v>0</v>
      </c>
      <c r="H1648" t="b">
        <v>0</v>
      </c>
      <c r="I1648" t="b">
        <v>0</v>
      </c>
    </row>
    <row r="1649" spans="1:9" x14ac:dyDescent="0.2">
      <c r="A1649" t="s">
        <v>1992</v>
      </c>
      <c r="B1649" t="s">
        <v>2237</v>
      </c>
      <c r="D1649" t="b">
        <f>IFERROR(VLOOKUP(B1649,PatData!$A$2:$A$2000,1,),"")&lt;&gt;""</f>
        <v>0</v>
      </c>
      <c r="E1649" t="s">
        <v>334</v>
      </c>
      <c r="F1649" t="b">
        <v>0</v>
      </c>
      <c r="G1649" t="b">
        <v>0</v>
      </c>
      <c r="H1649" t="b">
        <v>0</v>
      </c>
      <c r="I1649" t="b">
        <v>0</v>
      </c>
    </row>
    <row r="1650" spans="1:9" x14ac:dyDescent="0.2">
      <c r="A1650" t="s">
        <v>1993</v>
      </c>
      <c r="B1650" t="s">
        <v>2238</v>
      </c>
      <c r="D1650" t="b">
        <f>IFERROR(VLOOKUP(B1650,PatData!$A$2:$A$2000,1,),"")&lt;&gt;""</f>
        <v>0</v>
      </c>
      <c r="E1650" t="s">
        <v>41</v>
      </c>
      <c r="F1650" t="b">
        <v>0</v>
      </c>
      <c r="G1650" t="b">
        <v>0</v>
      </c>
      <c r="H1650" t="b">
        <v>0</v>
      </c>
      <c r="I1650" t="b">
        <v>0</v>
      </c>
    </row>
    <row r="1651" spans="1:9" x14ac:dyDescent="0.2">
      <c r="A1651" t="s">
        <v>1994</v>
      </c>
      <c r="B1651" t="s">
        <v>2239</v>
      </c>
      <c r="D1651" t="b">
        <f>IFERROR(VLOOKUP(B1651,PatData!$A$2:$A$2000,1,),"")&lt;&gt;""</f>
        <v>0</v>
      </c>
      <c r="E1651" t="s">
        <v>42</v>
      </c>
      <c r="F1651" t="b">
        <v>0</v>
      </c>
      <c r="G1651" t="b">
        <v>0</v>
      </c>
      <c r="H1651" t="b">
        <v>0</v>
      </c>
      <c r="I1651" t="b">
        <v>0</v>
      </c>
    </row>
    <row r="1652" spans="1:9" x14ac:dyDescent="0.2">
      <c r="A1652" t="s">
        <v>1996</v>
      </c>
      <c r="B1652" t="s">
        <v>2241</v>
      </c>
      <c r="D1652" t="b">
        <f>IFERROR(VLOOKUP(B1652,PatData!$A$2:$A$2000,1,),"")&lt;&gt;""</f>
        <v>0</v>
      </c>
      <c r="E1652" t="s">
        <v>79</v>
      </c>
      <c r="F1652" t="b">
        <v>0</v>
      </c>
      <c r="G1652" t="b">
        <v>0</v>
      </c>
      <c r="H1652" t="b">
        <v>0</v>
      </c>
      <c r="I1652" t="b">
        <v>0</v>
      </c>
    </row>
    <row r="1653" spans="1:9" x14ac:dyDescent="0.2">
      <c r="A1653" t="s">
        <v>1997</v>
      </c>
      <c r="B1653" t="s">
        <v>2242</v>
      </c>
      <c r="D1653" t="b">
        <f>IFERROR(VLOOKUP(B1653,PatData!$A$2:$A$2000,1,),"")&lt;&gt;""</f>
        <v>0</v>
      </c>
      <c r="E1653" t="s">
        <v>334</v>
      </c>
      <c r="F1653" t="b">
        <v>0</v>
      </c>
      <c r="G1653" t="b">
        <v>0</v>
      </c>
      <c r="H1653" t="b">
        <v>0</v>
      </c>
      <c r="I1653" t="b">
        <v>0</v>
      </c>
    </row>
    <row r="1654" spans="1:9" x14ac:dyDescent="0.2">
      <c r="A1654" t="s">
        <v>4308</v>
      </c>
      <c r="B1654" t="s">
        <v>2011</v>
      </c>
      <c r="D1654" t="b">
        <f>IFERROR(VLOOKUP(B1654,PatData!$A$2:$A$2000,1,),"")&lt;&gt;""</f>
        <v>0</v>
      </c>
      <c r="E1654">
        <v>1</v>
      </c>
      <c r="F1654" t="b">
        <v>0</v>
      </c>
      <c r="G1654" t="b">
        <v>0</v>
      </c>
      <c r="H1654" t="b">
        <v>0</v>
      </c>
      <c r="I1654" t="b">
        <v>0</v>
      </c>
    </row>
    <row r="1655" spans="1:9" x14ac:dyDescent="0.2">
      <c r="A1655" t="s">
        <v>4457</v>
      </c>
      <c r="B1655" t="s">
        <v>1192</v>
      </c>
      <c r="D1655" t="b">
        <f>IFERROR(VLOOKUP(B1655,PatData!$A$2:$A$2000,1,),"")&lt;&gt;""</f>
        <v>0</v>
      </c>
      <c r="E1655">
        <v>0</v>
      </c>
      <c r="F1655" t="b">
        <v>0</v>
      </c>
      <c r="G1655" t="b">
        <v>0</v>
      </c>
      <c r="H1655" t="b">
        <v>0</v>
      </c>
      <c r="I1655" t="b">
        <v>0</v>
      </c>
    </row>
    <row r="1656" spans="1:9" x14ac:dyDescent="0.2">
      <c r="A1656" t="s">
        <v>1961</v>
      </c>
      <c r="B1656" t="s">
        <v>1048</v>
      </c>
      <c r="D1656" t="b">
        <f>IFERROR(VLOOKUP(B1656,PatData!$A$2:$A$2000,1,),"")&lt;&gt;""</f>
        <v>0</v>
      </c>
      <c r="E1656"/>
      <c r="F1656" t="b">
        <v>0</v>
      </c>
      <c r="G1656" t="b">
        <v>0</v>
      </c>
      <c r="H1656" t="b">
        <v>0</v>
      </c>
      <c r="I1656" t="b">
        <v>0</v>
      </c>
    </row>
    <row r="1657" spans="1:9" x14ac:dyDescent="0.2">
      <c r="A1657" t="s">
        <v>1962</v>
      </c>
      <c r="B1657" t="s">
        <v>1193</v>
      </c>
      <c r="D1657" t="b">
        <f>IFERROR(VLOOKUP(B1657,PatData!$A$2:$A$2000,1,),"")&lt;&gt;""</f>
        <v>0</v>
      </c>
      <c r="E1657"/>
      <c r="F1657" t="b">
        <v>0</v>
      </c>
      <c r="G1657" t="b">
        <v>0</v>
      </c>
      <c r="H1657" t="b">
        <v>0</v>
      </c>
      <c r="I1657" t="b">
        <v>0</v>
      </c>
    </row>
    <row r="1658" spans="1:9" x14ac:dyDescent="0.2">
      <c r="A1658" t="s">
        <v>1963</v>
      </c>
      <c r="B1658" t="s">
        <v>1047</v>
      </c>
      <c r="D1658" t="b">
        <f>IFERROR(VLOOKUP(B1658,PatData!$A$2:$A$2000,1,),"")&lt;&gt;""</f>
        <v>0</v>
      </c>
      <c r="E1658"/>
      <c r="F1658" t="b">
        <v>0</v>
      </c>
      <c r="G1658" t="b">
        <v>0</v>
      </c>
      <c r="H1658" t="b">
        <v>0</v>
      </c>
      <c r="I1658" t="b">
        <v>0</v>
      </c>
    </row>
    <row r="1659" spans="1:9" x14ac:dyDescent="0.2">
      <c r="A1659" t="s">
        <v>1964</v>
      </c>
      <c r="B1659" t="s">
        <v>1044</v>
      </c>
      <c r="D1659" t="b">
        <f>IFERROR(VLOOKUP(B1659,PatData!$A$2:$A$2000,1,),"")&lt;&gt;""</f>
        <v>0</v>
      </c>
      <c r="E1659"/>
      <c r="F1659" t="b">
        <v>0</v>
      </c>
      <c r="G1659" t="b">
        <v>0</v>
      </c>
      <c r="H1659" t="b">
        <v>0</v>
      </c>
      <c r="I1659" t="b">
        <v>0</v>
      </c>
    </row>
    <row r="1660" spans="1:9" x14ac:dyDescent="0.2">
      <c r="A1660" t="s">
        <v>1965</v>
      </c>
      <c r="B1660" t="s">
        <v>1046</v>
      </c>
      <c r="D1660" t="b">
        <f>IFERROR(VLOOKUP(B1660,PatData!$A$2:$A$2000,1,),"")&lt;&gt;""</f>
        <v>0</v>
      </c>
      <c r="E1660"/>
      <c r="F1660" t="b">
        <v>0</v>
      </c>
      <c r="G1660" t="b">
        <v>0</v>
      </c>
      <c r="H1660" t="b">
        <v>0</v>
      </c>
      <c r="I1660" t="b">
        <v>0</v>
      </c>
    </row>
    <row r="1661" spans="1:9" x14ac:dyDescent="0.2">
      <c r="A1661" t="s">
        <v>1966</v>
      </c>
      <c r="B1661" t="s">
        <v>1045</v>
      </c>
      <c r="D1661" t="b">
        <f>IFERROR(VLOOKUP(B1661,PatData!$A$2:$A$2000,1,),"")&lt;&gt;""</f>
        <v>0</v>
      </c>
      <c r="E1661"/>
      <c r="F1661" t="b">
        <v>0</v>
      </c>
      <c r="G1661" t="b">
        <v>0</v>
      </c>
      <c r="H1661" t="b">
        <v>0</v>
      </c>
      <c r="I1661" t="b">
        <v>0</v>
      </c>
    </row>
    <row r="1662" spans="1:9" x14ac:dyDescent="0.2">
      <c r="A1662" t="s">
        <v>1967</v>
      </c>
      <c r="B1662" t="s">
        <v>1194</v>
      </c>
      <c r="D1662" t="b">
        <f>IFERROR(VLOOKUP(B1662,PatData!$A$2:$A$2000,1,),"")&lt;&gt;""</f>
        <v>0</v>
      </c>
      <c r="E1662"/>
      <c r="F1662" t="b">
        <v>0</v>
      </c>
      <c r="G1662" t="b">
        <v>0</v>
      </c>
      <c r="H1662" t="b">
        <v>0</v>
      </c>
      <c r="I1662" t="b">
        <v>0</v>
      </c>
    </row>
    <row r="1663" spans="1:9" x14ac:dyDescent="0.2">
      <c r="A1663" t="s">
        <v>1968</v>
      </c>
      <c r="B1663" t="s">
        <v>1043</v>
      </c>
      <c r="D1663" t="b">
        <f>IFERROR(VLOOKUP(B1663,PatData!$A$2:$A$2000,1,),"")&lt;&gt;""</f>
        <v>0</v>
      </c>
      <c r="E1663"/>
      <c r="F1663" t="b">
        <v>0</v>
      </c>
      <c r="G1663" t="b">
        <v>0</v>
      </c>
      <c r="H1663" t="b">
        <v>0</v>
      </c>
      <c r="I1663" t="b">
        <v>0</v>
      </c>
    </row>
    <row r="1664" spans="1:9" x14ac:dyDescent="0.2">
      <c r="A1664" t="s">
        <v>1969</v>
      </c>
      <c r="B1664" t="s">
        <v>1195</v>
      </c>
      <c r="D1664" t="b">
        <f>IFERROR(VLOOKUP(B1664,PatData!$A$2:$A$2000,1,),"")&lt;&gt;""</f>
        <v>0</v>
      </c>
      <c r="E1664"/>
      <c r="F1664" t="b">
        <v>0</v>
      </c>
      <c r="G1664" t="b">
        <v>0</v>
      </c>
      <c r="H1664" t="b">
        <v>0</v>
      </c>
      <c r="I1664" t="b">
        <v>0</v>
      </c>
    </row>
    <row r="1665" spans="1:9" x14ac:dyDescent="0.2">
      <c r="A1665" t="s">
        <v>1970</v>
      </c>
      <c r="B1665" t="s">
        <v>1196</v>
      </c>
      <c r="D1665" t="b">
        <f>IFERROR(VLOOKUP(B1665,PatData!$A$2:$A$2000,1,),"")&lt;&gt;""</f>
        <v>0</v>
      </c>
      <c r="E1665">
        <v>2.4899999999999999E-2</v>
      </c>
      <c r="F1665" t="b">
        <v>0</v>
      </c>
      <c r="G1665" t="b">
        <v>0</v>
      </c>
      <c r="H1665" t="b">
        <v>0</v>
      </c>
      <c r="I1665" t="b">
        <v>0</v>
      </c>
    </row>
    <row r="1666" spans="1:9" x14ac:dyDescent="0.2">
      <c r="A1666" t="s">
        <v>1971</v>
      </c>
      <c r="B1666" t="s">
        <v>1197</v>
      </c>
      <c r="D1666" t="b">
        <f>IFERROR(VLOOKUP(B1666,PatData!$A$2:$A$2000,1,),"")&lt;&gt;""</f>
        <v>0</v>
      </c>
      <c r="E1666">
        <v>2.8205999999999998E-2</v>
      </c>
      <c r="F1666" t="b">
        <v>0</v>
      </c>
      <c r="G1666" t="b">
        <v>0</v>
      </c>
      <c r="H1666" t="b">
        <v>0</v>
      </c>
      <c r="I1666" t="b">
        <v>0</v>
      </c>
    </row>
    <row r="1667" spans="1:9" x14ac:dyDescent="0.2">
      <c r="A1667" t="s">
        <v>1972</v>
      </c>
      <c r="B1667" t="s">
        <v>1198</v>
      </c>
      <c r="D1667" t="b">
        <f>IFERROR(VLOOKUP(B1667,PatData!$A$2:$A$2000,1,),"")&lt;&gt;""</f>
        <v>0</v>
      </c>
      <c r="E1667">
        <v>1.7899999999999999E-2</v>
      </c>
      <c r="F1667" t="b">
        <v>0</v>
      </c>
      <c r="G1667" t="b">
        <v>0</v>
      </c>
      <c r="H1667" t="b">
        <v>0</v>
      </c>
      <c r="I1667" t="b">
        <v>0</v>
      </c>
    </row>
    <row r="1668" spans="1:9" x14ac:dyDescent="0.2">
      <c r="A1668" t="s">
        <v>1973</v>
      </c>
      <c r="B1668" t="s">
        <v>1199</v>
      </c>
      <c r="D1668" t="b">
        <f>IFERROR(VLOOKUP(B1668,PatData!$A$2:$A$2000,1,),"")&lt;&gt;""</f>
        <v>0</v>
      </c>
      <c r="E1668">
        <v>2.5641000000000001E-2</v>
      </c>
      <c r="F1668" t="b">
        <v>0</v>
      </c>
      <c r="G1668" t="b">
        <v>0</v>
      </c>
      <c r="H1668" t="b">
        <v>0</v>
      </c>
      <c r="I1668" t="b">
        <v>0</v>
      </c>
    </row>
    <row r="1669" spans="1:9" x14ac:dyDescent="0.2">
      <c r="A1669" t="s">
        <v>1974</v>
      </c>
      <c r="B1669" t="s">
        <v>1200</v>
      </c>
      <c r="D1669" t="b">
        <f>IFERROR(VLOOKUP(B1669,PatData!$A$2:$A$2000,1,),"")&lt;&gt;""</f>
        <v>0</v>
      </c>
      <c r="E1669">
        <v>4.1140999999999997E-2</v>
      </c>
      <c r="F1669" t="b">
        <v>0</v>
      </c>
      <c r="G1669" t="b">
        <v>0</v>
      </c>
      <c r="H1669" t="b">
        <v>0</v>
      </c>
      <c r="I1669" t="b">
        <v>0</v>
      </c>
    </row>
    <row r="1670" spans="1:9" x14ac:dyDescent="0.2">
      <c r="A1670" t="s">
        <v>1975</v>
      </c>
      <c r="B1670" t="s">
        <v>1201</v>
      </c>
      <c r="D1670" t="b">
        <f>IFERROR(VLOOKUP(B1670,PatData!$A$2:$A$2000,1,),"")&lt;&gt;""</f>
        <v>0</v>
      </c>
      <c r="E1670">
        <v>4.3478000000000003E-2</v>
      </c>
      <c r="F1670" t="b">
        <v>0</v>
      </c>
      <c r="G1670" t="b">
        <v>0</v>
      </c>
      <c r="H1670" t="b">
        <v>0</v>
      </c>
      <c r="I1670" t="b">
        <v>0</v>
      </c>
    </row>
    <row r="1671" spans="1:9" x14ac:dyDescent="0.2">
      <c r="A1671" t="s">
        <v>1976</v>
      </c>
      <c r="B1671" t="s">
        <v>1202</v>
      </c>
      <c r="D1671" t="b">
        <f>IFERROR(VLOOKUP(B1671,PatData!$A$2:$A$2000,1,),"")&lt;&gt;""</f>
        <v>0</v>
      </c>
      <c r="E1671">
        <v>3.2288999999999998E-2</v>
      </c>
      <c r="F1671" t="b">
        <v>0</v>
      </c>
      <c r="G1671" t="b">
        <v>0</v>
      </c>
      <c r="H1671" t="b">
        <v>0</v>
      </c>
      <c r="I1671" t="b">
        <v>0</v>
      </c>
    </row>
    <row r="1672" spans="1:9" x14ac:dyDescent="0.2">
      <c r="A1672" t="s">
        <v>1977</v>
      </c>
      <c r="B1672" t="s">
        <v>1203</v>
      </c>
      <c r="D1672" t="b">
        <f>IFERROR(VLOOKUP(B1672,PatData!$A$2:$A$2000,1,),"")&lt;&gt;""</f>
        <v>0</v>
      </c>
      <c r="E1672">
        <v>40</v>
      </c>
      <c r="F1672" t="b">
        <v>0</v>
      </c>
      <c r="G1672" t="b">
        <v>0</v>
      </c>
      <c r="H1672" t="b">
        <v>0</v>
      </c>
      <c r="I1672" t="b">
        <v>0</v>
      </c>
    </row>
    <row r="1673" spans="1:9" x14ac:dyDescent="0.2">
      <c r="A1673" t="s">
        <v>4634</v>
      </c>
      <c r="B1673" t="s">
        <v>1204</v>
      </c>
      <c r="D1673" t="b">
        <f>IFERROR(VLOOKUP(B1673,PatData!$A$2:$A$2000,1,),"")&lt;&gt;""</f>
        <v>0</v>
      </c>
      <c r="E1673"/>
      <c r="F1673" t="b">
        <v>0</v>
      </c>
      <c r="G1673" t="b">
        <v>0</v>
      </c>
      <c r="H1673" t="b">
        <v>0</v>
      </c>
      <c r="I1673" t="b">
        <v>0</v>
      </c>
    </row>
    <row r="1674" spans="1:9" x14ac:dyDescent="0.2">
      <c r="A1674" t="s">
        <v>1978</v>
      </c>
      <c r="B1674" t="s">
        <v>1205</v>
      </c>
      <c r="D1674" t="b">
        <f>IFERROR(VLOOKUP(B1674,PatData!$A$2:$A$2000,1,),"")&lt;&gt;""</f>
        <v>0</v>
      </c>
      <c r="E1674">
        <v>1</v>
      </c>
      <c r="F1674" t="b">
        <v>0</v>
      </c>
      <c r="G1674" t="b">
        <v>0</v>
      </c>
      <c r="H1674" t="b">
        <v>0</v>
      </c>
      <c r="I1674" t="b">
        <v>0</v>
      </c>
    </row>
    <row r="1675" spans="1:9" x14ac:dyDescent="0.2">
      <c r="A1675" t="s">
        <v>1979</v>
      </c>
      <c r="B1675" t="s">
        <v>1206</v>
      </c>
      <c r="D1675" t="b">
        <f>IFERROR(VLOOKUP(B1675,PatData!$A$2:$A$2000,1,),"")&lt;&gt;""</f>
        <v>0</v>
      </c>
      <c r="E1675"/>
      <c r="F1675" t="b">
        <v>0</v>
      </c>
      <c r="G1675" t="b">
        <v>0</v>
      </c>
      <c r="H1675" t="b">
        <v>0</v>
      </c>
      <c r="I1675" t="b">
        <v>0</v>
      </c>
    </row>
    <row r="1676" spans="1:9" x14ac:dyDescent="0.2">
      <c r="A1676" t="s">
        <v>1980</v>
      </c>
      <c r="B1676" t="s">
        <v>1207</v>
      </c>
      <c r="D1676" t="b">
        <f>IFERROR(VLOOKUP(B1676,PatData!$A$2:$A$2000,1,),"")&lt;&gt;""</f>
        <v>0</v>
      </c>
      <c r="E1676"/>
      <c r="F1676" t="b">
        <v>0</v>
      </c>
      <c r="G1676" t="b">
        <v>0</v>
      </c>
      <c r="H1676" t="b">
        <v>0</v>
      </c>
      <c r="I1676" t="b">
        <v>0</v>
      </c>
    </row>
    <row r="1677" spans="1:9" x14ac:dyDescent="0.2">
      <c r="A1677" t="s">
        <v>1981</v>
      </c>
      <c r="B1677" t="s">
        <v>1208</v>
      </c>
      <c r="D1677" t="b">
        <f>IFERROR(VLOOKUP(B1677,PatData!$A$2:$A$2000,1,),"")&lt;&gt;""</f>
        <v>0</v>
      </c>
      <c r="E1677"/>
      <c r="F1677" t="b">
        <v>0</v>
      </c>
      <c r="G1677" t="b">
        <v>0</v>
      </c>
      <c r="H1677" t="b">
        <v>0</v>
      </c>
      <c r="I1677" t="b">
        <v>0</v>
      </c>
    </row>
    <row r="1678" spans="1:9" x14ac:dyDescent="0.2">
      <c r="A1678" t="s">
        <v>1982</v>
      </c>
      <c r="B1678" t="s">
        <v>1209</v>
      </c>
      <c r="D1678" t="b">
        <f>IFERROR(VLOOKUP(B1678,PatData!$A$2:$A$2000,1,),"")&lt;&gt;""</f>
        <v>0</v>
      </c>
      <c r="E1678"/>
      <c r="F1678" t="b">
        <v>0</v>
      </c>
      <c r="G1678" t="b">
        <v>0</v>
      </c>
      <c r="H1678" t="b">
        <v>0</v>
      </c>
      <c r="I1678" t="b">
        <v>0</v>
      </c>
    </row>
    <row r="1679" spans="1:9" x14ac:dyDescent="0.2">
      <c r="A1679" t="s">
        <v>1983</v>
      </c>
      <c r="B1679" t="s">
        <v>1210</v>
      </c>
      <c r="D1679" t="b">
        <f>IFERROR(VLOOKUP(B1679,PatData!$A$2:$A$2000,1,),"")&lt;&gt;""</f>
        <v>0</v>
      </c>
      <c r="E1679"/>
      <c r="F1679" t="b">
        <v>0</v>
      </c>
      <c r="G1679" t="b">
        <v>0</v>
      </c>
      <c r="H1679" t="b">
        <v>0</v>
      </c>
      <c r="I1679" t="b">
        <v>0</v>
      </c>
    </row>
    <row r="1680" spans="1:9" x14ac:dyDescent="0.2">
      <c r="A1680" t="s">
        <v>1984</v>
      </c>
      <c r="B1680" t="s">
        <v>1211</v>
      </c>
      <c r="D1680" t="b">
        <f>IFERROR(VLOOKUP(B1680,PatData!$A$2:$A$2000,1,),"")&lt;&gt;""</f>
        <v>0</v>
      </c>
      <c r="E1680" t="s">
        <v>511</v>
      </c>
      <c r="F1680" t="b">
        <v>0</v>
      </c>
      <c r="G1680" t="b">
        <v>0</v>
      </c>
      <c r="H1680" t="b">
        <v>0</v>
      </c>
      <c r="I1680" t="b">
        <v>0</v>
      </c>
    </row>
    <row r="1681" spans="1:9" x14ac:dyDescent="0.2">
      <c r="A1681" t="s">
        <v>1985</v>
      </c>
      <c r="B1681" t="s">
        <v>1212</v>
      </c>
      <c r="D1681" t="b">
        <f>IFERROR(VLOOKUP(B1681,PatData!$A$2:$A$2000,1,),"")&lt;&gt;""</f>
        <v>0</v>
      </c>
      <c r="E1681" t="s">
        <v>302</v>
      </c>
      <c r="F1681" t="b">
        <v>0</v>
      </c>
      <c r="G1681" t="b">
        <v>0</v>
      </c>
      <c r="H1681" t="b">
        <v>0</v>
      </c>
      <c r="I1681" t="b">
        <v>0</v>
      </c>
    </row>
    <row r="1682" spans="1:9" x14ac:dyDescent="0.2">
      <c r="A1682" t="s">
        <v>4309</v>
      </c>
      <c r="B1682" t="s">
        <v>1213</v>
      </c>
      <c r="D1682" t="b">
        <f>IFERROR(VLOOKUP(B1682,PatData!$A$2:$A$2000,1,),"")&lt;&gt;""</f>
        <v>0</v>
      </c>
      <c r="E1682"/>
      <c r="F1682" t="b">
        <v>0</v>
      </c>
      <c r="G1682" t="b">
        <v>0</v>
      </c>
      <c r="H1682" t="b">
        <v>0</v>
      </c>
      <c r="I1682" t="b">
        <v>0</v>
      </c>
    </row>
    <row r="1683" spans="1:9" x14ac:dyDescent="0.2">
      <c r="A1683" t="s">
        <v>1986</v>
      </c>
      <c r="B1683" t="s">
        <v>1214</v>
      </c>
      <c r="D1683" t="b">
        <f>IFERROR(VLOOKUP(B1683,PatData!$A$2:$A$2000,1,),"")&lt;&gt;""</f>
        <v>0</v>
      </c>
      <c r="E1683"/>
      <c r="F1683" t="b">
        <v>0</v>
      </c>
      <c r="G1683" t="b">
        <v>0</v>
      </c>
      <c r="H1683" t="b">
        <v>0</v>
      </c>
      <c r="I1683" t="b">
        <v>0</v>
      </c>
    </row>
    <row r="1684" spans="1:9" x14ac:dyDescent="0.2">
      <c r="A1684" t="s">
        <v>1987</v>
      </c>
      <c r="B1684" t="s">
        <v>1215</v>
      </c>
      <c r="D1684" t="b">
        <f>IFERROR(VLOOKUP(B1684,PatData!$A$2:$A$2000,1,),"")&lt;&gt;""</f>
        <v>0</v>
      </c>
      <c r="E1684"/>
      <c r="F1684" t="b">
        <v>0</v>
      </c>
      <c r="G1684" t="b">
        <v>0</v>
      </c>
      <c r="H1684" t="b">
        <v>0</v>
      </c>
      <c r="I1684" t="b">
        <v>0</v>
      </c>
    </row>
    <row r="1685" spans="1:9" x14ac:dyDescent="0.2">
      <c r="A1685" t="s">
        <v>1988</v>
      </c>
      <c r="B1685" t="s">
        <v>1216</v>
      </c>
      <c r="D1685" t="b">
        <f>IFERROR(VLOOKUP(B1685,PatData!$A$2:$A$2000,1,),"")&lt;&gt;""</f>
        <v>0</v>
      </c>
      <c r="E1685"/>
      <c r="F1685" t="b">
        <v>0</v>
      </c>
      <c r="G1685" t="b">
        <v>0</v>
      </c>
      <c r="H1685" t="b">
        <v>0</v>
      </c>
      <c r="I1685" t="b">
        <v>0</v>
      </c>
    </row>
    <row r="1686" spans="1:9" x14ac:dyDescent="0.2">
      <c r="A1686" t="s">
        <v>1989</v>
      </c>
      <c r="B1686" t="s">
        <v>1217</v>
      </c>
      <c r="D1686" t="b">
        <f>IFERROR(VLOOKUP(B1686,PatData!$A$2:$A$2000,1,),"")&lt;&gt;""</f>
        <v>0</v>
      </c>
      <c r="E1686"/>
      <c r="F1686" t="b">
        <v>0</v>
      </c>
      <c r="G1686" t="b">
        <v>0</v>
      </c>
      <c r="H1686" t="b">
        <v>0</v>
      </c>
      <c r="I1686" t="b">
        <v>0</v>
      </c>
    </row>
    <row r="1687" spans="1:9" x14ac:dyDescent="0.2">
      <c r="A1687" t="s">
        <v>4311</v>
      </c>
      <c r="B1687" t="s">
        <v>5019</v>
      </c>
      <c r="D1687" t="b">
        <f>IFERROR(VLOOKUP(B1687,PatData!$A$2:$A$2000,1,),"")&lt;&gt;""</f>
        <v>0</v>
      </c>
      <c r="E1687" t="s">
        <v>4312</v>
      </c>
      <c r="F1687" t="b">
        <v>1</v>
      </c>
      <c r="G1687" t="b">
        <v>0</v>
      </c>
      <c r="H1687" t="b">
        <v>0</v>
      </c>
      <c r="I1687" t="b">
        <v>0</v>
      </c>
    </row>
    <row r="1688" spans="1:9" x14ac:dyDescent="0.2">
      <c r="A1688" t="s">
        <v>4313</v>
      </c>
      <c r="B1688" t="s">
        <v>5020</v>
      </c>
      <c r="D1688" t="b">
        <f>IFERROR(VLOOKUP(B1688,PatData!$A$2:$A$2000,1,),"")&lt;&gt;""</f>
        <v>0</v>
      </c>
      <c r="E1688" t="s">
        <v>4314</v>
      </c>
      <c r="F1688" t="b">
        <v>1</v>
      </c>
      <c r="G1688" t="b">
        <v>0</v>
      </c>
      <c r="H1688" t="b">
        <v>0</v>
      </c>
      <c r="I1688" t="b">
        <v>0</v>
      </c>
    </row>
    <row r="1689" spans="1:9" x14ac:dyDescent="0.2">
      <c r="A1689" t="s">
        <v>4315</v>
      </c>
      <c r="B1689" t="s">
        <v>5021</v>
      </c>
      <c r="D1689" t="b">
        <f>IFERROR(VLOOKUP(B1689,PatData!$A$2:$A$2000,1,),"")&lt;&gt;""</f>
        <v>0</v>
      </c>
      <c r="E1689" t="s">
        <v>4316</v>
      </c>
      <c r="F1689" t="b">
        <v>1</v>
      </c>
      <c r="G1689" t="b">
        <v>0</v>
      </c>
      <c r="H1689" t="b">
        <v>0</v>
      </c>
      <c r="I1689" t="b">
        <v>0</v>
      </c>
    </row>
    <row r="1690" spans="1:9" x14ac:dyDescent="0.2">
      <c r="A1690" t="s">
        <v>4317</v>
      </c>
      <c r="B1690" t="s">
        <v>5022</v>
      </c>
      <c r="D1690" t="b">
        <f>IFERROR(VLOOKUP(B1690,PatData!$A$2:$A$2000,1,),"")&lt;&gt;""</f>
        <v>0</v>
      </c>
      <c r="E1690" t="s">
        <v>4318</v>
      </c>
      <c r="F1690" t="b">
        <v>1</v>
      </c>
      <c r="G1690" t="b">
        <v>0</v>
      </c>
      <c r="H1690" t="b">
        <v>0</v>
      </c>
      <c r="I1690" t="b">
        <v>0</v>
      </c>
    </row>
    <row r="1691" spans="1:9" x14ac:dyDescent="0.2">
      <c r="A1691" t="s">
        <v>4319</v>
      </c>
      <c r="B1691" t="s">
        <v>5023</v>
      </c>
      <c r="D1691" t="b">
        <f>IFERROR(VLOOKUP(B1691,PatData!$A$2:$A$2000,1,),"")&lt;&gt;""</f>
        <v>0</v>
      </c>
      <c r="E1691" t="s">
        <v>4320</v>
      </c>
      <c r="F1691" t="b">
        <v>1</v>
      </c>
      <c r="G1691" t="b">
        <v>0</v>
      </c>
      <c r="H1691" t="b">
        <v>0</v>
      </c>
      <c r="I1691" t="b">
        <v>0</v>
      </c>
    </row>
    <row r="1692" spans="1:9" x14ac:dyDescent="0.2">
      <c r="A1692" t="s">
        <v>4321</v>
      </c>
      <c r="B1692" t="s">
        <v>5024</v>
      </c>
      <c r="D1692" t="b">
        <f>IFERROR(VLOOKUP(B1692,PatData!$A$2:$A$2000,1,),"")&lt;&gt;""</f>
        <v>0</v>
      </c>
      <c r="E1692" t="s">
        <v>4322</v>
      </c>
      <c r="F1692" t="b">
        <v>1</v>
      </c>
      <c r="G1692" t="b">
        <v>0</v>
      </c>
      <c r="H1692" t="b">
        <v>0</v>
      </c>
      <c r="I1692" t="b">
        <v>0</v>
      </c>
    </row>
    <row r="1693" spans="1:9" x14ac:dyDescent="0.2">
      <c r="A1693" t="s">
        <v>4323</v>
      </c>
      <c r="B1693" t="s">
        <v>5025</v>
      </c>
      <c r="D1693" t="b">
        <f>IFERROR(VLOOKUP(B1693,PatData!$A$2:$A$2000,1,),"")&lt;&gt;""</f>
        <v>0</v>
      </c>
      <c r="E1693" t="s">
        <v>4324</v>
      </c>
      <c r="F1693" t="b">
        <v>1</v>
      </c>
      <c r="G1693" t="b">
        <v>0</v>
      </c>
      <c r="H1693" t="b">
        <v>0</v>
      </c>
      <c r="I1693" t="b">
        <v>0</v>
      </c>
    </row>
    <row r="1694" spans="1:9" x14ac:dyDescent="0.2">
      <c r="A1694" t="s">
        <v>4325</v>
      </c>
      <c r="B1694" t="s">
        <v>5026</v>
      </c>
      <c r="D1694" t="b">
        <f>IFERROR(VLOOKUP(B1694,PatData!$A$2:$A$2000,1,),"")&lt;&gt;""</f>
        <v>0</v>
      </c>
      <c r="E1694" t="s">
        <v>4326</v>
      </c>
      <c r="F1694" t="b">
        <v>1</v>
      </c>
      <c r="G1694" t="b">
        <v>0</v>
      </c>
      <c r="H1694" t="b">
        <v>0</v>
      </c>
      <c r="I1694" t="b">
        <v>0</v>
      </c>
    </row>
    <row r="1695" spans="1:9" x14ac:dyDescent="0.2">
      <c r="A1695" t="s">
        <v>4327</v>
      </c>
      <c r="B1695" t="s">
        <v>5027</v>
      </c>
      <c r="D1695" t="b">
        <f>IFERROR(VLOOKUP(B1695,PatData!$A$2:$A$2000,1,),"")&lt;&gt;""</f>
        <v>0</v>
      </c>
      <c r="E1695" t="s">
        <v>4328</v>
      </c>
      <c r="F1695" t="b">
        <v>1</v>
      </c>
      <c r="G1695" t="b">
        <v>0</v>
      </c>
      <c r="H1695" t="b">
        <v>0</v>
      </c>
      <c r="I1695" t="b">
        <v>0</v>
      </c>
    </row>
    <row r="1696" spans="1:9" x14ac:dyDescent="0.2">
      <c r="A1696" t="s">
        <v>4329</v>
      </c>
      <c r="B1696" t="s">
        <v>5028</v>
      </c>
      <c r="D1696" t="b">
        <f>IFERROR(VLOOKUP(B1696,PatData!$A$2:$A$2000,1,),"")&lt;&gt;""</f>
        <v>0</v>
      </c>
      <c r="E1696" t="s">
        <v>4330</v>
      </c>
      <c r="F1696" t="b">
        <v>1</v>
      </c>
      <c r="G1696" t="b">
        <v>0</v>
      </c>
      <c r="H1696" t="b">
        <v>0</v>
      </c>
      <c r="I1696" t="b">
        <v>0</v>
      </c>
    </row>
    <row r="1697" spans="1:9" x14ac:dyDescent="0.2">
      <c r="A1697" t="s">
        <v>4331</v>
      </c>
      <c r="B1697" t="s">
        <v>5029</v>
      </c>
      <c r="D1697" t="b">
        <f>IFERROR(VLOOKUP(B1697,PatData!$A$2:$A$2000,1,),"")&lt;&gt;""</f>
        <v>0</v>
      </c>
      <c r="E1697" t="s">
        <v>4332</v>
      </c>
      <c r="F1697" t="b">
        <v>1</v>
      </c>
      <c r="G1697" t="b">
        <v>0</v>
      </c>
      <c r="H1697" t="b">
        <v>0</v>
      </c>
      <c r="I1697" t="b">
        <v>0</v>
      </c>
    </row>
    <row r="1698" spans="1:9" x14ac:dyDescent="0.2">
      <c r="A1698" t="s">
        <v>4333</v>
      </c>
      <c r="B1698" t="s">
        <v>5030</v>
      </c>
      <c r="D1698" t="b">
        <f>IFERROR(VLOOKUP(B1698,PatData!$A$2:$A$2000,1,),"")&lt;&gt;""</f>
        <v>0</v>
      </c>
      <c r="E1698" t="s">
        <v>4334</v>
      </c>
      <c r="F1698" t="b">
        <v>1</v>
      </c>
      <c r="G1698" t="b">
        <v>0</v>
      </c>
      <c r="H1698" t="b">
        <v>0</v>
      </c>
      <c r="I1698" t="b">
        <v>0</v>
      </c>
    </row>
    <row r="1699" spans="1:9" x14ac:dyDescent="0.2">
      <c r="A1699" t="s">
        <v>4335</v>
      </c>
      <c r="B1699" t="s">
        <v>5031</v>
      </c>
      <c r="D1699" t="b">
        <f>IFERROR(VLOOKUP(B1699,PatData!$A$2:$A$2000,1,),"")&lt;&gt;""</f>
        <v>0</v>
      </c>
      <c r="E1699" t="s">
        <v>4336</v>
      </c>
      <c r="F1699" t="b">
        <v>1</v>
      </c>
      <c r="G1699" t="b">
        <v>0</v>
      </c>
      <c r="H1699" t="b">
        <v>0</v>
      </c>
      <c r="I1699" t="b">
        <v>0</v>
      </c>
    </row>
    <row r="1700" spans="1:9" x14ac:dyDescent="0.2">
      <c r="A1700" t="s">
        <v>4337</v>
      </c>
      <c r="B1700" t="s">
        <v>5032</v>
      </c>
      <c r="D1700" t="b">
        <f>IFERROR(VLOOKUP(B1700,PatData!$A$2:$A$2000,1,),"")&lt;&gt;""</f>
        <v>0</v>
      </c>
      <c r="E1700" t="s">
        <v>4338</v>
      </c>
      <c r="F1700" t="b">
        <v>1</v>
      </c>
      <c r="G1700" t="b">
        <v>0</v>
      </c>
      <c r="H1700" t="b">
        <v>0</v>
      </c>
      <c r="I1700" t="b">
        <v>0</v>
      </c>
    </row>
    <row r="1701" spans="1:9" x14ac:dyDescent="0.2">
      <c r="A1701" t="s">
        <v>4339</v>
      </c>
      <c r="B1701" t="s">
        <v>5033</v>
      </c>
      <c r="D1701" t="b">
        <f>IFERROR(VLOOKUP(B1701,PatData!$A$2:$A$2000,1,),"")&lt;&gt;""</f>
        <v>0</v>
      </c>
      <c r="E1701" t="s">
        <v>4340</v>
      </c>
      <c r="F1701" t="b">
        <v>1</v>
      </c>
      <c r="G1701" t="b">
        <v>0</v>
      </c>
      <c r="H1701" t="b">
        <v>0</v>
      </c>
      <c r="I1701" t="b">
        <v>0</v>
      </c>
    </row>
    <row r="1702" spans="1:9" x14ac:dyDescent="0.2">
      <c r="A1702" t="s">
        <v>4341</v>
      </c>
      <c r="B1702" t="s">
        <v>5034</v>
      </c>
      <c r="D1702" t="b">
        <f>IFERROR(VLOOKUP(B1702,PatData!$A$2:$A$2000,1,),"")&lt;&gt;""</f>
        <v>0</v>
      </c>
      <c r="E1702" t="s">
        <v>5035</v>
      </c>
      <c r="F1702" t="b">
        <v>1</v>
      </c>
      <c r="G1702" t="b">
        <v>0</v>
      </c>
      <c r="H1702" t="b">
        <v>0</v>
      </c>
      <c r="I1702" t="b">
        <v>0</v>
      </c>
    </row>
    <row r="1703" spans="1:9" x14ac:dyDescent="0.2">
      <c r="A1703" t="s">
        <v>4342</v>
      </c>
      <c r="B1703" t="s">
        <v>5036</v>
      </c>
      <c r="D1703" t="b">
        <f>IFERROR(VLOOKUP(B1703,PatData!$A$2:$A$2000,1,),"")&lt;&gt;""</f>
        <v>0</v>
      </c>
      <c r="E1703" t="s">
        <v>5037</v>
      </c>
      <c r="F1703" t="b">
        <v>1</v>
      </c>
      <c r="G1703" t="b">
        <v>0</v>
      </c>
      <c r="H1703" t="b">
        <v>0</v>
      </c>
      <c r="I1703" t="b">
        <v>0</v>
      </c>
    </row>
    <row r="1704" spans="1:9" x14ac:dyDescent="0.2">
      <c r="A1704" t="s">
        <v>4343</v>
      </c>
      <c r="B1704" t="s">
        <v>5038</v>
      </c>
      <c r="D1704" t="b">
        <f>IFERROR(VLOOKUP(B1704,PatData!$A$2:$A$2000,1,),"")&lt;&gt;""</f>
        <v>0</v>
      </c>
      <c r="E1704" t="s">
        <v>5039</v>
      </c>
      <c r="F1704" t="b">
        <v>1</v>
      </c>
      <c r="G1704" t="b">
        <v>0</v>
      </c>
      <c r="H1704" t="b">
        <v>0</v>
      </c>
      <c r="I1704" t="b">
        <v>0</v>
      </c>
    </row>
    <row r="1705" spans="1:9" x14ac:dyDescent="0.2">
      <c r="A1705" t="s">
        <v>4344</v>
      </c>
      <c r="B1705" t="s">
        <v>5040</v>
      </c>
      <c r="D1705" t="b">
        <f>IFERROR(VLOOKUP(B1705,PatData!$A$2:$A$2000,1,),"")&lt;&gt;""</f>
        <v>0</v>
      </c>
      <c r="E1705" t="s">
        <v>5041</v>
      </c>
      <c r="F1705" t="b">
        <v>1</v>
      </c>
      <c r="G1705" t="b">
        <v>0</v>
      </c>
      <c r="H1705" t="b">
        <v>0</v>
      </c>
      <c r="I1705" t="b">
        <v>0</v>
      </c>
    </row>
    <row r="1706" spans="1:9" x14ac:dyDescent="0.2">
      <c r="A1706" t="s">
        <v>4345</v>
      </c>
      <c r="B1706" t="s">
        <v>5042</v>
      </c>
      <c r="D1706" t="b">
        <f>IFERROR(VLOOKUP(B1706,PatData!$A$2:$A$2000,1,),"")&lt;&gt;""</f>
        <v>0</v>
      </c>
      <c r="E1706" t="s">
        <v>5043</v>
      </c>
      <c r="F1706" t="b">
        <v>1</v>
      </c>
      <c r="G1706" t="b">
        <v>0</v>
      </c>
      <c r="H1706" t="b">
        <v>0</v>
      </c>
      <c r="I1706" t="b">
        <v>0</v>
      </c>
    </row>
    <row r="1707" spans="1:9" x14ac:dyDescent="0.2">
      <c r="A1707" t="s">
        <v>4346</v>
      </c>
      <c r="B1707" t="s">
        <v>5044</v>
      </c>
      <c r="D1707" t="b">
        <f>IFERROR(VLOOKUP(B1707,PatData!$A$2:$A$2000,1,),"")&lt;&gt;""</f>
        <v>0</v>
      </c>
      <c r="E1707" t="s">
        <v>5045</v>
      </c>
      <c r="F1707" t="b">
        <v>1</v>
      </c>
      <c r="G1707" t="b">
        <v>0</v>
      </c>
      <c r="H1707" t="b">
        <v>0</v>
      </c>
      <c r="I1707" t="b">
        <v>0</v>
      </c>
    </row>
    <row r="1708" spans="1:9" x14ac:dyDescent="0.2">
      <c r="A1708" t="s">
        <v>4347</v>
      </c>
      <c r="B1708" t="s">
        <v>5046</v>
      </c>
      <c r="D1708" t="b">
        <f>IFERROR(VLOOKUP(B1708,PatData!$A$2:$A$2000,1,),"")&lt;&gt;""</f>
        <v>0</v>
      </c>
      <c r="E1708" t="s">
        <v>5047</v>
      </c>
      <c r="F1708" t="b">
        <v>1</v>
      </c>
      <c r="G1708" t="b">
        <v>0</v>
      </c>
      <c r="H1708" t="b">
        <v>0</v>
      </c>
      <c r="I1708" t="b">
        <v>0</v>
      </c>
    </row>
    <row r="1709" spans="1:9" x14ac:dyDescent="0.2">
      <c r="A1709" t="s">
        <v>4348</v>
      </c>
      <c r="B1709" t="s">
        <v>5048</v>
      </c>
      <c r="D1709" t="b">
        <f>IFERROR(VLOOKUP(B1709,PatData!$A$2:$A$2000,1,),"")&lt;&gt;""</f>
        <v>0</v>
      </c>
      <c r="E1709" t="s">
        <v>5049</v>
      </c>
      <c r="F1709" t="b">
        <v>1</v>
      </c>
      <c r="G1709" t="b">
        <v>0</v>
      </c>
      <c r="H1709" t="b">
        <v>0</v>
      </c>
      <c r="I1709" t="b">
        <v>0</v>
      </c>
    </row>
    <row r="1710" spans="1:9" x14ac:dyDescent="0.2">
      <c r="A1710" t="s">
        <v>4349</v>
      </c>
      <c r="B1710" t="s">
        <v>5050</v>
      </c>
      <c r="D1710" t="b">
        <f>IFERROR(VLOOKUP(B1710,PatData!$A$2:$A$2000,1,),"")&lt;&gt;""</f>
        <v>0</v>
      </c>
      <c r="E1710" t="s">
        <v>5051</v>
      </c>
      <c r="F1710" t="b">
        <v>1</v>
      </c>
      <c r="G1710" t="b">
        <v>0</v>
      </c>
      <c r="H1710" t="b">
        <v>0</v>
      </c>
      <c r="I1710" t="b">
        <v>0</v>
      </c>
    </row>
    <row r="1711" spans="1:9" x14ac:dyDescent="0.2">
      <c r="A1711" t="s">
        <v>4350</v>
      </c>
      <c r="B1711" t="s">
        <v>5052</v>
      </c>
      <c r="D1711" t="b">
        <f>IFERROR(VLOOKUP(B1711,PatData!$A$2:$A$2000,1,),"")&lt;&gt;""</f>
        <v>0</v>
      </c>
      <c r="E1711" t="s">
        <v>5053</v>
      </c>
      <c r="F1711" t="b">
        <v>1</v>
      </c>
      <c r="G1711" t="b">
        <v>0</v>
      </c>
      <c r="H1711" t="b">
        <v>0</v>
      </c>
      <c r="I1711" t="b">
        <v>0</v>
      </c>
    </row>
    <row r="1712" spans="1:9" x14ac:dyDescent="0.2">
      <c r="A1712" t="s">
        <v>4351</v>
      </c>
      <c r="B1712" t="s">
        <v>5054</v>
      </c>
      <c r="D1712" t="b">
        <f>IFERROR(VLOOKUP(B1712,PatData!$A$2:$A$2000,1,),"")&lt;&gt;""</f>
        <v>0</v>
      </c>
      <c r="E1712" t="s">
        <v>5055</v>
      </c>
      <c r="F1712" t="b">
        <v>1</v>
      </c>
      <c r="G1712" t="b">
        <v>0</v>
      </c>
      <c r="H1712" t="b">
        <v>0</v>
      </c>
      <c r="I1712" t="b">
        <v>0</v>
      </c>
    </row>
    <row r="1713" spans="1:9" x14ac:dyDescent="0.2">
      <c r="A1713" t="s">
        <v>4352</v>
      </c>
      <c r="B1713" t="s">
        <v>5056</v>
      </c>
      <c r="D1713" t="b">
        <f>IFERROR(VLOOKUP(B1713,PatData!$A$2:$A$2000,1,),"")&lt;&gt;""</f>
        <v>0</v>
      </c>
      <c r="E1713" t="s">
        <v>5283</v>
      </c>
      <c r="F1713" t="b">
        <v>1</v>
      </c>
      <c r="G1713" t="b">
        <v>0</v>
      </c>
      <c r="H1713" t="b">
        <v>0</v>
      </c>
      <c r="I1713" t="b">
        <v>0</v>
      </c>
    </row>
    <row r="1714" spans="1:9" x14ac:dyDescent="0.2">
      <c r="A1714" t="s">
        <v>4353</v>
      </c>
      <c r="B1714" t="s">
        <v>5057</v>
      </c>
      <c r="D1714" t="b">
        <f>IFERROR(VLOOKUP(B1714,PatData!$A$2:$A$2000,1,),"")&lt;&gt;""</f>
        <v>0</v>
      </c>
      <c r="E1714" t="s">
        <v>4354</v>
      </c>
      <c r="F1714" t="b">
        <v>1</v>
      </c>
      <c r="G1714" t="b">
        <v>0</v>
      </c>
      <c r="H1714" t="b">
        <v>0</v>
      </c>
      <c r="I1714" t="b">
        <v>0</v>
      </c>
    </row>
    <row r="1715" spans="1:9" x14ac:dyDescent="0.2">
      <c r="A1715" t="s">
        <v>4355</v>
      </c>
      <c r="B1715" t="s">
        <v>5058</v>
      </c>
      <c r="D1715" t="b">
        <f>IFERROR(VLOOKUP(B1715,PatData!$A$2:$A$2000,1,),"")&lt;&gt;""</f>
        <v>0</v>
      </c>
      <c r="E1715" t="s">
        <v>4356</v>
      </c>
      <c r="F1715" t="b">
        <v>1</v>
      </c>
      <c r="G1715" t="b">
        <v>0</v>
      </c>
      <c r="H1715" t="b">
        <v>0</v>
      </c>
      <c r="I1715" t="b">
        <v>0</v>
      </c>
    </row>
    <row r="1716" spans="1:9" x14ac:dyDescent="0.2">
      <c r="A1716" t="s">
        <v>4357</v>
      </c>
      <c r="B1716" t="s">
        <v>5059</v>
      </c>
      <c r="D1716" t="b">
        <f>IFERROR(VLOOKUP(B1716,PatData!$A$2:$A$2000,1,),"")&lt;&gt;""</f>
        <v>0</v>
      </c>
      <c r="E1716" t="s">
        <v>4358</v>
      </c>
      <c r="F1716" t="b">
        <v>1</v>
      </c>
      <c r="G1716" t="b">
        <v>0</v>
      </c>
      <c r="H1716" t="b">
        <v>0</v>
      </c>
      <c r="I1716" t="b">
        <v>0</v>
      </c>
    </row>
    <row r="1717" spans="1:9" x14ac:dyDescent="0.2">
      <c r="A1717" t="s">
        <v>4359</v>
      </c>
      <c r="B1717" t="s">
        <v>5060</v>
      </c>
      <c r="D1717" t="b">
        <f>IFERROR(VLOOKUP(B1717,PatData!$A$2:$A$2000,1,),"")&lt;&gt;""</f>
        <v>0</v>
      </c>
      <c r="E1717" t="s">
        <v>4360</v>
      </c>
      <c r="F1717" t="b">
        <v>1</v>
      </c>
      <c r="G1717" t="b">
        <v>0</v>
      </c>
      <c r="H1717" t="b">
        <v>0</v>
      </c>
      <c r="I1717" t="b">
        <v>0</v>
      </c>
    </row>
    <row r="1718" spans="1:9" x14ac:dyDescent="0.2">
      <c r="A1718" t="s">
        <v>4361</v>
      </c>
      <c r="B1718" t="s">
        <v>5061</v>
      </c>
      <c r="D1718" t="b">
        <f>IFERROR(VLOOKUP(B1718,PatData!$A$2:$A$2000,1,),"")&lt;&gt;""</f>
        <v>0</v>
      </c>
      <c r="E1718" t="s">
        <v>5284</v>
      </c>
      <c r="F1718" t="b">
        <v>1</v>
      </c>
      <c r="G1718" t="b">
        <v>0</v>
      </c>
      <c r="H1718" t="b">
        <v>0</v>
      </c>
      <c r="I1718" t="b">
        <v>0</v>
      </c>
    </row>
    <row r="1719" spans="1:9" x14ac:dyDescent="0.2">
      <c r="A1719" t="s">
        <v>4362</v>
      </c>
      <c r="B1719" t="s">
        <v>5062</v>
      </c>
      <c r="D1719" t="b">
        <f>IFERROR(VLOOKUP(B1719,PatData!$A$2:$A$2000,1,),"")&lt;&gt;""</f>
        <v>0</v>
      </c>
      <c r="E1719" t="s">
        <v>5285</v>
      </c>
      <c r="F1719" t="b">
        <v>1</v>
      </c>
      <c r="G1719" t="b">
        <v>0</v>
      </c>
      <c r="H1719" t="b">
        <v>0</v>
      </c>
      <c r="I1719" t="b">
        <v>0</v>
      </c>
    </row>
    <row r="1720" spans="1:9" x14ac:dyDescent="0.2">
      <c r="A1720" t="s">
        <v>4363</v>
      </c>
      <c r="B1720" t="s">
        <v>5063</v>
      </c>
      <c r="D1720" t="b">
        <f>IFERROR(VLOOKUP(B1720,PatData!$A$2:$A$2000,1,),"")&lt;&gt;""</f>
        <v>0</v>
      </c>
      <c r="E1720" t="s">
        <v>5286</v>
      </c>
      <c r="F1720" t="b">
        <v>1</v>
      </c>
      <c r="G1720" t="b">
        <v>0</v>
      </c>
      <c r="H1720" t="b">
        <v>0</v>
      </c>
      <c r="I1720" t="b">
        <v>0</v>
      </c>
    </row>
    <row r="1721" spans="1:9" x14ac:dyDescent="0.2">
      <c r="A1721" t="s">
        <v>4364</v>
      </c>
      <c r="B1721" t="s">
        <v>5064</v>
      </c>
      <c r="D1721" t="b">
        <f>IFERROR(VLOOKUP(B1721,PatData!$A$2:$A$2000,1,),"")&lt;&gt;""</f>
        <v>0</v>
      </c>
      <c r="E1721" t="s">
        <v>5287</v>
      </c>
      <c r="F1721" t="b">
        <v>1</v>
      </c>
      <c r="G1721" t="b">
        <v>0</v>
      </c>
      <c r="H1721" t="b">
        <v>0</v>
      </c>
      <c r="I1721" t="b">
        <v>0</v>
      </c>
    </row>
    <row r="1722" spans="1:9" x14ac:dyDescent="0.2">
      <c r="A1722" t="s">
        <v>4365</v>
      </c>
      <c r="B1722" t="s">
        <v>5065</v>
      </c>
      <c r="D1722" t="b">
        <f>IFERROR(VLOOKUP(B1722,PatData!$A$2:$A$2000,1,),"")&lt;&gt;""</f>
        <v>0</v>
      </c>
      <c r="E1722" t="s">
        <v>5288</v>
      </c>
      <c r="F1722" t="b">
        <v>1</v>
      </c>
      <c r="G1722" t="b">
        <v>0</v>
      </c>
      <c r="H1722" t="b">
        <v>0</v>
      </c>
      <c r="I1722" t="b">
        <v>0</v>
      </c>
    </row>
    <row r="1723" spans="1:9" x14ac:dyDescent="0.2">
      <c r="A1723" t="s">
        <v>4366</v>
      </c>
      <c r="B1723" t="s">
        <v>5066</v>
      </c>
      <c r="D1723" t="b">
        <f>IFERROR(VLOOKUP(B1723,PatData!$A$2:$A$2000,1,),"")&lt;&gt;""</f>
        <v>0</v>
      </c>
      <c r="E1723" t="s">
        <v>5289</v>
      </c>
      <c r="F1723" t="b">
        <v>1</v>
      </c>
      <c r="G1723" t="b">
        <v>0</v>
      </c>
      <c r="H1723" t="b">
        <v>0</v>
      </c>
      <c r="I1723" t="b">
        <v>0</v>
      </c>
    </row>
    <row r="1724" spans="1:9" x14ac:dyDescent="0.2">
      <c r="A1724" t="s">
        <v>4367</v>
      </c>
      <c r="B1724" t="s">
        <v>5067</v>
      </c>
      <c r="D1724" t="b">
        <f>IFERROR(VLOOKUP(B1724,PatData!$A$2:$A$2000,1,),"")&lt;&gt;""</f>
        <v>0</v>
      </c>
      <c r="E1724" t="s">
        <v>5290</v>
      </c>
      <c r="F1724" t="b">
        <v>1</v>
      </c>
      <c r="G1724" t="b">
        <v>0</v>
      </c>
      <c r="H1724" t="b">
        <v>0</v>
      </c>
      <c r="I1724" t="b">
        <v>0</v>
      </c>
    </row>
    <row r="1725" spans="1:9" x14ac:dyDescent="0.2">
      <c r="A1725" t="s">
        <v>4368</v>
      </c>
      <c r="B1725" t="s">
        <v>5068</v>
      </c>
      <c r="D1725" t="b">
        <f>IFERROR(VLOOKUP(B1725,PatData!$A$2:$A$2000,1,),"")&lt;&gt;""</f>
        <v>0</v>
      </c>
      <c r="E1725" t="s">
        <v>5291</v>
      </c>
      <c r="F1725" t="b">
        <v>1</v>
      </c>
      <c r="G1725" t="b">
        <v>0</v>
      </c>
      <c r="H1725" t="b">
        <v>0</v>
      </c>
      <c r="I1725" t="b">
        <v>0</v>
      </c>
    </row>
    <row r="1726" spans="1:9" x14ac:dyDescent="0.2">
      <c r="A1726" t="s">
        <v>4369</v>
      </c>
      <c r="B1726" t="s">
        <v>5069</v>
      </c>
      <c r="D1726" t="b">
        <f>IFERROR(VLOOKUP(B1726,PatData!$A$2:$A$2000,1,),"")&lt;&gt;""</f>
        <v>0</v>
      </c>
      <c r="E1726" t="s">
        <v>5292</v>
      </c>
      <c r="F1726" t="b">
        <v>1</v>
      </c>
      <c r="G1726" t="b">
        <v>0</v>
      </c>
      <c r="H1726" t="b">
        <v>0</v>
      </c>
      <c r="I1726" t="b">
        <v>0</v>
      </c>
    </row>
    <row r="1727" spans="1:9" x14ac:dyDescent="0.2">
      <c r="A1727" t="s">
        <v>4370</v>
      </c>
      <c r="B1727" t="s">
        <v>5070</v>
      </c>
      <c r="D1727" t="b">
        <f>IFERROR(VLOOKUP(B1727,PatData!$A$2:$A$2000,1,),"")&lt;&gt;""</f>
        <v>0</v>
      </c>
      <c r="E1727" t="s">
        <v>4371</v>
      </c>
      <c r="F1727" t="b">
        <v>1</v>
      </c>
      <c r="G1727" t="b">
        <v>0</v>
      </c>
      <c r="H1727" t="b">
        <v>0</v>
      </c>
      <c r="I1727" t="b">
        <v>0</v>
      </c>
    </row>
    <row r="1728" spans="1:9" x14ac:dyDescent="0.2">
      <c r="A1728" t="s">
        <v>4372</v>
      </c>
      <c r="B1728" t="s">
        <v>5071</v>
      </c>
      <c r="D1728" t="b">
        <f>IFERROR(VLOOKUP(B1728,PatData!$A$2:$A$2000,1,),"")&lt;&gt;""</f>
        <v>0</v>
      </c>
      <c r="E1728" t="s">
        <v>4373</v>
      </c>
      <c r="F1728" t="b">
        <v>1</v>
      </c>
      <c r="G1728" t="b">
        <v>0</v>
      </c>
      <c r="H1728" t="b">
        <v>0</v>
      </c>
      <c r="I1728" t="b">
        <v>0</v>
      </c>
    </row>
    <row r="1729" spans="1:9" x14ac:dyDescent="0.2">
      <c r="A1729" t="s">
        <v>4948</v>
      </c>
      <c r="B1729" t="s">
        <v>4985</v>
      </c>
      <c r="D1729" t="b">
        <f>IFERROR(VLOOKUP(B1729,PatData!$A$2:$A$2000,1,),"")&lt;&gt;""</f>
        <v>0</v>
      </c>
      <c r="E1729" t="s">
        <v>4392</v>
      </c>
      <c r="F1729" t="b">
        <v>1</v>
      </c>
      <c r="G1729" t="b">
        <v>0</v>
      </c>
      <c r="H1729" t="b">
        <v>0</v>
      </c>
      <c r="I1729" t="b">
        <v>0</v>
      </c>
    </row>
    <row r="1730" spans="1:9" x14ac:dyDescent="0.2">
      <c r="A1730" t="s">
        <v>4949</v>
      </c>
      <c r="B1730" t="s">
        <v>4986</v>
      </c>
      <c r="D1730" t="b">
        <f>IFERROR(VLOOKUP(B1730,PatData!$A$2:$A$2000,1,),"")&lt;&gt;""</f>
        <v>0</v>
      </c>
      <c r="E1730" t="s">
        <v>4393</v>
      </c>
      <c r="F1730" t="b">
        <v>1</v>
      </c>
      <c r="G1730" t="b">
        <v>0</v>
      </c>
      <c r="H1730" t="b">
        <v>0</v>
      </c>
      <c r="I1730" t="b">
        <v>0</v>
      </c>
    </row>
    <row r="1731" spans="1:9" x14ac:dyDescent="0.2">
      <c r="A1731" t="s">
        <v>4950</v>
      </c>
      <c r="B1731" t="s">
        <v>4987</v>
      </c>
      <c r="D1731" t="b">
        <f>IFERROR(VLOOKUP(B1731,PatData!$A$2:$A$2000,1,),"")&lt;&gt;""</f>
        <v>0</v>
      </c>
      <c r="E1731" t="s">
        <v>3623</v>
      </c>
      <c r="F1731" t="b">
        <v>1</v>
      </c>
      <c r="G1731" t="b">
        <v>0</v>
      </c>
      <c r="H1731" t="b">
        <v>0</v>
      </c>
      <c r="I1731" t="b">
        <v>0</v>
      </c>
    </row>
    <row r="1732" spans="1:9" x14ac:dyDescent="0.2">
      <c r="A1732" t="s">
        <v>4951</v>
      </c>
      <c r="B1732" t="s">
        <v>4988</v>
      </c>
      <c r="D1732" t="b">
        <f>IFERROR(VLOOKUP(B1732,PatData!$A$2:$A$2000,1,),"")&lt;&gt;""</f>
        <v>0</v>
      </c>
      <c r="E1732" t="s">
        <v>4394</v>
      </c>
      <c r="F1732" t="b">
        <v>1</v>
      </c>
      <c r="G1732" t="b">
        <v>0</v>
      </c>
      <c r="H1732" t="b">
        <v>0</v>
      </c>
      <c r="I1732" t="b">
        <v>0</v>
      </c>
    </row>
    <row r="1733" spans="1:9" x14ac:dyDescent="0.2">
      <c r="A1733" t="s">
        <v>4952</v>
      </c>
      <c r="B1733" t="s">
        <v>4989</v>
      </c>
      <c r="D1733" t="b">
        <f>IFERROR(VLOOKUP(B1733,PatData!$A$2:$A$2000,1,),"")&lt;&gt;""</f>
        <v>0</v>
      </c>
      <c r="E1733" t="s">
        <v>5293</v>
      </c>
      <c r="F1733" t="b">
        <v>1</v>
      </c>
      <c r="G1733" t="b">
        <v>0</v>
      </c>
      <c r="H1733" t="b">
        <v>0</v>
      </c>
      <c r="I1733" t="b">
        <v>0</v>
      </c>
    </row>
    <row r="1734" spans="1:9" x14ac:dyDescent="0.2">
      <c r="A1734" t="s">
        <v>4953</v>
      </c>
      <c r="B1734" t="s">
        <v>4990</v>
      </c>
      <c r="D1734" t="b">
        <f>IFERROR(VLOOKUP(B1734,PatData!$A$2:$A$2000,1,),"")&lt;&gt;""</f>
        <v>0</v>
      </c>
      <c r="E1734" t="s">
        <v>4395</v>
      </c>
      <c r="F1734" t="b">
        <v>1</v>
      </c>
      <c r="G1734" t="b">
        <v>0</v>
      </c>
      <c r="H1734" t="b">
        <v>0</v>
      </c>
      <c r="I1734" t="b">
        <v>0</v>
      </c>
    </row>
    <row r="1735" spans="1:9" x14ac:dyDescent="0.2">
      <c r="A1735" t="s">
        <v>4954</v>
      </c>
      <c r="B1735" t="s">
        <v>4991</v>
      </c>
      <c r="D1735" t="b">
        <f>IFERROR(VLOOKUP(B1735,PatData!$A$2:$A$2000,1,),"")&lt;&gt;""</f>
        <v>0</v>
      </c>
      <c r="E1735" t="s">
        <v>427</v>
      </c>
      <c r="F1735" t="b">
        <v>0</v>
      </c>
      <c r="G1735" t="b">
        <v>0</v>
      </c>
      <c r="H1735" t="b">
        <v>0</v>
      </c>
      <c r="I1735" t="b">
        <v>0</v>
      </c>
    </row>
    <row r="1736" spans="1:9" x14ac:dyDescent="0.2">
      <c r="A1736" t="s">
        <v>4955</v>
      </c>
      <c r="B1736" t="s">
        <v>4992</v>
      </c>
      <c r="D1736" t="b">
        <f>IFERROR(VLOOKUP(B1736,PatData!$A$2:$A$2000,1,),"")&lt;&gt;""</f>
        <v>0</v>
      </c>
      <c r="E1736" t="s">
        <v>4396</v>
      </c>
      <c r="F1736" t="b">
        <v>1</v>
      </c>
      <c r="G1736" t="b">
        <v>0</v>
      </c>
      <c r="H1736" t="b">
        <v>0</v>
      </c>
      <c r="I1736" t="b">
        <v>0</v>
      </c>
    </row>
    <row r="1737" spans="1:9" x14ac:dyDescent="0.2">
      <c r="A1737" t="s">
        <v>4956</v>
      </c>
      <c r="B1737" t="s">
        <v>4993</v>
      </c>
      <c r="D1737" t="b">
        <f>IFERROR(VLOOKUP(B1737,PatData!$A$2:$A$2000,1,),"")&lt;&gt;""</f>
        <v>0</v>
      </c>
      <c r="E1737" t="s">
        <v>4397</v>
      </c>
      <c r="F1737" t="b">
        <v>1</v>
      </c>
      <c r="G1737" t="b">
        <v>0</v>
      </c>
      <c r="H1737" t="b">
        <v>0</v>
      </c>
      <c r="I1737" t="b">
        <v>0</v>
      </c>
    </row>
    <row r="1738" spans="1:9" x14ac:dyDescent="0.2">
      <c r="A1738" t="s">
        <v>4957</v>
      </c>
      <c r="B1738" t="s">
        <v>4994</v>
      </c>
      <c r="D1738" t="b">
        <f>IFERROR(VLOOKUP(B1738,PatData!$A$2:$A$2000,1,),"")&lt;&gt;""</f>
        <v>0</v>
      </c>
      <c r="E1738" t="s">
        <v>4398</v>
      </c>
      <c r="F1738" t="b">
        <v>1</v>
      </c>
      <c r="G1738" t="b">
        <v>0</v>
      </c>
      <c r="H1738" t="b">
        <v>0</v>
      </c>
      <c r="I1738" t="b">
        <v>0</v>
      </c>
    </row>
    <row r="1739" spans="1:9" x14ac:dyDescent="0.2">
      <c r="A1739" t="s">
        <v>4958</v>
      </c>
      <c r="B1739" t="s">
        <v>4995</v>
      </c>
      <c r="D1739" t="b">
        <f>IFERROR(VLOOKUP(B1739,PatData!$A$2:$A$2000,1,),"")&lt;&gt;""</f>
        <v>0</v>
      </c>
      <c r="E1739" t="s">
        <v>5294</v>
      </c>
      <c r="F1739" t="b">
        <v>1</v>
      </c>
      <c r="G1739" t="b">
        <v>0</v>
      </c>
      <c r="H1739" t="b">
        <v>0</v>
      </c>
      <c r="I1739" t="b">
        <v>0</v>
      </c>
    </row>
    <row r="1740" spans="1:9" x14ac:dyDescent="0.2">
      <c r="A1740" t="s">
        <v>4959</v>
      </c>
      <c r="B1740" t="s">
        <v>4996</v>
      </c>
      <c r="D1740" t="b">
        <f>IFERROR(VLOOKUP(B1740,PatData!$A$2:$A$2000,1,),"")&lt;&gt;""</f>
        <v>0</v>
      </c>
      <c r="E1740" t="s">
        <v>5295</v>
      </c>
      <c r="F1740" t="b">
        <v>1</v>
      </c>
      <c r="G1740" t="b">
        <v>0</v>
      </c>
      <c r="H1740" t="b">
        <v>0</v>
      </c>
      <c r="I1740" t="b">
        <v>0</v>
      </c>
    </row>
    <row r="1741" spans="1:9" x14ac:dyDescent="0.2">
      <c r="A1741" t="s">
        <v>4960</v>
      </c>
      <c r="B1741" t="s">
        <v>4997</v>
      </c>
      <c r="D1741" t="b">
        <f>IFERROR(VLOOKUP(B1741,PatData!$A$2:$A$2000,1,),"")&lt;&gt;""</f>
        <v>0</v>
      </c>
      <c r="E1741" t="s">
        <v>542</v>
      </c>
      <c r="F1741" t="b">
        <v>0</v>
      </c>
      <c r="G1741" t="b">
        <v>0</v>
      </c>
      <c r="H1741" t="b">
        <v>0</v>
      </c>
      <c r="I1741" t="b">
        <v>0</v>
      </c>
    </row>
    <row r="1742" spans="1:9" x14ac:dyDescent="0.2">
      <c r="A1742" t="s">
        <v>4961</v>
      </c>
      <c r="B1742" t="s">
        <v>4998</v>
      </c>
      <c r="D1742" t="b">
        <f>IFERROR(VLOOKUP(B1742,PatData!$A$2:$A$2000,1,),"")&lt;&gt;""</f>
        <v>0</v>
      </c>
      <c r="E1742" t="s">
        <v>5296</v>
      </c>
      <c r="F1742" t="b">
        <v>1</v>
      </c>
      <c r="G1742" t="b">
        <v>0</v>
      </c>
      <c r="H1742" t="b">
        <v>0</v>
      </c>
      <c r="I1742" t="b">
        <v>0</v>
      </c>
    </row>
    <row r="1743" spans="1:9" x14ac:dyDescent="0.2">
      <c r="A1743" t="s">
        <v>4962</v>
      </c>
      <c r="B1743" t="s">
        <v>4999</v>
      </c>
      <c r="D1743" t="b">
        <f>IFERROR(VLOOKUP(B1743,PatData!$A$2:$A$2000,1,),"")&lt;&gt;""</f>
        <v>0</v>
      </c>
      <c r="E1743" t="s">
        <v>4399</v>
      </c>
      <c r="F1743" t="b">
        <v>1</v>
      </c>
      <c r="G1743" t="b">
        <v>0</v>
      </c>
      <c r="H1743" t="b">
        <v>0</v>
      </c>
      <c r="I1743" t="b">
        <v>0</v>
      </c>
    </row>
    <row r="1744" spans="1:9" x14ac:dyDescent="0.2">
      <c r="A1744" t="s">
        <v>4963</v>
      </c>
      <c r="B1744" t="s">
        <v>5000</v>
      </c>
      <c r="D1744" t="b">
        <f>IFERROR(VLOOKUP(B1744,PatData!$A$2:$A$2000,1,),"")&lt;&gt;""</f>
        <v>0</v>
      </c>
      <c r="E1744" t="s">
        <v>428</v>
      </c>
      <c r="F1744" t="b">
        <v>0</v>
      </c>
      <c r="G1744" t="b">
        <v>0</v>
      </c>
      <c r="H1744" t="b">
        <v>0</v>
      </c>
      <c r="I1744" t="b">
        <v>0</v>
      </c>
    </row>
    <row r="1745" spans="1:9" x14ac:dyDescent="0.2">
      <c r="A1745" t="s">
        <v>4964</v>
      </c>
      <c r="B1745" t="s">
        <v>5001</v>
      </c>
      <c r="D1745" t="b">
        <f>IFERROR(VLOOKUP(B1745,PatData!$A$2:$A$2000,1,),"")&lt;&gt;""</f>
        <v>0</v>
      </c>
      <c r="E1745" t="s">
        <v>5297</v>
      </c>
      <c r="F1745" t="b">
        <v>1</v>
      </c>
      <c r="G1745" t="b">
        <v>0</v>
      </c>
      <c r="H1745" t="b">
        <v>0</v>
      </c>
      <c r="I1745" t="b">
        <v>0</v>
      </c>
    </row>
    <row r="1746" spans="1:9" x14ac:dyDescent="0.2">
      <c r="A1746" t="s">
        <v>4965</v>
      </c>
      <c r="B1746" t="s">
        <v>5002</v>
      </c>
      <c r="D1746" t="b">
        <f>IFERROR(VLOOKUP(B1746,PatData!$A$2:$A$2000,1,),"")&lt;&gt;""</f>
        <v>0</v>
      </c>
      <c r="E1746" t="s">
        <v>5298</v>
      </c>
      <c r="F1746" t="b">
        <v>1</v>
      </c>
      <c r="G1746" t="b">
        <v>0</v>
      </c>
      <c r="H1746" t="b">
        <v>0</v>
      </c>
      <c r="I1746" t="b">
        <v>0</v>
      </c>
    </row>
    <row r="1747" spans="1:9" x14ac:dyDescent="0.2">
      <c r="A1747" t="s">
        <v>4966</v>
      </c>
      <c r="B1747" t="s">
        <v>5003</v>
      </c>
      <c r="D1747" t="b">
        <f>IFERROR(VLOOKUP(B1747,PatData!$A$2:$A$2000,1,),"")&lt;&gt;""</f>
        <v>0</v>
      </c>
      <c r="E1747" t="s">
        <v>34</v>
      </c>
      <c r="F1747" t="b">
        <v>0</v>
      </c>
      <c r="G1747" t="b">
        <v>0</v>
      </c>
      <c r="H1747" t="b">
        <v>0</v>
      </c>
      <c r="I1747" t="b">
        <v>0</v>
      </c>
    </row>
    <row r="1748" spans="1:9" x14ac:dyDescent="0.2">
      <c r="A1748" t="s">
        <v>4967</v>
      </c>
      <c r="B1748" t="s">
        <v>5004</v>
      </c>
      <c r="D1748" t="b">
        <f>IFERROR(VLOOKUP(B1748,PatData!$A$2:$A$2000,1,),"")&lt;&gt;""</f>
        <v>0</v>
      </c>
      <c r="E1748" t="s">
        <v>5299</v>
      </c>
      <c r="F1748" t="b">
        <v>1</v>
      </c>
      <c r="G1748" t="b">
        <v>0</v>
      </c>
      <c r="H1748" t="b">
        <v>0</v>
      </c>
      <c r="I1748" t="b">
        <v>0</v>
      </c>
    </row>
    <row r="1749" spans="1:9" x14ac:dyDescent="0.2">
      <c r="A1749" t="s">
        <v>4968</v>
      </c>
      <c r="B1749" t="s">
        <v>5005</v>
      </c>
      <c r="D1749" t="b">
        <f>IFERROR(VLOOKUP(B1749,PatData!$A$2:$A$2000,1,),"")&lt;&gt;""</f>
        <v>0</v>
      </c>
      <c r="E1749" t="s">
        <v>5300</v>
      </c>
      <c r="F1749" t="b">
        <v>1</v>
      </c>
      <c r="G1749" t="b">
        <v>0</v>
      </c>
      <c r="H1749" t="b">
        <v>0</v>
      </c>
      <c r="I1749" t="b">
        <v>0</v>
      </c>
    </row>
    <row r="1750" spans="1:9" x14ac:dyDescent="0.2">
      <c r="A1750" t="s">
        <v>4969</v>
      </c>
      <c r="B1750" t="s">
        <v>5006</v>
      </c>
      <c r="D1750" t="b">
        <f>IFERROR(VLOOKUP(B1750,PatData!$A$2:$A$2000,1,),"")&lt;&gt;""</f>
        <v>0</v>
      </c>
      <c r="E1750" t="s">
        <v>544</v>
      </c>
      <c r="F1750" t="b">
        <v>0</v>
      </c>
      <c r="G1750" t="b">
        <v>0</v>
      </c>
      <c r="H1750" t="b">
        <v>0</v>
      </c>
      <c r="I1750" t="b">
        <v>0</v>
      </c>
    </row>
    <row r="1751" spans="1:9" x14ac:dyDescent="0.2">
      <c r="A1751" t="s">
        <v>4970</v>
      </c>
      <c r="B1751" t="s">
        <v>5007</v>
      </c>
      <c r="D1751" t="b">
        <f>IFERROR(VLOOKUP(B1751,PatData!$A$2:$A$2000,1,),"")&lt;&gt;""</f>
        <v>0</v>
      </c>
      <c r="E1751" t="s">
        <v>5301</v>
      </c>
      <c r="F1751" t="b">
        <v>1</v>
      </c>
      <c r="G1751" t="b">
        <v>0</v>
      </c>
      <c r="H1751" t="b">
        <v>0</v>
      </c>
      <c r="I1751" t="b">
        <v>0</v>
      </c>
    </row>
    <row r="1752" spans="1:9" x14ac:dyDescent="0.2">
      <c r="A1752" t="s">
        <v>4971</v>
      </c>
      <c r="B1752" t="s">
        <v>5008</v>
      </c>
      <c r="D1752" t="b">
        <f>IFERROR(VLOOKUP(B1752,PatData!$A$2:$A$2000,1,),"")&lt;&gt;""</f>
        <v>0</v>
      </c>
      <c r="E1752" t="s">
        <v>4400</v>
      </c>
      <c r="F1752" t="b">
        <v>1</v>
      </c>
      <c r="G1752" t="b">
        <v>0</v>
      </c>
      <c r="H1752" t="b">
        <v>0</v>
      </c>
      <c r="I1752" t="b">
        <v>0</v>
      </c>
    </row>
    <row r="1753" spans="1:9" x14ac:dyDescent="0.2">
      <c r="A1753" t="s">
        <v>4972</v>
      </c>
      <c r="B1753" t="s">
        <v>5009</v>
      </c>
      <c r="D1753" t="b">
        <f>IFERROR(VLOOKUP(B1753,PatData!$A$2:$A$2000,1,),"")&lt;&gt;""</f>
        <v>0</v>
      </c>
      <c r="E1753" t="s">
        <v>543</v>
      </c>
      <c r="F1753" t="b">
        <v>0</v>
      </c>
      <c r="G1753" t="b">
        <v>0</v>
      </c>
      <c r="H1753" t="b">
        <v>0</v>
      </c>
      <c r="I1753" t="b">
        <v>0</v>
      </c>
    </row>
    <row r="1754" spans="1:9" x14ac:dyDescent="0.2">
      <c r="A1754" t="s">
        <v>4973</v>
      </c>
      <c r="B1754" t="s">
        <v>5010</v>
      </c>
      <c r="D1754" t="b">
        <f>IFERROR(VLOOKUP(B1754,PatData!$A$2:$A$2000,1,),"")&lt;&gt;""</f>
        <v>0</v>
      </c>
      <c r="E1754" t="s">
        <v>5302</v>
      </c>
      <c r="F1754" t="b">
        <v>1</v>
      </c>
      <c r="G1754" t="b">
        <v>0</v>
      </c>
      <c r="H1754" t="b">
        <v>0</v>
      </c>
      <c r="I1754" t="b">
        <v>0</v>
      </c>
    </row>
    <row r="1755" spans="1:9" x14ac:dyDescent="0.2">
      <c r="A1755" t="s">
        <v>4974</v>
      </c>
      <c r="B1755" t="s">
        <v>5011</v>
      </c>
      <c r="D1755" t="b">
        <f>IFERROR(VLOOKUP(B1755,PatData!$A$2:$A$2000,1,),"")&lt;&gt;""</f>
        <v>0</v>
      </c>
      <c r="E1755" t="s">
        <v>5303</v>
      </c>
      <c r="F1755" t="b">
        <v>1</v>
      </c>
      <c r="G1755" t="b">
        <v>0</v>
      </c>
      <c r="H1755" t="b">
        <v>0</v>
      </c>
      <c r="I1755" t="b">
        <v>0</v>
      </c>
    </row>
    <row r="1756" spans="1:9" x14ac:dyDescent="0.2">
      <c r="A1756" t="s">
        <v>4975</v>
      </c>
      <c r="B1756" t="s">
        <v>5012</v>
      </c>
      <c r="D1756" t="b">
        <f>IFERROR(VLOOKUP(B1756,PatData!$A$2:$A$2000,1,),"")&lt;&gt;""</f>
        <v>0</v>
      </c>
      <c r="E1756" t="s">
        <v>333</v>
      </c>
      <c r="F1756" t="b">
        <v>0</v>
      </c>
      <c r="G1756" t="b">
        <v>0</v>
      </c>
      <c r="H1756" t="b">
        <v>0</v>
      </c>
      <c r="I1756" t="b">
        <v>0</v>
      </c>
    </row>
    <row r="1757" spans="1:9" x14ac:dyDescent="0.2">
      <c r="A1757" t="s">
        <v>4976</v>
      </c>
      <c r="B1757" t="s">
        <v>5013</v>
      </c>
      <c r="D1757" t="b">
        <f>IFERROR(VLOOKUP(B1757,PatData!$A$2:$A$2000,1,),"")&lt;&gt;""</f>
        <v>0</v>
      </c>
      <c r="E1757" t="s">
        <v>5304</v>
      </c>
      <c r="F1757" t="b">
        <v>1</v>
      </c>
      <c r="G1757" t="b">
        <v>0</v>
      </c>
      <c r="H1757" t="b">
        <v>0</v>
      </c>
      <c r="I1757" t="b">
        <v>0</v>
      </c>
    </row>
    <row r="1758" spans="1:9" x14ac:dyDescent="0.2">
      <c r="A1758" t="s">
        <v>4977</v>
      </c>
      <c r="B1758" t="s">
        <v>5014</v>
      </c>
      <c r="D1758" t="b">
        <f>IFERROR(VLOOKUP(B1758,PatData!$A$2:$A$2000,1,),"")&lt;&gt;""</f>
        <v>0</v>
      </c>
      <c r="E1758" t="s">
        <v>4401</v>
      </c>
      <c r="F1758" t="b">
        <v>1</v>
      </c>
      <c r="G1758" t="b">
        <v>0</v>
      </c>
      <c r="H1758" t="b">
        <v>0</v>
      </c>
      <c r="I1758" t="b">
        <v>0</v>
      </c>
    </row>
    <row r="1759" spans="1:9" x14ac:dyDescent="0.2">
      <c r="A1759" t="s">
        <v>4978</v>
      </c>
      <c r="B1759" t="s">
        <v>5015</v>
      </c>
      <c r="D1759" t="b">
        <f>IFERROR(VLOOKUP(B1759,PatData!$A$2:$A$2000,1,),"")&lt;&gt;""</f>
        <v>0</v>
      </c>
      <c r="E1759" t="s">
        <v>201</v>
      </c>
      <c r="F1759" t="b">
        <v>0</v>
      </c>
      <c r="G1759" t="b">
        <v>0</v>
      </c>
      <c r="H1759" t="b">
        <v>0</v>
      </c>
      <c r="I1759" t="b">
        <v>0</v>
      </c>
    </row>
    <row r="1760" spans="1:9" x14ac:dyDescent="0.2">
      <c r="A1760" t="s">
        <v>4979</v>
      </c>
      <c r="B1760" t="s">
        <v>5016</v>
      </c>
      <c r="D1760" t="b">
        <f>IFERROR(VLOOKUP(B1760,PatData!$A$2:$A$2000,1,),"")&lt;&gt;""</f>
        <v>0</v>
      </c>
      <c r="E1760" t="s">
        <v>3624</v>
      </c>
      <c r="F1760" t="b">
        <v>1</v>
      </c>
      <c r="G1760" t="b">
        <v>0</v>
      </c>
      <c r="H1760" t="b">
        <v>0</v>
      </c>
      <c r="I1760" t="b">
        <v>0</v>
      </c>
    </row>
    <row r="1761" spans="1:9" x14ac:dyDescent="0.2">
      <c r="A1761" t="s">
        <v>4980</v>
      </c>
      <c r="B1761" t="s">
        <v>5017</v>
      </c>
      <c r="D1761" t="b">
        <f>IFERROR(VLOOKUP(B1761,PatData!$A$2:$A$2000,1,),"")&lt;&gt;""</f>
        <v>0</v>
      </c>
      <c r="E1761" t="s">
        <v>3625</v>
      </c>
      <c r="F1761" t="b">
        <v>1</v>
      </c>
      <c r="G1761" t="b">
        <v>0</v>
      </c>
      <c r="H1761" t="b">
        <v>0</v>
      </c>
      <c r="I1761" t="b">
        <v>0</v>
      </c>
    </row>
    <row r="1762" spans="1:9" x14ac:dyDescent="0.2">
      <c r="A1762" t="s">
        <v>4981</v>
      </c>
      <c r="B1762" t="s">
        <v>5018</v>
      </c>
      <c r="D1762" t="b">
        <f>IFERROR(VLOOKUP(B1762,PatData!$A$2:$A$2000,1,),"")&lt;&gt;""</f>
        <v>0</v>
      </c>
      <c r="E1762" t="s">
        <v>3626</v>
      </c>
      <c r="F1762" t="b">
        <v>1</v>
      </c>
      <c r="G1762" t="b">
        <v>0</v>
      </c>
      <c r="H1762" t="b">
        <v>0</v>
      </c>
      <c r="I1762" t="b">
        <v>0</v>
      </c>
    </row>
    <row r="1763" spans="1:9" x14ac:dyDescent="0.2">
      <c r="A1763" t="s">
        <v>4635</v>
      </c>
      <c r="B1763" t="s">
        <v>2243</v>
      </c>
      <c r="D1763" t="b">
        <f>IFERROR(VLOOKUP(B1763,PatData!$A$2:$A$2000,1,),"")&lt;&gt;""</f>
        <v>0</v>
      </c>
      <c r="E1763" t="s">
        <v>2248</v>
      </c>
      <c r="F1763" t="b">
        <v>1</v>
      </c>
      <c r="G1763" t="b">
        <v>0</v>
      </c>
      <c r="H1763" t="b">
        <v>0</v>
      </c>
      <c r="I1763" t="b">
        <v>0</v>
      </c>
    </row>
    <row r="1764" spans="1:9" x14ac:dyDescent="0.2">
      <c r="A1764" t="s">
        <v>4636</v>
      </c>
      <c r="B1764" t="s">
        <v>2201</v>
      </c>
      <c r="D1764" t="b">
        <f>IFERROR(VLOOKUP(B1764,PatData!$A$2:$A$2000,1,),"")&lt;&gt;""</f>
        <v>0</v>
      </c>
      <c r="E1764"/>
      <c r="F1764" t="b">
        <v>0</v>
      </c>
      <c r="G1764" t="b">
        <v>0</v>
      </c>
      <c r="H1764" t="b">
        <v>0</v>
      </c>
      <c r="I1764" t="b">
        <v>0</v>
      </c>
    </row>
    <row r="1765" spans="1:9" x14ac:dyDescent="0.2">
      <c r="A1765" t="s">
        <v>1615</v>
      </c>
      <c r="B1765" t="s">
        <v>2220</v>
      </c>
      <c r="D1765" t="b">
        <f>IFERROR(VLOOKUP(B1765,PatData!$A$2:$A$2000,1,),"")&lt;&gt;""</f>
        <v>0</v>
      </c>
      <c r="E1765" t="s">
        <v>3618</v>
      </c>
      <c r="F1765" t="b">
        <v>1</v>
      </c>
      <c r="G1765" t="b">
        <v>0</v>
      </c>
      <c r="H1765" t="b">
        <v>0</v>
      </c>
      <c r="I1765" t="b">
        <v>0</v>
      </c>
    </row>
    <row r="1766" spans="1:9" x14ac:dyDescent="0.2">
      <c r="A1766" t="s">
        <v>1616</v>
      </c>
      <c r="B1766" t="s">
        <v>2221</v>
      </c>
      <c r="D1766" t="b">
        <f>IFERROR(VLOOKUP(B1766,PatData!$A$2:$A$2000,1,),"")&lt;&gt;""</f>
        <v>0</v>
      </c>
      <c r="E1766" t="s">
        <v>3619</v>
      </c>
      <c r="F1766" t="b">
        <v>1</v>
      </c>
      <c r="G1766" t="b">
        <v>0</v>
      </c>
      <c r="H1766" t="b">
        <v>0</v>
      </c>
      <c r="I1766" t="b">
        <v>0</v>
      </c>
    </row>
    <row r="1767" spans="1:9" x14ac:dyDescent="0.2">
      <c r="A1767" t="s">
        <v>1617</v>
      </c>
      <c r="B1767" t="s">
        <v>2222</v>
      </c>
      <c r="D1767" t="b">
        <f>IFERROR(VLOOKUP(B1767,PatData!$A$2:$A$2000,1,),"")&lt;&gt;""</f>
        <v>0</v>
      </c>
      <c r="E1767" t="s">
        <v>3620</v>
      </c>
      <c r="F1767" t="b">
        <v>1</v>
      </c>
      <c r="G1767" t="b">
        <v>0</v>
      </c>
      <c r="H1767" t="b">
        <v>0</v>
      </c>
      <c r="I1767" t="b">
        <v>0</v>
      </c>
    </row>
    <row r="1768" spans="1:9" x14ac:dyDescent="0.2">
      <c r="A1768" t="s">
        <v>1231</v>
      </c>
      <c r="B1768" t="s">
        <v>2198</v>
      </c>
      <c r="D1768" t="b">
        <f>IFERROR(VLOOKUP(B1768,PatData!$A$2:$A$2000,1,),"")&lt;&gt;""</f>
        <v>0</v>
      </c>
      <c r="E1768" t="s">
        <v>3621</v>
      </c>
      <c r="F1768" t="b">
        <v>1</v>
      </c>
      <c r="G1768" t="b">
        <v>0</v>
      </c>
      <c r="H1768" t="b">
        <v>0</v>
      </c>
      <c r="I1768" t="b">
        <v>0</v>
      </c>
    </row>
    <row r="1769" spans="1:9" ht="140.25" x14ac:dyDescent="0.2">
      <c r="A1769" t="s">
        <v>1232</v>
      </c>
      <c r="B1769" t="s">
        <v>2199</v>
      </c>
      <c r="D1769" t="b">
        <f>IFERROR(VLOOKUP(B1769,PatData!$A$2:$A$2000,1,),"")&lt;&gt;""</f>
        <v>0</v>
      </c>
      <c r="E1769" s="19" t="s">
        <v>3622</v>
      </c>
      <c r="F1769" t="b">
        <v>1</v>
      </c>
      <c r="G1769" t="b">
        <v>0</v>
      </c>
      <c r="H1769" t="b">
        <v>0</v>
      </c>
      <c r="I1769" t="b">
        <v>0</v>
      </c>
    </row>
    <row r="1770" spans="1:9" x14ac:dyDescent="0.2">
      <c r="A1770" t="s">
        <v>4310</v>
      </c>
      <c r="B1770" t="s">
        <v>2200</v>
      </c>
      <c r="D1770" t="b">
        <f>IFERROR(VLOOKUP(B1770,PatData!$A$2:$A$2000,1,),"")&lt;&gt;""</f>
        <v>0</v>
      </c>
      <c r="E1770" t="s">
        <v>2249</v>
      </c>
      <c r="F1770" t="b">
        <v>1</v>
      </c>
      <c r="G1770" t="b">
        <v>0</v>
      </c>
      <c r="H1770" t="b">
        <v>0</v>
      </c>
      <c r="I1770" t="b">
        <v>0</v>
      </c>
    </row>
    <row r="1771" spans="1:9" x14ac:dyDescent="0.2">
      <c r="A1771" t="s">
        <v>4119</v>
      </c>
      <c r="B1771" t="s">
        <v>5305</v>
      </c>
      <c r="D1771" t="b">
        <f>IFERROR(VLOOKUP(B1771,PatData!$A$2:$A$2000,1,),"")&lt;&gt;""</f>
        <v>0</v>
      </c>
      <c r="E1771">
        <v>0</v>
      </c>
      <c r="F1771" t="b">
        <v>0</v>
      </c>
      <c r="G1771" t="b">
        <v>0</v>
      </c>
      <c r="H1771" t="b">
        <v>0</v>
      </c>
      <c r="I1771" t="b">
        <v>0</v>
      </c>
    </row>
    <row r="1772" spans="1:9" x14ac:dyDescent="0.2">
      <c r="A1772" t="s">
        <v>4131</v>
      </c>
      <c r="B1772" t="s">
        <v>5306</v>
      </c>
      <c r="D1772" t="b">
        <f>IFERROR(VLOOKUP(B1772,PatData!$A$2:$A$2000,1,),"")&lt;&gt;""</f>
        <v>0</v>
      </c>
      <c r="E1772">
        <v>1</v>
      </c>
      <c r="F1772" t="b">
        <v>0</v>
      </c>
      <c r="G1772" t="b">
        <v>0</v>
      </c>
      <c r="H1772" t="b">
        <v>0</v>
      </c>
      <c r="I1772" t="b">
        <v>0</v>
      </c>
    </row>
    <row r="1773" spans="1:9" x14ac:dyDescent="0.2">
      <c r="A1773" t="s">
        <v>4132</v>
      </c>
      <c r="B1773" t="s">
        <v>5307</v>
      </c>
      <c r="D1773" t="b">
        <f>IFERROR(VLOOKUP(B1773,PatData!$A$2:$A$2000,1,),"")&lt;&gt;""</f>
        <v>0</v>
      </c>
      <c r="E1773">
        <v>1</v>
      </c>
      <c r="F1773" t="b">
        <v>0</v>
      </c>
      <c r="G1773" t="b">
        <v>0</v>
      </c>
      <c r="H1773" t="b">
        <v>0</v>
      </c>
      <c r="I1773" t="b">
        <v>0</v>
      </c>
    </row>
    <row r="1774" spans="1:9" x14ac:dyDescent="0.2">
      <c r="A1774" t="s">
        <v>4133</v>
      </c>
      <c r="B1774" t="s">
        <v>5308</v>
      </c>
      <c r="D1774" t="b">
        <f>IFERROR(VLOOKUP(B1774,PatData!$A$2:$A$2000,1,),"")&lt;&gt;""</f>
        <v>0</v>
      </c>
      <c r="E1774">
        <v>1</v>
      </c>
      <c r="F1774" t="b">
        <v>0</v>
      </c>
      <c r="G1774" t="b">
        <v>0</v>
      </c>
      <c r="H1774" t="b">
        <v>0</v>
      </c>
      <c r="I1774" t="b">
        <v>0</v>
      </c>
    </row>
    <row r="1775" spans="1:9" x14ac:dyDescent="0.2">
      <c r="A1775" t="s">
        <v>4134</v>
      </c>
      <c r="B1775" t="s">
        <v>5309</v>
      </c>
      <c r="D1775" t="b">
        <f>IFERROR(VLOOKUP(B1775,PatData!$A$2:$A$2000,1,),"")&lt;&gt;""</f>
        <v>0</v>
      </c>
      <c r="E1775">
        <v>1</v>
      </c>
      <c r="F1775" t="b">
        <v>0</v>
      </c>
      <c r="G1775" t="b">
        <v>0</v>
      </c>
      <c r="H1775" t="b">
        <v>0</v>
      </c>
      <c r="I1775" t="b">
        <v>0</v>
      </c>
    </row>
    <row r="1776" spans="1:9" x14ac:dyDescent="0.2">
      <c r="A1776" t="s">
        <v>4135</v>
      </c>
      <c r="B1776" t="s">
        <v>5310</v>
      </c>
      <c r="D1776" t="b">
        <f>IFERROR(VLOOKUP(B1776,PatData!$A$2:$A$2000,1,),"")&lt;&gt;""</f>
        <v>0</v>
      </c>
      <c r="E1776">
        <v>1</v>
      </c>
      <c r="F1776" t="b">
        <v>0</v>
      </c>
      <c r="G1776" t="b">
        <v>0</v>
      </c>
      <c r="H1776" t="b">
        <v>0</v>
      </c>
      <c r="I1776" t="b">
        <v>0</v>
      </c>
    </row>
    <row r="1777" spans="1:9" x14ac:dyDescent="0.2">
      <c r="A1777" t="s">
        <v>4136</v>
      </c>
      <c r="B1777" t="s">
        <v>5311</v>
      </c>
      <c r="D1777" t="b">
        <f>IFERROR(VLOOKUP(B1777,PatData!$A$2:$A$2000,1,),"")&lt;&gt;""</f>
        <v>0</v>
      </c>
      <c r="E1777">
        <v>1</v>
      </c>
      <c r="F1777" t="b">
        <v>0</v>
      </c>
      <c r="G1777" t="b">
        <v>0</v>
      </c>
      <c r="H1777" t="b">
        <v>0</v>
      </c>
      <c r="I1777" t="b">
        <v>0</v>
      </c>
    </row>
    <row r="1778" spans="1:9" x14ac:dyDescent="0.2">
      <c r="A1778" t="s">
        <v>4137</v>
      </c>
      <c r="B1778" t="s">
        <v>5312</v>
      </c>
      <c r="D1778" t="b">
        <f>IFERROR(VLOOKUP(B1778,PatData!$A$2:$A$2000,1,),"")&lt;&gt;""</f>
        <v>0</v>
      </c>
      <c r="E1778">
        <v>1</v>
      </c>
      <c r="F1778" t="b">
        <v>0</v>
      </c>
      <c r="G1778" t="b">
        <v>0</v>
      </c>
      <c r="H1778" t="b">
        <v>0</v>
      </c>
      <c r="I1778" t="b">
        <v>0</v>
      </c>
    </row>
    <row r="1779" spans="1:9" x14ac:dyDescent="0.2">
      <c r="A1779" t="s">
        <v>4138</v>
      </c>
      <c r="B1779" t="s">
        <v>5313</v>
      </c>
      <c r="D1779" t="b">
        <f>IFERROR(VLOOKUP(B1779,PatData!$A$2:$A$2000,1,),"")&lt;&gt;""</f>
        <v>0</v>
      </c>
      <c r="E1779">
        <v>1</v>
      </c>
      <c r="F1779" t="b">
        <v>0</v>
      </c>
      <c r="G1779" t="b">
        <v>0</v>
      </c>
      <c r="H1779" t="b">
        <v>0</v>
      </c>
      <c r="I1779" t="b">
        <v>0</v>
      </c>
    </row>
    <row r="1780" spans="1:9" x14ac:dyDescent="0.2">
      <c r="A1780" t="s">
        <v>4139</v>
      </c>
      <c r="B1780" t="s">
        <v>5314</v>
      </c>
      <c r="D1780" t="b">
        <f>IFERROR(VLOOKUP(B1780,PatData!$A$2:$A$2000,1,),"")&lt;&gt;""</f>
        <v>0</v>
      </c>
      <c r="E1780">
        <v>1</v>
      </c>
      <c r="F1780" t="b">
        <v>0</v>
      </c>
      <c r="G1780" t="b">
        <v>0</v>
      </c>
      <c r="H1780" t="b">
        <v>0</v>
      </c>
      <c r="I1780" t="b">
        <v>0</v>
      </c>
    </row>
    <row r="1781" spans="1:9" x14ac:dyDescent="0.2">
      <c r="A1781" t="s">
        <v>4140</v>
      </c>
      <c r="B1781" t="s">
        <v>5315</v>
      </c>
      <c r="D1781" t="b">
        <f>IFERROR(VLOOKUP(B1781,PatData!$A$2:$A$2000,1,),"")&lt;&gt;""</f>
        <v>0</v>
      </c>
      <c r="E1781">
        <v>0</v>
      </c>
      <c r="F1781" t="b">
        <v>0</v>
      </c>
      <c r="G1781" t="b">
        <v>0</v>
      </c>
      <c r="H1781" t="b">
        <v>0</v>
      </c>
      <c r="I1781" t="b">
        <v>0</v>
      </c>
    </row>
    <row r="1782" spans="1:9" x14ac:dyDescent="0.2">
      <c r="A1782" t="s">
        <v>4141</v>
      </c>
      <c r="B1782" t="s">
        <v>5316</v>
      </c>
      <c r="D1782" t="b">
        <f>IFERROR(VLOOKUP(B1782,PatData!$A$2:$A$2000,1,),"")&lt;&gt;""</f>
        <v>0</v>
      </c>
      <c r="E1782">
        <v>0</v>
      </c>
      <c r="F1782" t="b">
        <v>0</v>
      </c>
      <c r="G1782" t="b">
        <v>0</v>
      </c>
      <c r="H1782" t="b">
        <v>0</v>
      </c>
      <c r="I1782" t="b">
        <v>0</v>
      </c>
    </row>
    <row r="1783" spans="1:9" x14ac:dyDescent="0.2">
      <c r="A1783" t="s">
        <v>4142</v>
      </c>
      <c r="B1783" t="s">
        <v>5317</v>
      </c>
      <c r="D1783" t="b">
        <f>IFERROR(VLOOKUP(B1783,PatData!$A$2:$A$2000,1,),"")&lt;&gt;""</f>
        <v>0</v>
      </c>
      <c r="E1783">
        <v>0</v>
      </c>
      <c r="F1783" t="b">
        <v>0</v>
      </c>
      <c r="G1783" t="b">
        <v>0</v>
      </c>
      <c r="H1783" t="b">
        <v>0</v>
      </c>
      <c r="I1783" t="b">
        <v>0</v>
      </c>
    </row>
    <row r="1784" spans="1:9" x14ac:dyDescent="0.2">
      <c r="A1784" t="s">
        <v>4143</v>
      </c>
      <c r="B1784" t="s">
        <v>5318</v>
      </c>
      <c r="D1784" t="b">
        <f>IFERROR(VLOOKUP(B1784,PatData!$A$2:$A$2000,1,),"")&lt;&gt;""</f>
        <v>0</v>
      </c>
      <c r="E1784">
        <v>0</v>
      </c>
      <c r="F1784" t="b">
        <v>0</v>
      </c>
      <c r="G1784" t="b">
        <v>0</v>
      </c>
      <c r="H1784" t="b">
        <v>0</v>
      </c>
      <c r="I1784" t="b">
        <v>0</v>
      </c>
    </row>
    <row r="1785" spans="1:9" x14ac:dyDescent="0.2">
      <c r="A1785" t="s">
        <v>4144</v>
      </c>
      <c r="B1785" t="s">
        <v>5319</v>
      </c>
      <c r="D1785" t="b">
        <f>IFERROR(VLOOKUP(B1785,PatData!$A$2:$A$2000,1,),"")&lt;&gt;""</f>
        <v>0</v>
      </c>
      <c r="E1785">
        <v>0</v>
      </c>
      <c r="F1785" t="b">
        <v>0</v>
      </c>
      <c r="G1785" t="b">
        <v>0</v>
      </c>
      <c r="H1785" t="b">
        <v>0</v>
      </c>
      <c r="I1785" t="b">
        <v>0</v>
      </c>
    </row>
    <row r="1786" spans="1:9" x14ac:dyDescent="0.2">
      <c r="A1786" t="s">
        <v>4145</v>
      </c>
      <c r="B1786" t="s">
        <v>5320</v>
      </c>
      <c r="D1786" t="b">
        <f>IFERROR(VLOOKUP(B1786,PatData!$A$2:$A$2000,1,),"")&lt;&gt;""</f>
        <v>0</v>
      </c>
      <c r="E1786">
        <v>0</v>
      </c>
      <c r="F1786" t="b">
        <v>0</v>
      </c>
      <c r="G1786" t="b">
        <v>0</v>
      </c>
      <c r="H1786" t="b">
        <v>0</v>
      </c>
      <c r="I1786" t="b">
        <v>0</v>
      </c>
    </row>
    <row r="1787" spans="1:9" x14ac:dyDescent="0.2">
      <c r="A1787" t="s">
        <v>4146</v>
      </c>
      <c r="B1787" t="s">
        <v>5321</v>
      </c>
      <c r="D1787" t="b">
        <f>IFERROR(VLOOKUP(B1787,PatData!$A$2:$A$2000,1,),"")&lt;&gt;""</f>
        <v>0</v>
      </c>
      <c r="E1787">
        <v>0</v>
      </c>
      <c r="F1787" t="b">
        <v>0</v>
      </c>
      <c r="G1787" t="b">
        <v>0</v>
      </c>
      <c r="H1787" t="b">
        <v>0</v>
      </c>
      <c r="I1787" t="b">
        <v>0</v>
      </c>
    </row>
    <row r="1788" spans="1:9" x14ac:dyDescent="0.2">
      <c r="A1788" t="s">
        <v>4147</v>
      </c>
      <c r="B1788" t="s">
        <v>5322</v>
      </c>
      <c r="D1788" t="b">
        <f>IFERROR(VLOOKUP(B1788,PatData!$A$2:$A$2000,1,),"")&lt;&gt;""</f>
        <v>0</v>
      </c>
      <c r="E1788">
        <v>0</v>
      </c>
      <c r="F1788" t="b">
        <v>0</v>
      </c>
      <c r="G1788" t="b">
        <v>0</v>
      </c>
      <c r="H1788" t="b">
        <v>0</v>
      </c>
      <c r="I1788" t="b">
        <v>0</v>
      </c>
    </row>
    <row r="1789" spans="1:9" x14ac:dyDescent="0.2">
      <c r="A1789" t="s">
        <v>4148</v>
      </c>
      <c r="B1789" t="s">
        <v>5323</v>
      </c>
      <c r="D1789" t="b">
        <f>IFERROR(VLOOKUP(B1789,PatData!$A$2:$A$2000,1,),"")&lt;&gt;""</f>
        <v>0</v>
      </c>
      <c r="E1789">
        <v>0</v>
      </c>
      <c r="F1789" t="b">
        <v>0</v>
      </c>
      <c r="G1789" t="b">
        <v>0</v>
      </c>
      <c r="H1789" t="b">
        <v>0</v>
      </c>
      <c r="I1789" t="b">
        <v>0</v>
      </c>
    </row>
    <row r="1790" spans="1:9" x14ac:dyDescent="0.2">
      <c r="A1790" t="s">
        <v>4149</v>
      </c>
      <c r="B1790" t="s">
        <v>5324</v>
      </c>
      <c r="D1790" t="b">
        <f>IFERROR(VLOOKUP(B1790,PatData!$A$2:$A$2000,1,),"")&lt;&gt;""</f>
        <v>0</v>
      </c>
      <c r="E1790"/>
      <c r="F1790" t="b">
        <v>0</v>
      </c>
      <c r="G1790" t="b">
        <v>0</v>
      </c>
      <c r="H1790" t="b">
        <v>0</v>
      </c>
      <c r="I1790" t="b">
        <v>0</v>
      </c>
    </row>
    <row r="1791" spans="1:9" x14ac:dyDescent="0.2">
      <c r="A1791" t="s">
        <v>4150</v>
      </c>
      <c r="B1791" t="s">
        <v>5325</v>
      </c>
      <c r="D1791" t="b">
        <f>IFERROR(VLOOKUP(B1791,PatData!$A$2:$A$2000,1,),"")&lt;&gt;""</f>
        <v>0</v>
      </c>
      <c r="E1791"/>
      <c r="F1791" t="b">
        <v>0</v>
      </c>
      <c r="G1791" t="b">
        <v>0</v>
      </c>
      <c r="H1791" t="b">
        <v>0</v>
      </c>
      <c r="I1791" t="b">
        <v>0</v>
      </c>
    </row>
    <row r="1792" spans="1:9" x14ac:dyDescent="0.2">
      <c r="A1792" t="s">
        <v>4153</v>
      </c>
      <c r="B1792" t="s">
        <v>5326</v>
      </c>
      <c r="D1792" t="b">
        <f>IFERROR(VLOOKUP(B1792,PatData!$A$2:$A$2000,1,),"")&lt;&gt;""</f>
        <v>0</v>
      </c>
      <c r="E1792">
        <v>0</v>
      </c>
      <c r="F1792" t="b">
        <v>0</v>
      </c>
      <c r="G1792" t="b">
        <v>0</v>
      </c>
      <c r="H1792" t="b">
        <v>0</v>
      </c>
      <c r="I1792" t="b">
        <v>0</v>
      </c>
    </row>
    <row r="1793" spans="1:9" x14ac:dyDescent="0.2">
      <c r="A1793" t="s">
        <v>4154</v>
      </c>
      <c r="B1793" t="s">
        <v>5327</v>
      </c>
      <c r="D1793" t="b">
        <f>IFERROR(VLOOKUP(B1793,PatData!$A$2:$A$2000,1,),"")&lt;&gt;""</f>
        <v>0</v>
      </c>
      <c r="E1793">
        <v>0</v>
      </c>
      <c r="F1793" t="b">
        <v>0</v>
      </c>
      <c r="G1793" t="b">
        <v>0</v>
      </c>
      <c r="H1793" t="b">
        <v>0</v>
      </c>
      <c r="I1793" t="b">
        <v>0</v>
      </c>
    </row>
    <row r="1794" spans="1:9" x14ac:dyDescent="0.2">
      <c r="A1794" t="s">
        <v>4155</v>
      </c>
      <c r="B1794" t="s">
        <v>5328</v>
      </c>
      <c r="D1794" t="b">
        <f>IFERROR(VLOOKUP(B1794,PatData!$A$2:$A$2000,1,),"")&lt;&gt;""</f>
        <v>0</v>
      </c>
      <c r="E1794">
        <v>0</v>
      </c>
      <c r="F1794" t="b">
        <v>0</v>
      </c>
      <c r="G1794" t="b">
        <v>0</v>
      </c>
      <c r="H1794" t="b">
        <v>0</v>
      </c>
      <c r="I1794" t="b">
        <v>0</v>
      </c>
    </row>
    <row r="1795" spans="1:9" x14ac:dyDescent="0.2">
      <c r="A1795" t="s">
        <v>4156</v>
      </c>
      <c r="B1795" t="s">
        <v>5329</v>
      </c>
      <c r="D1795" t="b">
        <f>IFERROR(VLOOKUP(B1795,PatData!$A$2:$A$2000,1,),"")&lt;&gt;""</f>
        <v>0</v>
      </c>
      <c r="E1795">
        <v>0</v>
      </c>
      <c r="F1795" t="b">
        <v>0</v>
      </c>
      <c r="G1795" t="b">
        <v>0</v>
      </c>
      <c r="H1795" t="b">
        <v>0</v>
      </c>
      <c r="I1795" t="b">
        <v>0</v>
      </c>
    </row>
    <row r="1796" spans="1:9" x14ac:dyDescent="0.2">
      <c r="A1796" t="s">
        <v>4157</v>
      </c>
      <c r="B1796" t="s">
        <v>5330</v>
      </c>
      <c r="D1796" t="b">
        <f>IFERROR(VLOOKUP(B1796,PatData!$A$2:$A$2000,1,),"")&lt;&gt;""</f>
        <v>0</v>
      </c>
      <c r="E1796">
        <v>0</v>
      </c>
      <c r="F1796" t="b">
        <v>0</v>
      </c>
      <c r="G1796" t="b">
        <v>0</v>
      </c>
      <c r="H1796" t="b">
        <v>0</v>
      </c>
      <c r="I1796" t="b">
        <v>0</v>
      </c>
    </row>
    <row r="1797" spans="1:9" x14ac:dyDescent="0.2">
      <c r="A1797" t="s">
        <v>4158</v>
      </c>
      <c r="B1797" t="s">
        <v>5331</v>
      </c>
      <c r="D1797" t="b">
        <f>IFERROR(VLOOKUP(B1797,PatData!$A$2:$A$2000,1,),"")&lt;&gt;""</f>
        <v>0</v>
      </c>
      <c r="E1797">
        <v>0</v>
      </c>
      <c r="F1797" t="b">
        <v>0</v>
      </c>
      <c r="G1797" t="b">
        <v>0</v>
      </c>
      <c r="H1797" t="b">
        <v>0</v>
      </c>
      <c r="I1797" t="b">
        <v>0</v>
      </c>
    </row>
    <row r="1798" spans="1:9" x14ac:dyDescent="0.2">
      <c r="A1798" t="s">
        <v>4159</v>
      </c>
      <c r="B1798" t="s">
        <v>5332</v>
      </c>
      <c r="D1798" t="b">
        <f>IFERROR(VLOOKUP(B1798,PatData!$A$2:$A$2000,1,),"")&lt;&gt;""</f>
        <v>0</v>
      </c>
      <c r="E1798">
        <v>0</v>
      </c>
      <c r="F1798" t="b">
        <v>0</v>
      </c>
      <c r="G1798" t="b">
        <v>0</v>
      </c>
      <c r="H1798" t="b">
        <v>0</v>
      </c>
      <c r="I1798" t="b">
        <v>0</v>
      </c>
    </row>
    <row r="1799" spans="1:9" x14ac:dyDescent="0.2">
      <c r="A1799" t="s">
        <v>4160</v>
      </c>
      <c r="B1799" t="s">
        <v>5333</v>
      </c>
      <c r="D1799" t="b">
        <f>IFERROR(VLOOKUP(B1799,PatData!$A$2:$A$2000,1,),"")&lt;&gt;""</f>
        <v>0</v>
      </c>
      <c r="E1799">
        <v>0</v>
      </c>
      <c r="F1799" t="b">
        <v>0</v>
      </c>
      <c r="G1799" t="b">
        <v>0</v>
      </c>
      <c r="H1799" t="b">
        <v>0</v>
      </c>
      <c r="I1799" t="b">
        <v>0</v>
      </c>
    </row>
    <row r="1800" spans="1:9" x14ac:dyDescent="0.2">
      <c r="A1800" t="s">
        <v>4161</v>
      </c>
      <c r="B1800" t="s">
        <v>5334</v>
      </c>
      <c r="D1800" t="b">
        <f>IFERROR(VLOOKUP(B1800,PatData!$A$2:$A$2000,1,),"")&lt;&gt;""</f>
        <v>0</v>
      </c>
      <c r="E1800">
        <v>0</v>
      </c>
      <c r="F1800" t="b">
        <v>0</v>
      </c>
      <c r="G1800" t="b">
        <v>0</v>
      </c>
      <c r="H1800" t="b">
        <v>0</v>
      </c>
      <c r="I1800" t="b">
        <v>0</v>
      </c>
    </row>
    <row r="1801" spans="1:9" x14ac:dyDescent="0.2">
      <c r="A1801" t="s">
        <v>4162</v>
      </c>
      <c r="B1801" t="s">
        <v>5335</v>
      </c>
      <c r="D1801" t="b">
        <f>IFERROR(VLOOKUP(B1801,PatData!$A$2:$A$2000,1,),"")&lt;&gt;""</f>
        <v>0</v>
      </c>
      <c r="E1801">
        <v>1</v>
      </c>
      <c r="F1801" t="b">
        <v>0</v>
      </c>
      <c r="G1801" t="b">
        <v>0</v>
      </c>
      <c r="H1801" t="b">
        <v>0</v>
      </c>
      <c r="I1801" t="b">
        <v>0</v>
      </c>
    </row>
    <row r="1802" spans="1:9" x14ac:dyDescent="0.2">
      <c r="A1802" t="s">
        <v>4163</v>
      </c>
      <c r="B1802" t="s">
        <v>5336</v>
      </c>
      <c r="D1802" t="b">
        <f>IFERROR(VLOOKUP(B1802,PatData!$A$2:$A$2000,1,),"")&lt;&gt;""</f>
        <v>0</v>
      </c>
      <c r="E1802">
        <v>1</v>
      </c>
      <c r="F1802" t="b">
        <v>0</v>
      </c>
      <c r="G1802" t="b">
        <v>0</v>
      </c>
      <c r="H1802" t="b">
        <v>0</v>
      </c>
      <c r="I1802" t="b">
        <v>0</v>
      </c>
    </row>
    <row r="1803" spans="1:9" x14ac:dyDescent="0.2">
      <c r="A1803" t="s">
        <v>4164</v>
      </c>
      <c r="B1803" t="s">
        <v>5337</v>
      </c>
      <c r="D1803" t="b">
        <f>IFERROR(VLOOKUP(B1803,PatData!$A$2:$A$2000,1,),"")&lt;&gt;""</f>
        <v>0</v>
      </c>
      <c r="E1803">
        <v>1</v>
      </c>
      <c r="F1803" t="b">
        <v>0</v>
      </c>
      <c r="G1803" t="b">
        <v>0</v>
      </c>
      <c r="H1803" t="b">
        <v>0</v>
      </c>
      <c r="I1803" t="b">
        <v>0</v>
      </c>
    </row>
    <row r="1804" spans="1:9" x14ac:dyDescent="0.2">
      <c r="A1804" t="s">
        <v>4165</v>
      </c>
      <c r="B1804" t="s">
        <v>5338</v>
      </c>
      <c r="D1804" t="b">
        <f>IFERROR(VLOOKUP(B1804,PatData!$A$2:$A$2000,1,),"")&lt;&gt;""</f>
        <v>0</v>
      </c>
      <c r="E1804">
        <v>1</v>
      </c>
      <c r="F1804" t="b">
        <v>0</v>
      </c>
      <c r="G1804" t="b">
        <v>0</v>
      </c>
      <c r="H1804" t="b">
        <v>0</v>
      </c>
      <c r="I1804" t="b">
        <v>0</v>
      </c>
    </row>
    <row r="1805" spans="1:9" x14ac:dyDescent="0.2">
      <c r="A1805" t="s">
        <v>4166</v>
      </c>
      <c r="B1805" t="s">
        <v>5339</v>
      </c>
      <c r="D1805" t="b">
        <f>IFERROR(VLOOKUP(B1805,PatData!$A$2:$A$2000,1,),"")&lt;&gt;""</f>
        <v>0</v>
      </c>
      <c r="E1805">
        <v>1</v>
      </c>
      <c r="F1805" t="b">
        <v>0</v>
      </c>
      <c r="G1805" t="b">
        <v>0</v>
      </c>
      <c r="H1805" t="b">
        <v>0</v>
      </c>
      <c r="I1805" t="b">
        <v>0</v>
      </c>
    </row>
    <row r="1806" spans="1:9" x14ac:dyDescent="0.2">
      <c r="A1806" t="s">
        <v>4167</v>
      </c>
      <c r="B1806" t="s">
        <v>5340</v>
      </c>
      <c r="D1806" t="b">
        <f>IFERROR(VLOOKUP(B1806,PatData!$A$2:$A$2000,1,),"")&lt;&gt;""</f>
        <v>0</v>
      </c>
      <c r="E1806">
        <v>1</v>
      </c>
      <c r="F1806" t="b">
        <v>0</v>
      </c>
      <c r="G1806" t="b">
        <v>0</v>
      </c>
      <c r="H1806" t="b">
        <v>0</v>
      </c>
      <c r="I1806" t="b">
        <v>0</v>
      </c>
    </row>
    <row r="1807" spans="1:9" x14ac:dyDescent="0.2">
      <c r="A1807" t="s">
        <v>4168</v>
      </c>
      <c r="B1807" t="s">
        <v>5341</v>
      </c>
      <c r="D1807" t="b">
        <f>IFERROR(VLOOKUP(B1807,PatData!$A$2:$A$2000,1,),"")&lt;&gt;""</f>
        <v>0</v>
      </c>
      <c r="E1807">
        <v>1</v>
      </c>
      <c r="F1807" t="b">
        <v>0</v>
      </c>
      <c r="G1807" t="b">
        <v>0</v>
      </c>
      <c r="H1807" t="b">
        <v>0</v>
      </c>
      <c r="I1807" t="b">
        <v>0</v>
      </c>
    </row>
    <row r="1808" spans="1:9" x14ac:dyDescent="0.2">
      <c r="A1808" t="s">
        <v>4169</v>
      </c>
      <c r="B1808" t="s">
        <v>5342</v>
      </c>
      <c r="D1808" t="b">
        <f>IFERROR(VLOOKUP(B1808,PatData!$A$2:$A$2000,1,),"")&lt;&gt;""</f>
        <v>0</v>
      </c>
      <c r="E1808">
        <v>1</v>
      </c>
      <c r="F1808" t="b">
        <v>0</v>
      </c>
      <c r="G1808" t="b">
        <v>0</v>
      </c>
      <c r="H1808" t="b">
        <v>0</v>
      </c>
      <c r="I1808" t="b">
        <v>0</v>
      </c>
    </row>
    <row r="1809" spans="1:9" x14ac:dyDescent="0.2">
      <c r="A1809" t="s">
        <v>4170</v>
      </c>
      <c r="B1809" t="s">
        <v>5343</v>
      </c>
      <c r="D1809" t="b">
        <f>IFERROR(VLOOKUP(B1809,PatData!$A$2:$A$2000,1,),"")&lt;&gt;""</f>
        <v>0</v>
      </c>
      <c r="E1809">
        <v>1</v>
      </c>
      <c r="F1809" t="b">
        <v>0</v>
      </c>
      <c r="G1809" t="b">
        <v>0</v>
      </c>
      <c r="H1809" t="b">
        <v>0</v>
      </c>
      <c r="I1809" t="b">
        <v>0</v>
      </c>
    </row>
    <row r="1810" spans="1:9" x14ac:dyDescent="0.2">
      <c r="A1810" t="s">
        <v>4171</v>
      </c>
      <c r="B1810" t="s">
        <v>5344</v>
      </c>
      <c r="D1810" t="b">
        <f>IFERROR(VLOOKUP(B1810,PatData!$A$2:$A$2000,1,),"")&lt;&gt;""</f>
        <v>0</v>
      </c>
      <c r="E1810">
        <v>0</v>
      </c>
      <c r="F1810" t="b">
        <v>0</v>
      </c>
      <c r="G1810" t="b">
        <v>0</v>
      </c>
      <c r="H1810" t="b">
        <v>0</v>
      </c>
      <c r="I1810" t="b">
        <v>0</v>
      </c>
    </row>
    <row r="1811" spans="1:9" x14ac:dyDescent="0.2">
      <c r="A1811" t="s">
        <v>4172</v>
      </c>
      <c r="B1811" t="s">
        <v>5345</v>
      </c>
      <c r="D1811" t="b">
        <f>IFERROR(VLOOKUP(B1811,PatData!$A$2:$A$2000,1,),"")&lt;&gt;""</f>
        <v>0</v>
      </c>
      <c r="E1811">
        <v>0</v>
      </c>
      <c r="F1811" t="b">
        <v>0</v>
      </c>
      <c r="G1811" t="b">
        <v>0</v>
      </c>
      <c r="H1811" t="b">
        <v>0</v>
      </c>
      <c r="I1811" t="b">
        <v>0</v>
      </c>
    </row>
    <row r="1812" spans="1:9" x14ac:dyDescent="0.2">
      <c r="A1812" t="s">
        <v>4173</v>
      </c>
      <c r="B1812" t="s">
        <v>5346</v>
      </c>
      <c r="D1812" t="b">
        <f>IFERROR(VLOOKUP(B1812,PatData!$A$2:$A$2000,1,),"")&lt;&gt;""</f>
        <v>0</v>
      </c>
      <c r="E1812">
        <v>0</v>
      </c>
      <c r="F1812" t="b">
        <v>0</v>
      </c>
      <c r="G1812" t="b">
        <v>0</v>
      </c>
      <c r="H1812" t="b">
        <v>0</v>
      </c>
      <c r="I1812" t="b">
        <v>0</v>
      </c>
    </row>
    <row r="1813" spans="1:9" x14ac:dyDescent="0.2">
      <c r="A1813" t="s">
        <v>4187</v>
      </c>
      <c r="B1813" t="s">
        <v>5347</v>
      </c>
      <c r="D1813" t="b">
        <f>IFERROR(VLOOKUP(B1813,PatData!$A$2:$A$2000,1,),"")&lt;&gt;""</f>
        <v>0</v>
      </c>
      <c r="E1813">
        <v>0</v>
      </c>
      <c r="F1813" t="b">
        <v>0</v>
      </c>
      <c r="G1813" t="b">
        <v>0</v>
      </c>
      <c r="H1813" t="b">
        <v>0</v>
      </c>
      <c r="I1813" t="b">
        <v>0</v>
      </c>
    </row>
    <row r="1814" spans="1:9" x14ac:dyDescent="0.2">
      <c r="A1814" t="s">
        <v>4188</v>
      </c>
      <c r="B1814" t="s">
        <v>5348</v>
      </c>
      <c r="D1814" t="b">
        <f>IFERROR(VLOOKUP(B1814,PatData!$A$2:$A$2000,1,),"")&lt;&gt;""</f>
        <v>0</v>
      </c>
      <c r="E1814">
        <v>0</v>
      </c>
      <c r="F1814" t="b">
        <v>0</v>
      </c>
      <c r="G1814" t="b">
        <v>0</v>
      </c>
      <c r="H1814" t="b">
        <v>0</v>
      </c>
      <c r="I1814" t="b">
        <v>0</v>
      </c>
    </row>
    <row r="1815" spans="1:9" x14ac:dyDescent="0.2">
      <c r="A1815" t="s">
        <v>4189</v>
      </c>
      <c r="B1815" t="s">
        <v>5349</v>
      </c>
      <c r="D1815" t="b">
        <f>IFERROR(VLOOKUP(B1815,PatData!$A$2:$A$2000,1,),"")&lt;&gt;""</f>
        <v>0</v>
      </c>
      <c r="E1815">
        <v>0</v>
      </c>
      <c r="F1815" t="b">
        <v>0</v>
      </c>
      <c r="G1815" t="b">
        <v>0</v>
      </c>
      <c r="H1815" t="b">
        <v>0</v>
      </c>
      <c r="I1815" t="b">
        <v>0</v>
      </c>
    </row>
    <row r="1816" spans="1:9" x14ac:dyDescent="0.2">
      <c r="A1816" t="s">
        <v>4190</v>
      </c>
      <c r="B1816" t="s">
        <v>5350</v>
      </c>
      <c r="D1816" t="b">
        <f>IFERROR(VLOOKUP(B1816,PatData!$A$2:$A$2000,1,),"")&lt;&gt;""</f>
        <v>0</v>
      </c>
      <c r="E1816">
        <v>0</v>
      </c>
      <c r="F1816" t="b">
        <v>0</v>
      </c>
      <c r="G1816" t="b">
        <v>0</v>
      </c>
      <c r="H1816" t="b">
        <v>0</v>
      </c>
      <c r="I1816" t="b">
        <v>0</v>
      </c>
    </row>
    <row r="1817" spans="1:9" x14ac:dyDescent="0.2">
      <c r="A1817" t="s">
        <v>4191</v>
      </c>
      <c r="B1817" t="s">
        <v>5351</v>
      </c>
      <c r="D1817" t="b">
        <f>IFERROR(VLOOKUP(B1817,PatData!$A$2:$A$2000,1,),"")&lt;&gt;""</f>
        <v>0</v>
      </c>
      <c r="E1817">
        <v>0</v>
      </c>
      <c r="F1817" t="b">
        <v>0</v>
      </c>
      <c r="G1817" t="b">
        <v>0</v>
      </c>
      <c r="H1817" t="b">
        <v>0</v>
      </c>
      <c r="I1817" t="b">
        <v>0</v>
      </c>
    </row>
    <row r="1818" spans="1:9" x14ac:dyDescent="0.2">
      <c r="A1818" t="s">
        <v>4192</v>
      </c>
      <c r="B1818" t="s">
        <v>5352</v>
      </c>
      <c r="D1818" t="b">
        <f>IFERROR(VLOOKUP(B1818,PatData!$A$2:$A$2000,1,),"")&lt;&gt;""</f>
        <v>0</v>
      </c>
      <c r="E1818">
        <v>0</v>
      </c>
      <c r="F1818" t="b">
        <v>0</v>
      </c>
      <c r="G1818" t="b">
        <v>0</v>
      </c>
      <c r="H1818" t="b">
        <v>0</v>
      </c>
      <c r="I1818" t="b">
        <v>0</v>
      </c>
    </row>
    <row r="1819" spans="1:9" x14ac:dyDescent="0.2">
      <c r="A1819" t="s">
        <v>4193</v>
      </c>
      <c r="B1819" t="s">
        <v>5353</v>
      </c>
      <c r="D1819" t="b">
        <f>IFERROR(VLOOKUP(B1819,PatData!$A$2:$A$2000,1,),"")&lt;&gt;""</f>
        <v>0</v>
      </c>
      <c r="E1819">
        <v>0</v>
      </c>
      <c r="F1819" t="b">
        <v>0</v>
      </c>
      <c r="G1819" t="b">
        <v>0</v>
      </c>
      <c r="H1819" t="b">
        <v>0</v>
      </c>
      <c r="I1819" t="b">
        <v>0</v>
      </c>
    </row>
    <row r="1820" spans="1:9" x14ac:dyDescent="0.2">
      <c r="A1820" t="s">
        <v>4194</v>
      </c>
      <c r="B1820" t="s">
        <v>5354</v>
      </c>
      <c r="D1820" t="b">
        <f>IFERROR(VLOOKUP(B1820,PatData!$A$2:$A$2000,1,),"")&lt;&gt;""</f>
        <v>0</v>
      </c>
      <c r="E1820">
        <v>0</v>
      </c>
      <c r="F1820" t="b">
        <v>0</v>
      </c>
      <c r="G1820" t="b">
        <v>0</v>
      </c>
      <c r="H1820" t="b">
        <v>0</v>
      </c>
      <c r="I1820" t="b">
        <v>0</v>
      </c>
    </row>
    <row r="1821" spans="1:9" x14ac:dyDescent="0.2">
      <c r="A1821" t="s">
        <v>4195</v>
      </c>
      <c r="B1821" t="s">
        <v>5355</v>
      </c>
      <c r="D1821" t="b">
        <f>IFERROR(VLOOKUP(B1821,PatData!$A$2:$A$2000,1,),"")&lt;&gt;""</f>
        <v>0</v>
      </c>
      <c r="E1821">
        <v>0</v>
      </c>
      <c r="F1821" t="b">
        <v>0</v>
      </c>
      <c r="G1821" t="b">
        <v>0</v>
      </c>
      <c r="H1821" t="b">
        <v>0</v>
      </c>
      <c r="I1821" t="b">
        <v>0</v>
      </c>
    </row>
    <row r="1822" spans="1:9" x14ac:dyDescent="0.2">
      <c r="A1822" t="s">
        <v>4196</v>
      </c>
      <c r="B1822" t="s">
        <v>5356</v>
      </c>
      <c r="D1822" t="b">
        <f>IFERROR(VLOOKUP(B1822,PatData!$A$2:$A$2000,1,),"")&lt;&gt;""</f>
        <v>0</v>
      </c>
      <c r="E1822">
        <v>0</v>
      </c>
      <c r="F1822" t="b">
        <v>0</v>
      </c>
      <c r="G1822" t="b">
        <v>0</v>
      </c>
      <c r="H1822" t="b">
        <v>0</v>
      </c>
      <c r="I1822" t="b">
        <v>0</v>
      </c>
    </row>
    <row r="1823" spans="1:9" x14ac:dyDescent="0.2">
      <c r="A1823" t="s">
        <v>4197</v>
      </c>
      <c r="B1823" t="s">
        <v>5357</v>
      </c>
      <c r="D1823" t="b">
        <f>IFERROR(VLOOKUP(B1823,PatData!$A$2:$A$2000,1,),"")&lt;&gt;""</f>
        <v>0</v>
      </c>
      <c r="E1823">
        <v>0</v>
      </c>
      <c r="F1823" t="b">
        <v>0</v>
      </c>
      <c r="G1823" t="b">
        <v>0</v>
      </c>
      <c r="H1823" t="b">
        <v>0</v>
      </c>
      <c r="I1823" t="b">
        <v>0</v>
      </c>
    </row>
    <row r="1824" spans="1:9" x14ac:dyDescent="0.2">
      <c r="A1824" t="s">
        <v>4198</v>
      </c>
      <c r="B1824" t="s">
        <v>5358</v>
      </c>
      <c r="D1824" t="b">
        <f>IFERROR(VLOOKUP(B1824,PatData!$A$2:$A$2000,1,),"")&lt;&gt;""</f>
        <v>0</v>
      </c>
      <c r="E1824">
        <v>0</v>
      </c>
      <c r="F1824" t="b">
        <v>0</v>
      </c>
      <c r="G1824" t="b">
        <v>0</v>
      </c>
      <c r="H1824" t="b">
        <v>0</v>
      </c>
      <c r="I1824" t="b">
        <v>0</v>
      </c>
    </row>
    <row r="1825" spans="1:9" x14ac:dyDescent="0.2">
      <c r="A1825" t="s">
        <v>4209</v>
      </c>
      <c r="B1825" t="s">
        <v>5359</v>
      </c>
      <c r="D1825" t="b">
        <f>IFERROR(VLOOKUP(B1825,PatData!$A$2:$A$2000,1,),"")&lt;&gt;""</f>
        <v>0</v>
      </c>
      <c r="E1825">
        <v>2</v>
      </c>
      <c r="F1825" t="b">
        <v>0</v>
      </c>
      <c r="G1825" t="b">
        <v>0</v>
      </c>
      <c r="H1825" t="b">
        <v>0</v>
      </c>
      <c r="I1825" t="b">
        <v>0</v>
      </c>
    </row>
    <row r="1826" spans="1:9" x14ac:dyDescent="0.2">
      <c r="A1826" t="s">
        <v>4210</v>
      </c>
      <c r="B1826" t="s">
        <v>5360</v>
      </c>
      <c r="D1826" t="b">
        <f>IFERROR(VLOOKUP(B1826,PatData!$A$2:$A$2000,1,),"")&lt;&gt;""</f>
        <v>0</v>
      </c>
      <c r="E1826">
        <v>0</v>
      </c>
      <c r="F1826" t="b">
        <v>0</v>
      </c>
      <c r="G1826" t="b">
        <v>0</v>
      </c>
      <c r="H1826" t="b">
        <v>0</v>
      </c>
      <c r="I1826" t="b">
        <v>0</v>
      </c>
    </row>
    <row r="1827" spans="1:9" x14ac:dyDescent="0.2">
      <c r="A1827" t="s">
        <v>4211</v>
      </c>
      <c r="B1827" t="s">
        <v>5361</v>
      </c>
      <c r="D1827" t="b">
        <f>IFERROR(VLOOKUP(B1827,PatData!$A$2:$A$2000,1,),"")&lt;&gt;""</f>
        <v>0</v>
      </c>
      <c r="E1827">
        <v>0</v>
      </c>
      <c r="F1827" t="b">
        <v>0</v>
      </c>
      <c r="G1827" t="b">
        <v>0</v>
      </c>
      <c r="H1827" t="b">
        <v>0</v>
      </c>
      <c r="I1827" t="b">
        <v>0</v>
      </c>
    </row>
    <row r="1828" spans="1:9" x14ac:dyDescent="0.2">
      <c r="A1828" t="s">
        <v>4212</v>
      </c>
      <c r="B1828" t="s">
        <v>5362</v>
      </c>
      <c r="D1828" t="b">
        <f>IFERROR(VLOOKUP(B1828,PatData!$A$2:$A$2000,1,),"")&lt;&gt;""</f>
        <v>0</v>
      </c>
      <c r="E1828">
        <v>0</v>
      </c>
      <c r="F1828" t="b">
        <v>0</v>
      </c>
      <c r="G1828" t="b">
        <v>0</v>
      </c>
      <c r="H1828" t="b">
        <v>0</v>
      </c>
      <c r="I1828" t="b">
        <v>0</v>
      </c>
    </row>
    <row r="1829" spans="1:9" x14ac:dyDescent="0.2">
      <c r="A1829" t="s">
        <v>4213</v>
      </c>
      <c r="B1829" t="s">
        <v>5363</v>
      </c>
      <c r="D1829" t="b">
        <f>IFERROR(VLOOKUP(B1829,PatData!$A$2:$A$2000,1,),"")&lt;&gt;""</f>
        <v>0</v>
      </c>
      <c r="E1829">
        <v>0</v>
      </c>
      <c r="F1829" t="b">
        <v>0</v>
      </c>
      <c r="G1829" t="b">
        <v>0</v>
      </c>
      <c r="H1829" t="b">
        <v>0</v>
      </c>
      <c r="I1829" t="b">
        <v>0</v>
      </c>
    </row>
    <row r="1830" spans="1:9" x14ac:dyDescent="0.2">
      <c r="A1830" t="s">
        <v>4214</v>
      </c>
      <c r="B1830" t="s">
        <v>5364</v>
      </c>
      <c r="D1830" t="b">
        <f>IFERROR(VLOOKUP(B1830,PatData!$A$2:$A$2000,1,),"")&lt;&gt;""</f>
        <v>0</v>
      </c>
      <c r="E1830">
        <v>0</v>
      </c>
      <c r="F1830" t="b">
        <v>0</v>
      </c>
      <c r="G1830" t="b">
        <v>0</v>
      </c>
      <c r="H1830" t="b">
        <v>0</v>
      </c>
      <c r="I1830" t="b">
        <v>0</v>
      </c>
    </row>
    <row r="1831" spans="1:9" x14ac:dyDescent="0.2">
      <c r="A1831" t="s">
        <v>4215</v>
      </c>
      <c r="B1831" t="s">
        <v>5365</v>
      </c>
      <c r="D1831" t="b">
        <f>IFERROR(VLOOKUP(B1831,PatData!$A$2:$A$2000,1,),"")&lt;&gt;""</f>
        <v>0</v>
      </c>
      <c r="E1831">
        <v>0</v>
      </c>
      <c r="F1831" t="b">
        <v>0</v>
      </c>
      <c r="G1831" t="b">
        <v>0</v>
      </c>
      <c r="H1831" t="b">
        <v>0</v>
      </c>
      <c r="I1831" t="b">
        <v>0</v>
      </c>
    </row>
    <row r="1832" spans="1:9" x14ac:dyDescent="0.2">
      <c r="A1832" t="s">
        <v>4216</v>
      </c>
      <c r="B1832" t="s">
        <v>5366</v>
      </c>
      <c r="D1832" t="b">
        <f>IFERROR(VLOOKUP(B1832,PatData!$A$2:$A$2000,1,),"")&lt;&gt;""</f>
        <v>0</v>
      </c>
      <c r="E1832">
        <v>0</v>
      </c>
      <c r="F1832" t="b">
        <v>0</v>
      </c>
      <c r="G1832" t="b">
        <v>0</v>
      </c>
      <c r="H1832" t="b">
        <v>0</v>
      </c>
      <c r="I1832" t="b">
        <v>0</v>
      </c>
    </row>
    <row r="1833" spans="1:9" x14ac:dyDescent="0.2">
      <c r="A1833" t="s">
        <v>4217</v>
      </c>
      <c r="B1833" t="s">
        <v>5367</v>
      </c>
      <c r="D1833" t="b">
        <f>IFERROR(VLOOKUP(B1833,PatData!$A$2:$A$2000,1,),"")&lt;&gt;""</f>
        <v>0</v>
      </c>
      <c r="E1833">
        <v>0</v>
      </c>
      <c r="F1833" t="b">
        <v>0</v>
      </c>
      <c r="G1833" t="b">
        <v>0</v>
      </c>
      <c r="H1833" t="b">
        <v>0</v>
      </c>
      <c r="I1833" t="b">
        <v>0</v>
      </c>
    </row>
    <row r="1834" spans="1:9" x14ac:dyDescent="0.2">
      <c r="A1834" t="s">
        <v>4218</v>
      </c>
      <c r="B1834" t="s">
        <v>5368</v>
      </c>
      <c r="D1834" t="b">
        <f>IFERROR(VLOOKUP(B1834,PatData!$A$2:$A$2000,1,),"")&lt;&gt;""</f>
        <v>0</v>
      </c>
      <c r="E1834">
        <v>0</v>
      </c>
      <c r="F1834" t="b">
        <v>0</v>
      </c>
      <c r="G1834" t="b">
        <v>0</v>
      </c>
      <c r="H1834" t="b">
        <v>0</v>
      </c>
      <c r="I1834" t="b">
        <v>0</v>
      </c>
    </row>
    <row r="1835" spans="1:9" x14ac:dyDescent="0.2">
      <c r="A1835" t="s">
        <v>4219</v>
      </c>
      <c r="B1835" t="s">
        <v>5369</v>
      </c>
      <c r="D1835" t="b">
        <f>IFERROR(VLOOKUP(B1835,PatData!$A$2:$A$2000,1,),"")&lt;&gt;""</f>
        <v>0</v>
      </c>
      <c r="E1835" t="b">
        <v>0</v>
      </c>
      <c r="F1835" t="b">
        <v>0</v>
      </c>
      <c r="G1835" t="b">
        <v>0</v>
      </c>
      <c r="H1835" t="b">
        <v>0</v>
      </c>
      <c r="I1835" t="b">
        <v>0</v>
      </c>
    </row>
    <row r="1836" spans="1:9" x14ac:dyDescent="0.2">
      <c r="A1836" t="s">
        <v>4220</v>
      </c>
      <c r="B1836" t="s">
        <v>5370</v>
      </c>
      <c r="D1836" t="b">
        <f>IFERROR(VLOOKUP(B1836,PatData!$A$2:$A$2000,1,),"")&lt;&gt;""</f>
        <v>0</v>
      </c>
      <c r="E1836" t="b">
        <v>0</v>
      </c>
      <c r="F1836" t="b">
        <v>0</v>
      </c>
      <c r="G1836" t="b">
        <v>0</v>
      </c>
      <c r="H1836" t="b">
        <v>0</v>
      </c>
      <c r="I1836" t="b">
        <v>0</v>
      </c>
    </row>
    <row r="1837" spans="1:9" x14ac:dyDescent="0.2">
      <c r="A1837" t="s">
        <v>4221</v>
      </c>
      <c r="B1837" t="s">
        <v>5371</v>
      </c>
      <c r="D1837" t="b">
        <f>IFERROR(VLOOKUP(B1837,PatData!$A$2:$A$2000,1,),"")&lt;&gt;""</f>
        <v>0</v>
      </c>
      <c r="E1837" t="b">
        <v>0</v>
      </c>
      <c r="F1837" t="b">
        <v>0</v>
      </c>
      <c r="G1837" t="b">
        <v>0</v>
      </c>
      <c r="H1837" t="b">
        <v>0</v>
      </c>
      <c r="I1837" t="b">
        <v>0</v>
      </c>
    </row>
    <row r="1838" spans="1:9" x14ac:dyDescent="0.2">
      <c r="A1838" t="s">
        <v>4222</v>
      </c>
      <c r="B1838" t="s">
        <v>5372</v>
      </c>
      <c r="D1838" t="b">
        <f>IFERROR(VLOOKUP(B1838,PatData!$A$2:$A$2000,1,),"")&lt;&gt;""</f>
        <v>0</v>
      </c>
      <c r="E1838" t="b">
        <v>0</v>
      </c>
      <c r="F1838" t="b">
        <v>0</v>
      </c>
      <c r="G1838" t="b">
        <v>0</v>
      </c>
      <c r="H1838" t="b">
        <v>0</v>
      </c>
      <c r="I1838" t="b">
        <v>0</v>
      </c>
    </row>
    <row r="1839" spans="1:9" x14ac:dyDescent="0.2">
      <c r="A1839" t="s">
        <v>4122</v>
      </c>
      <c r="B1839" t="s">
        <v>5373</v>
      </c>
      <c r="D1839" t="b">
        <f>IFERROR(VLOOKUP(B1839,PatData!$A$2:$A$2000,1,),"")&lt;&gt;""</f>
        <v>0</v>
      </c>
      <c r="E1839">
        <v>4</v>
      </c>
      <c r="F1839" t="b">
        <v>0</v>
      </c>
      <c r="G1839" t="b">
        <v>0</v>
      </c>
      <c r="H1839" t="b">
        <v>0</v>
      </c>
      <c r="I1839" t="b">
        <v>0</v>
      </c>
    </row>
    <row r="1840" spans="1:9" x14ac:dyDescent="0.2">
      <c r="A1840" t="s">
        <v>4123</v>
      </c>
      <c r="B1840" t="s">
        <v>5374</v>
      </c>
      <c r="D1840" t="b">
        <f>IFERROR(VLOOKUP(B1840,PatData!$A$2:$A$2000,1,),"")&lt;&gt;""</f>
        <v>0</v>
      </c>
      <c r="E1840">
        <v>2</v>
      </c>
      <c r="F1840" t="b">
        <v>0</v>
      </c>
      <c r="G1840" t="b">
        <v>0</v>
      </c>
      <c r="H1840" t="b">
        <v>0</v>
      </c>
      <c r="I1840" t="b">
        <v>0</v>
      </c>
    </row>
    <row r="1841" spans="1:9" x14ac:dyDescent="0.2">
      <c r="A1841" t="s">
        <v>4125</v>
      </c>
      <c r="B1841" t="s">
        <v>5375</v>
      </c>
      <c r="D1841" t="b">
        <f>IFERROR(VLOOKUP(B1841,PatData!$A$2:$A$2000,1,),"")&lt;&gt;""</f>
        <v>0</v>
      </c>
      <c r="E1841">
        <v>10</v>
      </c>
      <c r="F1841" t="b">
        <v>0</v>
      </c>
      <c r="G1841" t="b">
        <v>0</v>
      </c>
      <c r="H1841" t="b">
        <v>0</v>
      </c>
      <c r="I1841" t="b">
        <v>0</v>
      </c>
    </row>
    <row r="1842" spans="1:9" x14ac:dyDescent="0.2">
      <c r="A1842" t="s">
        <v>4126</v>
      </c>
      <c r="B1842" t="s">
        <v>5376</v>
      </c>
      <c r="D1842" t="b">
        <f>IFERROR(VLOOKUP(B1842,PatData!$A$2:$A$2000,1,),"")&lt;&gt;""</f>
        <v>0</v>
      </c>
      <c r="E1842">
        <v>20</v>
      </c>
      <c r="F1842" t="b">
        <v>0</v>
      </c>
      <c r="G1842" t="b">
        <v>0</v>
      </c>
      <c r="H1842" t="b">
        <v>0</v>
      </c>
      <c r="I1842" t="b">
        <v>0</v>
      </c>
    </row>
    <row r="1843" spans="1:9" x14ac:dyDescent="0.2">
      <c r="A1843" t="s">
        <v>4175</v>
      </c>
      <c r="B1843" t="s">
        <v>5377</v>
      </c>
      <c r="D1843" t="b">
        <f>IFERROR(VLOOKUP(B1843,PatData!$A$2:$A$2000,1,),"")&lt;&gt;""</f>
        <v>0</v>
      </c>
      <c r="E1843">
        <v>2</v>
      </c>
      <c r="F1843" t="b">
        <v>0</v>
      </c>
      <c r="G1843" t="b">
        <v>0</v>
      </c>
      <c r="H1843" t="b">
        <v>0</v>
      </c>
      <c r="I1843" t="b">
        <v>0</v>
      </c>
    </row>
    <row r="1844" spans="1:9" x14ac:dyDescent="0.2">
      <c r="A1844" t="s">
        <v>4176</v>
      </c>
      <c r="B1844" t="s">
        <v>5378</v>
      </c>
      <c r="D1844" t="b">
        <f>IFERROR(VLOOKUP(B1844,PatData!$A$2:$A$2000,1,),"")&lt;&gt;""</f>
        <v>0</v>
      </c>
      <c r="E1844">
        <v>1</v>
      </c>
      <c r="F1844" t="b">
        <v>0</v>
      </c>
      <c r="G1844" t="b">
        <v>0</v>
      </c>
      <c r="H1844" t="b">
        <v>0</v>
      </c>
      <c r="I1844" t="b">
        <v>0</v>
      </c>
    </row>
    <row r="1845" spans="1:9" x14ac:dyDescent="0.2">
      <c r="A1845" t="s">
        <v>4177</v>
      </c>
      <c r="B1845" t="s">
        <v>5379</v>
      </c>
      <c r="D1845" t="b">
        <f>IFERROR(VLOOKUP(B1845,PatData!$A$2:$A$2000,1,),"")&lt;&gt;""</f>
        <v>0</v>
      </c>
      <c r="E1845">
        <v>1</v>
      </c>
      <c r="F1845" t="b">
        <v>0</v>
      </c>
      <c r="G1845" t="b">
        <v>0</v>
      </c>
      <c r="H1845" t="b">
        <v>0</v>
      </c>
      <c r="I1845" t="b">
        <v>0</v>
      </c>
    </row>
    <row r="1846" spans="1:9" x14ac:dyDescent="0.2">
      <c r="A1846" t="s">
        <v>4178</v>
      </c>
      <c r="B1846" t="s">
        <v>5380</v>
      </c>
      <c r="D1846" t="b">
        <f>IFERROR(VLOOKUP(B1846,PatData!$A$2:$A$2000,1,),"")&lt;&gt;""</f>
        <v>0</v>
      </c>
      <c r="E1846">
        <v>1</v>
      </c>
      <c r="F1846" t="b">
        <v>0</v>
      </c>
      <c r="G1846" t="b">
        <v>0</v>
      </c>
      <c r="H1846" t="b">
        <v>0</v>
      </c>
      <c r="I1846" t="b">
        <v>0</v>
      </c>
    </row>
    <row r="1847" spans="1:9" x14ac:dyDescent="0.2">
      <c r="A1847" t="s">
        <v>4179</v>
      </c>
      <c r="B1847" t="s">
        <v>5381</v>
      </c>
      <c r="D1847" t="b">
        <f>IFERROR(VLOOKUP(B1847,PatData!$A$2:$A$2000,1,),"")&lt;&gt;""</f>
        <v>0</v>
      </c>
      <c r="E1847">
        <v>1</v>
      </c>
      <c r="F1847" t="b">
        <v>0</v>
      </c>
      <c r="G1847" t="b">
        <v>0</v>
      </c>
      <c r="H1847" t="b">
        <v>0</v>
      </c>
      <c r="I1847" t="b">
        <v>0</v>
      </c>
    </row>
    <row r="1848" spans="1:9" x14ac:dyDescent="0.2">
      <c r="A1848" t="s">
        <v>4180</v>
      </c>
      <c r="B1848" t="s">
        <v>5382</v>
      </c>
      <c r="D1848" t="b">
        <f>IFERROR(VLOOKUP(B1848,PatData!$A$2:$A$2000,1,),"")&lt;&gt;""</f>
        <v>0</v>
      </c>
      <c r="E1848">
        <v>1</v>
      </c>
      <c r="F1848" t="b">
        <v>0</v>
      </c>
      <c r="G1848" t="b">
        <v>0</v>
      </c>
      <c r="H1848" t="b">
        <v>0</v>
      </c>
      <c r="I1848" t="b">
        <v>0</v>
      </c>
    </row>
    <row r="1849" spans="1:9" x14ac:dyDescent="0.2">
      <c r="A1849" t="s">
        <v>4181</v>
      </c>
      <c r="B1849" t="s">
        <v>5383</v>
      </c>
      <c r="D1849" t="b">
        <f>IFERROR(VLOOKUP(B1849,PatData!$A$2:$A$2000,1,),"")&lt;&gt;""</f>
        <v>0</v>
      </c>
      <c r="E1849">
        <v>1</v>
      </c>
      <c r="F1849" t="b">
        <v>0</v>
      </c>
      <c r="G1849" t="b">
        <v>0</v>
      </c>
      <c r="H1849" t="b">
        <v>0</v>
      </c>
      <c r="I1849" t="b">
        <v>0</v>
      </c>
    </row>
    <row r="1850" spans="1:9" x14ac:dyDescent="0.2">
      <c r="A1850" t="s">
        <v>4182</v>
      </c>
      <c r="B1850" t="s">
        <v>5384</v>
      </c>
      <c r="D1850" t="b">
        <f>IFERROR(VLOOKUP(B1850,PatData!$A$2:$A$2000,1,),"")&lt;&gt;""</f>
        <v>0</v>
      </c>
      <c r="E1850">
        <v>1</v>
      </c>
      <c r="F1850" t="b">
        <v>0</v>
      </c>
      <c r="G1850" t="b">
        <v>0</v>
      </c>
      <c r="H1850" t="b">
        <v>0</v>
      </c>
      <c r="I1850" t="b">
        <v>0</v>
      </c>
    </row>
    <row r="1851" spans="1:9" x14ac:dyDescent="0.2">
      <c r="A1851" t="s">
        <v>4183</v>
      </c>
      <c r="B1851" t="s">
        <v>5385</v>
      </c>
      <c r="D1851" t="b">
        <f>IFERROR(VLOOKUP(B1851,PatData!$A$2:$A$2000,1,),"")&lt;&gt;""</f>
        <v>0</v>
      </c>
      <c r="E1851">
        <v>1</v>
      </c>
      <c r="F1851" t="b">
        <v>0</v>
      </c>
      <c r="G1851" t="b">
        <v>0</v>
      </c>
      <c r="H1851" t="b">
        <v>0</v>
      </c>
      <c r="I1851" t="b">
        <v>0</v>
      </c>
    </row>
    <row r="1852" spans="1:9" x14ac:dyDescent="0.2">
      <c r="A1852" t="s">
        <v>4199</v>
      </c>
      <c r="B1852" t="s">
        <v>5386</v>
      </c>
      <c r="D1852" t="b">
        <f>IFERROR(VLOOKUP(B1852,PatData!$A$2:$A$2000,1,),"")&lt;&gt;""</f>
        <v>0</v>
      </c>
      <c r="E1852">
        <v>1</v>
      </c>
      <c r="F1852" t="b">
        <v>0</v>
      </c>
      <c r="G1852" t="b">
        <v>0</v>
      </c>
      <c r="H1852" t="b">
        <v>0</v>
      </c>
      <c r="I1852" t="b">
        <v>0</v>
      </c>
    </row>
    <row r="1853" spans="1:9" x14ac:dyDescent="0.2">
      <c r="A1853" t="s">
        <v>4200</v>
      </c>
      <c r="B1853" t="s">
        <v>5387</v>
      </c>
      <c r="D1853" t="b">
        <f>IFERROR(VLOOKUP(B1853,PatData!$A$2:$A$2000,1,),"")&lt;&gt;""</f>
        <v>0</v>
      </c>
      <c r="E1853">
        <v>1</v>
      </c>
      <c r="F1853" t="b">
        <v>0</v>
      </c>
      <c r="G1853" t="b">
        <v>0</v>
      </c>
      <c r="H1853" t="b">
        <v>0</v>
      </c>
      <c r="I1853" t="b">
        <v>0</v>
      </c>
    </row>
    <row r="1854" spans="1:9" x14ac:dyDescent="0.2">
      <c r="A1854" t="s">
        <v>4201</v>
      </c>
      <c r="B1854" t="s">
        <v>5388</v>
      </c>
      <c r="D1854" t="b">
        <f>IFERROR(VLOOKUP(B1854,PatData!$A$2:$A$2000,1,),"")&lt;&gt;""</f>
        <v>0</v>
      </c>
      <c r="E1854">
        <v>1</v>
      </c>
      <c r="F1854" t="b">
        <v>0</v>
      </c>
      <c r="G1854" t="b">
        <v>0</v>
      </c>
      <c r="H1854" t="b">
        <v>0</v>
      </c>
      <c r="I1854" t="b">
        <v>0</v>
      </c>
    </row>
    <row r="1855" spans="1:9" x14ac:dyDescent="0.2">
      <c r="A1855" t="s">
        <v>4202</v>
      </c>
      <c r="B1855" t="s">
        <v>5389</v>
      </c>
      <c r="D1855" t="b">
        <f>IFERROR(VLOOKUP(B1855,PatData!$A$2:$A$2000,1,),"")&lt;&gt;""</f>
        <v>0</v>
      </c>
      <c r="E1855">
        <v>1</v>
      </c>
      <c r="F1855" t="b">
        <v>0</v>
      </c>
      <c r="G1855" t="b">
        <v>0</v>
      </c>
      <c r="H1855" t="b">
        <v>0</v>
      </c>
      <c r="I1855" t="b">
        <v>0</v>
      </c>
    </row>
    <row r="1856" spans="1:9" x14ac:dyDescent="0.2">
      <c r="A1856" t="s">
        <v>4203</v>
      </c>
      <c r="B1856" t="s">
        <v>5390</v>
      </c>
      <c r="D1856" t="b">
        <f>IFERROR(VLOOKUP(B1856,PatData!$A$2:$A$2000,1,),"")&lt;&gt;""</f>
        <v>0</v>
      </c>
      <c r="E1856">
        <v>1</v>
      </c>
      <c r="F1856" t="b">
        <v>0</v>
      </c>
      <c r="G1856" t="b">
        <v>0</v>
      </c>
      <c r="H1856" t="b">
        <v>0</v>
      </c>
      <c r="I1856" t="b">
        <v>0</v>
      </c>
    </row>
    <row r="1857" spans="1:9" x14ac:dyDescent="0.2">
      <c r="A1857" t="s">
        <v>4204</v>
      </c>
      <c r="B1857" t="s">
        <v>5391</v>
      </c>
      <c r="D1857" t="b">
        <f>IFERROR(VLOOKUP(B1857,PatData!$A$2:$A$2000,1,),"")&lt;&gt;""</f>
        <v>0</v>
      </c>
      <c r="E1857">
        <v>1</v>
      </c>
      <c r="F1857" t="b">
        <v>0</v>
      </c>
      <c r="G1857" t="b">
        <v>0</v>
      </c>
      <c r="H1857" t="b">
        <v>0</v>
      </c>
      <c r="I1857" t="b">
        <v>0</v>
      </c>
    </row>
    <row r="1858" spans="1:9" x14ac:dyDescent="0.2">
      <c r="A1858" t="s">
        <v>4205</v>
      </c>
      <c r="B1858" t="s">
        <v>5392</v>
      </c>
      <c r="D1858" t="b">
        <f>IFERROR(VLOOKUP(B1858,PatData!$A$2:$A$2000,1,),"")&lt;&gt;""</f>
        <v>0</v>
      </c>
      <c r="E1858">
        <v>1</v>
      </c>
      <c r="F1858" t="b">
        <v>0</v>
      </c>
      <c r="G1858" t="b">
        <v>0</v>
      </c>
      <c r="H1858" t="b">
        <v>0</v>
      </c>
      <c r="I1858" t="b">
        <v>0</v>
      </c>
    </row>
    <row r="1859" spans="1:9" x14ac:dyDescent="0.2">
      <c r="A1859" t="s">
        <v>4206</v>
      </c>
      <c r="B1859" t="s">
        <v>5393</v>
      </c>
      <c r="D1859" t="b">
        <f>IFERROR(VLOOKUP(B1859,PatData!$A$2:$A$2000,1,),"")&lt;&gt;""</f>
        <v>0</v>
      </c>
      <c r="E1859">
        <v>1</v>
      </c>
      <c r="F1859" t="b">
        <v>0</v>
      </c>
      <c r="G1859" t="b">
        <v>0</v>
      </c>
      <c r="H1859" t="b">
        <v>0</v>
      </c>
      <c r="I1859" t="b">
        <v>0</v>
      </c>
    </row>
    <row r="1860" spans="1:9" x14ac:dyDescent="0.2">
      <c r="A1860" t="s">
        <v>4223</v>
      </c>
      <c r="B1860" t="s">
        <v>5394</v>
      </c>
      <c r="D1860" t="b">
        <f>IFERROR(VLOOKUP(B1860,PatData!$A$2:$A$2000,1,),"")&lt;&gt;""</f>
        <v>0</v>
      </c>
      <c r="E1860">
        <v>7</v>
      </c>
      <c r="F1860" t="b">
        <v>0</v>
      </c>
      <c r="G1860" t="b">
        <v>0</v>
      </c>
      <c r="H1860" t="b">
        <v>0</v>
      </c>
      <c r="I1860" t="b">
        <v>0</v>
      </c>
    </row>
    <row r="1861" spans="1:9" x14ac:dyDescent="0.2">
      <c r="A1861" t="s">
        <v>4207</v>
      </c>
      <c r="B1861" t="s">
        <v>5395</v>
      </c>
      <c r="D1861" t="b">
        <f>IFERROR(VLOOKUP(B1861,PatData!$A$2:$A$2000,1,),"")&lt;&gt;""</f>
        <v>0</v>
      </c>
      <c r="E1861">
        <v>5000</v>
      </c>
      <c r="F1861" t="b">
        <v>0</v>
      </c>
      <c r="G1861" t="b">
        <v>0</v>
      </c>
      <c r="H1861" t="b">
        <v>0</v>
      </c>
      <c r="I1861" t="b">
        <v>0</v>
      </c>
    </row>
    <row r="1862" spans="1:9" x14ac:dyDescent="0.2">
      <c r="A1862" t="s">
        <v>4120</v>
      </c>
      <c r="B1862" t="s">
        <v>5396</v>
      </c>
      <c r="D1862" t="b">
        <f>IFERROR(VLOOKUP(B1862,PatData!$A$2:$A$2000,1,),"")&lt;&gt;""</f>
        <v>0</v>
      </c>
      <c r="E1862">
        <v>1</v>
      </c>
      <c r="F1862" t="b">
        <v>0</v>
      </c>
      <c r="G1862" t="b">
        <v>0</v>
      </c>
      <c r="H1862" t="b">
        <v>0</v>
      </c>
      <c r="I1862" t="b">
        <v>0</v>
      </c>
    </row>
    <row r="1863" spans="1:9" x14ac:dyDescent="0.2">
      <c r="A1863" t="s">
        <v>4121</v>
      </c>
      <c r="B1863" t="s">
        <v>5397</v>
      </c>
      <c r="D1863" t="b">
        <f>IFERROR(VLOOKUP(B1863,PatData!$A$2:$A$2000,1,),"")&lt;&gt;""</f>
        <v>0</v>
      </c>
      <c r="E1863">
        <v>1</v>
      </c>
      <c r="F1863" t="b">
        <v>0</v>
      </c>
      <c r="G1863" t="b">
        <v>0</v>
      </c>
      <c r="H1863" t="b">
        <v>0</v>
      </c>
      <c r="I1863" t="b">
        <v>0</v>
      </c>
    </row>
    <row r="1864" spans="1:9" x14ac:dyDescent="0.2">
      <c r="A1864" t="s">
        <v>4124</v>
      </c>
      <c r="B1864" t="s">
        <v>5398</v>
      </c>
      <c r="D1864" t="b">
        <f>IFERROR(VLOOKUP(B1864,PatData!$A$2:$A$2000,1,),"")&lt;&gt;""</f>
        <v>0</v>
      </c>
      <c r="E1864">
        <v>2</v>
      </c>
      <c r="F1864" t="b">
        <v>0</v>
      </c>
      <c r="G1864" t="b">
        <v>0</v>
      </c>
      <c r="H1864" t="b">
        <v>0</v>
      </c>
      <c r="I1864" t="b">
        <v>0</v>
      </c>
    </row>
    <row r="1865" spans="1:9" x14ac:dyDescent="0.2">
      <c r="A1865" t="s">
        <v>4127</v>
      </c>
      <c r="B1865" t="s">
        <v>5399</v>
      </c>
      <c r="D1865" t="b">
        <f>IFERROR(VLOOKUP(B1865,PatData!$A$2:$A$2000,1,),"")&lt;&gt;""</f>
        <v>0</v>
      </c>
      <c r="E1865">
        <v>5015</v>
      </c>
      <c r="F1865" t="b">
        <v>0</v>
      </c>
      <c r="G1865" t="b">
        <v>0</v>
      </c>
      <c r="H1865" t="b">
        <v>0</v>
      </c>
      <c r="I1865" t="b">
        <v>0</v>
      </c>
    </row>
    <row r="1866" spans="1:9" x14ac:dyDescent="0.2">
      <c r="A1866" t="s">
        <v>4128</v>
      </c>
      <c r="B1866" t="s">
        <v>5400</v>
      </c>
      <c r="D1866" t="b">
        <f>IFERROR(VLOOKUP(B1866,PatData!$A$2:$A$2000,1,),"")&lt;&gt;""</f>
        <v>0</v>
      </c>
      <c r="E1866">
        <v>5000</v>
      </c>
      <c r="F1866" t="b">
        <v>0</v>
      </c>
      <c r="G1866" t="b">
        <v>0</v>
      </c>
      <c r="H1866" t="b">
        <v>0</v>
      </c>
      <c r="I1866" t="b">
        <v>0</v>
      </c>
    </row>
    <row r="1867" spans="1:9" x14ac:dyDescent="0.2">
      <c r="A1867" t="s">
        <v>4129</v>
      </c>
      <c r="B1867" t="s">
        <v>5401</v>
      </c>
      <c r="D1867" t="b">
        <f>IFERROR(VLOOKUP(B1867,PatData!$A$2:$A$2000,1,),"")&lt;&gt;""</f>
        <v>0</v>
      </c>
      <c r="E1867">
        <v>1</v>
      </c>
      <c r="F1867" t="b">
        <v>0</v>
      </c>
      <c r="G1867" t="b">
        <v>0</v>
      </c>
      <c r="H1867" t="b">
        <v>0</v>
      </c>
      <c r="I1867" t="b">
        <v>0</v>
      </c>
    </row>
    <row r="1868" spans="1:9" x14ac:dyDescent="0.2">
      <c r="A1868" t="s">
        <v>4130</v>
      </c>
      <c r="B1868" t="s">
        <v>5402</v>
      </c>
      <c r="D1868" t="b">
        <f>IFERROR(VLOOKUP(B1868,PatData!$A$2:$A$2000,1,),"")&lt;&gt;""</f>
        <v>0</v>
      </c>
      <c r="E1868">
        <v>5000</v>
      </c>
      <c r="F1868" t="b">
        <v>0</v>
      </c>
      <c r="G1868" t="b">
        <v>0</v>
      </c>
      <c r="H1868" t="b">
        <v>0</v>
      </c>
      <c r="I1868" t="b">
        <v>0</v>
      </c>
    </row>
    <row r="1869" spans="1:9" x14ac:dyDescent="0.2">
      <c r="A1869" t="s">
        <v>4151</v>
      </c>
      <c r="B1869" t="s">
        <v>5403</v>
      </c>
      <c r="D1869" t="b">
        <f>IFERROR(VLOOKUP(B1869,PatData!$A$2:$A$2000,1,),"")&lt;&gt;""</f>
        <v>0</v>
      </c>
      <c r="E1869">
        <v>5000</v>
      </c>
      <c r="F1869" t="b">
        <v>0</v>
      </c>
      <c r="G1869" t="b">
        <v>0</v>
      </c>
      <c r="H1869" t="b">
        <v>0</v>
      </c>
      <c r="I1869" t="b">
        <v>0</v>
      </c>
    </row>
    <row r="1870" spans="1:9" x14ac:dyDescent="0.2">
      <c r="A1870" t="s">
        <v>4208</v>
      </c>
      <c r="B1870" t="s">
        <v>5404</v>
      </c>
      <c r="D1870" t="b">
        <f>IFERROR(VLOOKUP(B1870,PatData!$A$2:$A$2000,1,),"")&lt;&gt;""</f>
        <v>0</v>
      </c>
      <c r="E1870">
        <v>5000</v>
      </c>
      <c r="F1870" t="b">
        <v>0</v>
      </c>
      <c r="G1870" t="b">
        <v>0</v>
      </c>
      <c r="H1870" t="b">
        <v>0</v>
      </c>
      <c r="I1870" t="b">
        <v>0</v>
      </c>
    </row>
    <row r="1871" spans="1:9" x14ac:dyDescent="0.2">
      <c r="A1871" t="s">
        <v>4152</v>
      </c>
      <c r="B1871" t="s">
        <v>5405</v>
      </c>
      <c r="D1871" t="b">
        <f>IFERROR(VLOOKUP(B1871,PatData!$A$2:$A$2000,1,),"")&lt;&gt;""</f>
        <v>0</v>
      </c>
      <c r="E1871">
        <v>5000</v>
      </c>
      <c r="F1871" t="b">
        <v>0</v>
      </c>
      <c r="G1871" t="b">
        <v>0</v>
      </c>
      <c r="H1871" t="b">
        <v>0</v>
      </c>
      <c r="I1871" t="b">
        <v>0</v>
      </c>
    </row>
    <row r="1872" spans="1:9" x14ac:dyDescent="0.2">
      <c r="A1872" t="s">
        <v>4174</v>
      </c>
      <c r="B1872" t="s">
        <v>5406</v>
      </c>
      <c r="D1872" t="b">
        <f>IFERROR(VLOOKUP(B1872,PatData!$A$2:$A$2000,1,),"")&lt;&gt;""</f>
        <v>0</v>
      </c>
      <c r="E1872" t="b">
        <v>0</v>
      </c>
      <c r="F1872" t="b">
        <v>0</v>
      </c>
      <c r="G1872" t="b">
        <v>0</v>
      </c>
      <c r="H1872" t="b">
        <v>0</v>
      </c>
      <c r="I1872" t="b">
        <v>0</v>
      </c>
    </row>
    <row r="1873" spans="1:9" x14ac:dyDescent="0.2">
      <c r="A1873" t="s">
        <v>4184</v>
      </c>
      <c r="B1873" t="s">
        <v>5407</v>
      </c>
      <c r="D1873" t="b">
        <f>IFERROR(VLOOKUP(B1873,PatData!$A$2:$A$2000,1,),"")&lt;&gt;""</f>
        <v>0</v>
      </c>
      <c r="E1873">
        <v>5000</v>
      </c>
      <c r="F1873" t="b">
        <v>0</v>
      </c>
      <c r="G1873" t="b">
        <v>0</v>
      </c>
      <c r="H1873" t="b">
        <v>0</v>
      </c>
      <c r="I1873" t="b">
        <v>0</v>
      </c>
    </row>
    <row r="1874" spans="1:9" x14ac:dyDescent="0.2">
      <c r="A1874" t="s">
        <v>4185</v>
      </c>
      <c r="B1874" t="s">
        <v>5408</v>
      </c>
      <c r="D1874" t="b">
        <f>IFERROR(VLOOKUP(B1874,PatData!$A$2:$A$2000,1,),"")&lt;&gt;""</f>
        <v>0</v>
      </c>
      <c r="E1874">
        <v>5000</v>
      </c>
      <c r="F1874" t="b">
        <v>0</v>
      </c>
      <c r="G1874" t="b">
        <v>0</v>
      </c>
      <c r="H1874" t="b">
        <v>0</v>
      </c>
      <c r="I1874" t="b">
        <v>0</v>
      </c>
    </row>
    <row r="1875" spans="1:9" x14ac:dyDescent="0.2">
      <c r="A1875" t="s">
        <v>4186</v>
      </c>
      <c r="B1875" t="s">
        <v>5409</v>
      </c>
      <c r="D1875" t="b">
        <f>IFERROR(VLOOKUP(B1875,PatData!$A$2:$A$2000,1,),"")&lt;&gt;""</f>
        <v>0</v>
      </c>
      <c r="E1875">
        <v>5000</v>
      </c>
      <c r="F1875" t="b">
        <v>0</v>
      </c>
      <c r="G1875" t="b">
        <v>0</v>
      </c>
      <c r="H1875" t="b">
        <v>0</v>
      </c>
      <c r="I1875" t="b">
        <v>0</v>
      </c>
    </row>
    <row r="1876" spans="1:9" x14ac:dyDescent="0.2">
      <c r="A1876" t="s">
        <v>4374</v>
      </c>
      <c r="B1876" t="s">
        <v>2211</v>
      </c>
      <c r="D1876" t="b">
        <f>IFERROR(VLOOKUP(B1876,PatData!$A$2:$A$2000,1,),"")&lt;&gt;""</f>
        <v>0</v>
      </c>
      <c r="E1876" t="s">
        <v>4375</v>
      </c>
      <c r="F1876" t="b">
        <v>1</v>
      </c>
      <c r="G1876" t="b">
        <v>0</v>
      </c>
      <c r="H1876" t="b">
        <v>0</v>
      </c>
      <c r="I1876" t="b">
        <v>0</v>
      </c>
    </row>
    <row r="1877" spans="1:9" x14ac:dyDescent="0.2">
      <c r="A1877" t="s">
        <v>4376</v>
      </c>
      <c r="B1877" t="s">
        <v>2212</v>
      </c>
      <c r="D1877" t="b">
        <f>IFERROR(VLOOKUP(B1877,PatData!$A$2:$A$2000,1,),"")&lt;&gt;""</f>
        <v>0</v>
      </c>
      <c r="E1877" t="s">
        <v>4377</v>
      </c>
      <c r="F1877" t="b">
        <v>1</v>
      </c>
      <c r="G1877" t="b">
        <v>0</v>
      </c>
      <c r="H1877" t="b">
        <v>0</v>
      </c>
      <c r="I1877" t="b">
        <v>0</v>
      </c>
    </row>
    <row r="1878" spans="1:9" x14ac:dyDescent="0.2">
      <c r="A1878" t="s">
        <v>4378</v>
      </c>
      <c r="B1878" t="s">
        <v>2213</v>
      </c>
      <c r="D1878" t="b">
        <f>IFERROR(VLOOKUP(B1878,PatData!$A$2:$A$2000,1,),"")&lt;&gt;""</f>
        <v>0</v>
      </c>
      <c r="E1878" t="s">
        <v>4379</v>
      </c>
      <c r="F1878" t="b">
        <v>1</v>
      </c>
      <c r="G1878" t="b">
        <v>0</v>
      </c>
      <c r="H1878" t="b">
        <v>0</v>
      </c>
      <c r="I1878" t="b">
        <v>0</v>
      </c>
    </row>
    <row r="1879" spans="1:9" x14ac:dyDescent="0.2">
      <c r="A1879" t="s">
        <v>4380</v>
      </c>
      <c r="B1879" t="s">
        <v>2214</v>
      </c>
      <c r="D1879" t="b">
        <f>IFERROR(VLOOKUP(B1879,PatData!$A$2:$A$2000,1,),"")&lt;&gt;""</f>
        <v>0</v>
      </c>
      <c r="E1879" t="s">
        <v>4381</v>
      </c>
      <c r="F1879" t="b">
        <v>1</v>
      </c>
      <c r="G1879" t="b">
        <v>0</v>
      </c>
      <c r="H1879" t="b">
        <v>0</v>
      </c>
      <c r="I1879" t="b">
        <v>0</v>
      </c>
    </row>
    <row r="1880" spans="1:9" x14ac:dyDescent="0.2">
      <c r="A1880" t="s">
        <v>4382</v>
      </c>
      <c r="B1880" t="s">
        <v>2215</v>
      </c>
      <c r="D1880" t="b">
        <f>IFERROR(VLOOKUP(B1880,PatData!$A$2:$A$2000,1,),"")&lt;&gt;""</f>
        <v>0</v>
      </c>
      <c r="E1880" t="s">
        <v>4383</v>
      </c>
      <c r="F1880" t="b">
        <v>1</v>
      </c>
      <c r="G1880" t="b">
        <v>0</v>
      </c>
      <c r="H1880" t="b">
        <v>0</v>
      </c>
      <c r="I1880" t="b">
        <v>0</v>
      </c>
    </row>
    <row r="1881" spans="1:9" x14ac:dyDescent="0.2">
      <c r="A1881" t="s">
        <v>4384</v>
      </c>
      <c r="B1881" t="s">
        <v>2216</v>
      </c>
      <c r="D1881" t="b">
        <f>IFERROR(VLOOKUP(B1881,PatData!$A$2:$A$2000,1,),"")&lt;&gt;""</f>
        <v>0</v>
      </c>
      <c r="E1881" t="s">
        <v>4385</v>
      </c>
      <c r="F1881" t="b">
        <v>1</v>
      </c>
      <c r="G1881" t="b">
        <v>0</v>
      </c>
      <c r="H1881" t="b">
        <v>0</v>
      </c>
      <c r="I1881" t="b">
        <v>0</v>
      </c>
    </row>
    <row r="1882" spans="1:9" x14ac:dyDescent="0.2">
      <c r="A1882" t="s">
        <v>4386</v>
      </c>
      <c r="B1882" t="s">
        <v>2217</v>
      </c>
      <c r="D1882" t="b">
        <f>IFERROR(VLOOKUP(B1882,PatData!$A$2:$A$2000,1,),"")&lt;&gt;""</f>
        <v>0</v>
      </c>
      <c r="E1882" t="s">
        <v>4387</v>
      </c>
      <c r="F1882" t="b">
        <v>1</v>
      </c>
      <c r="G1882" t="b">
        <v>0</v>
      </c>
      <c r="H1882" t="b">
        <v>0</v>
      </c>
      <c r="I1882" t="b">
        <v>0</v>
      </c>
    </row>
    <row r="1883" spans="1:9" x14ac:dyDescent="0.2">
      <c r="A1883" t="s">
        <v>4388</v>
      </c>
      <c r="B1883" t="s">
        <v>2218</v>
      </c>
      <c r="D1883" t="b">
        <f>IFERROR(VLOOKUP(B1883,PatData!$A$2:$A$2000,1,),"")&lt;&gt;""</f>
        <v>0</v>
      </c>
      <c r="E1883" t="s">
        <v>4389</v>
      </c>
      <c r="F1883" t="b">
        <v>1</v>
      </c>
      <c r="G1883" t="b">
        <v>0</v>
      </c>
      <c r="H1883" t="b">
        <v>0</v>
      </c>
      <c r="I1883" t="b">
        <v>0</v>
      </c>
    </row>
    <row r="1884" spans="1:9" x14ac:dyDescent="0.2">
      <c r="A1884" t="s">
        <v>4390</v>
      </c>
      <c r="B1884" t="s">
        <v>2219</v>
      </c>
      <c r="D1884" t="b">
        <f>IFERROR(VLOOKUP(B1884,PatData!$A$2:$A$2000,1,),"")&lt;&gt;""</f>
        <v>0</v>
      </c>
      <c r="E1884" t="s">
        <v>4391</v>
      </c>
      <c r="F1884" t="b">
        <v>1</v>
      </c>
      <c r="G1884" t="b">
        <v>0</v>
      </c>
      <c r="H1884" t="b">
        <v>0</v>
      </c>
      <c r="I1884" t="b">
        <v>0</v>
      </c>
    </row>
    <row r="1885" spans="1:9" x14ac:dyDescent="0.2">
      <c r="A1885" t="s">
        <v>4731</v>
      </c>
      <c r="B1885" t="s">
        <v>4732</v>
      </c>
      <c r="D1885" t="b">
        <f>IFERROR(VLOOKUP(B1885,PatData!$A$2:$A$2000,1,),"")&lt;&gt;""</f>
        <v>0</v>
      </c>
      <c r="E1885" t="s">
        <v>4733</v>
      </c>
      <c r="F1885" t="b">
        <v>1</v>
      </c>
      <c r="G1885" t="b">
        <v>0</v>
      </c>
      <c r="H1885" t="b">
        <v>0</v>
      </c>
      <c r="I1885" t="b">
        <v>0</v>
      </c>
    </row>
    <row r="1886" spans="1:9" x14ac:dyDescent="0.2">
      <c r="A1886" t="s">
        <v>4402</v>
      </c>
      <c r="B1886" t="s">
        <v>2223</v>
      </c>
      <c r="D1886" t="b">
        <f>IFERROR(VLOOKUP(B1886,PatData!$A$2:$A$2000,1,),"")&lt;&gt;""</f>
        <v>0</v>
      </c>
      <c r="E1886" t="s">
        <v>3627</v>
      </c>
      <c r="F1886" t="b">
        <v>1</v>
      </c>
      <c r="G1886" t="b">
        <v>0</v>
      </c>
      <c r="H1886" t="b">
        <v>0</v>
      </c>
      <c r="I1886" t="b">
        <v>0</v>
      </c>
    </row>
    <row r="1887" spans="1:9" x14ac:dyDescent="0.2">
      <c r="A1887" t="s">
        <v>4403</v>
      </c>
      <c r="B1887" t="s">
        <v>2224</v>
      </c>
      <c r="D1887" t="b">
        <f>IFERROR(VLOOKUP(B1887,PatData!$A$2:$A$2000,1,),"")&lt;&gt;""</f>
        <v>0</v>
      </c>
      <c r="E1887" t="s">
        <v>3628</v>
      </c>
      <c r="F1887" t="b">
        <v>1</v>
      </c>
      <c r="G1887" t="b">
        <v>0</v>
      </c>
      <c r="H1887" t="b">
        <v>0</v>
      </c>
      <c r="I1887" t="b">
        <v>0</v>
      </c>
    </row>
    <row r="1888" spans="1:9" x14ac:dyDescent="0.2">
      <c r="A1888" t="s">
        <v>4404</v>
      </c>
      <c r="B1888" t="s">
        <v>2225</v>
      </c>
      <c r="D1888" t="b">
        <f>IFERROR(VLOOKUP(B1888,PatData!$A$2:$A$2000,1,),"")&lt;&gt;""</f>
        <v>0</v>
      </c>
      <c r="E1888" t="s">
        <v>3629</v>
      </c>
      <c r="F1888" t="b">
        <v>1</v>
      </c>
      <c r="G1888" t="b">
        <v>0</v>
      </c>
      <c r="H1888" t="b">
        <v>0</v>
      </c>
      <c r="I1888" t="b">
        <v>0</v>
      </c>
    </row>
    <row r="1889" spans="1:9" x14ac:dyDescent="0.2">
      <c r="A1889" t="s">
        <v>4405</v>
      </c>
      <c r="B1889" t="s">
        <v>2226</v>
      </c>
      <c r="D1889" t="b">
        <f>IFERROR(VLOOKUP(B1889,PatData!$A$2:$A$2000,1,),"")&lt;&gt;""</f>
        <v>0</v>
      </c>
      <c r="E1889" t="s">
        <v>3630</v>
      </c>
      <c r="F1889" t="b">
        <v>1</v>
      </c>
      <c r="G1889" t="b">
        <v>0</v>
      </c>
      <c r="H1889" t="b">
        <v>0</v>
      </c>
      <c r="I1889" t="b">
        <v>0</v>
      </c>
    </row>
    <row r="1890" spans="1:9" x14ac:dyDescent="0.2">
      <c r="A1890" t="s">
        <v>4406</v>
      </c>
      <c r="B1890" t="s">
        <v>2210</v>
      </c>
      <c r="D1890" t="b">
        <f>IFERROR(VLOOKUP(B1890,PatData!$A$2:$A$2000,1,),"")&lt;&gt;""</f>
        <v>0</v>
      </c>
      <c r="E1890" t="s">
        <v>2250</v>
      </c>
      <c r="F1890" t="b">
        <v>1</v>
      </c>
      <c r="G1890" t="b">
        <v>0</v>
      </c>
      <c r="H1890" t="b">
        <v>0</v>
      </c>
      <c r="I1890" t="b">
        <v>0</v>
      </c>
    </row>
    <row r="1891" spans="1:9" x14ac:dyDescent="0.2">
      <c r="A1891" t="s">
        <v>1233</v>
      </c>
      <c r="B1891" t="s">
        <v>1218</v>
      </c>
      <c r="D1891" t="b">
        <f>IFERROR(VLOOKUP(B1891,PatData!$A$2:$A$2000,1,),"")&lt;&gt;""</f>
        <v>0</v>
      </c>
      <c r="E1891" t="s">
        <v>2250</v>
      </c>
      <c r="F1891" t="b">
        <v>1</v>
      </c>
      <c r="G1891" t="b">
        <v>0</v>
      </c>
      <c r="H1891" t="b">
        <v>0</v>
      </c>
      <c r="I1891" t="b">
        <v>0</v>
      </c>
    </row>
    <row r="1892" spans="1:9" x14ac:dyDescent="0.2">
      <c r="A1892" t="s">
        <v>5410</v>
      </c>
      <c r="B1892" t="s">
        <v>1219</v>
      </c>
      <c r="D1892" t="b">
        <f>IFERROR(VLOOKUP(B1892,PatData!$A$2:$A$2000,1,),"")&lt;&gt;""</f>
        <v>0</v>
      </c>
      <c r="E1892" t="s">
        <v>2250</v>
      </c>
      <c r="F1892" t="b">
        <v>1</v>
      </c>
      <c r="G1892" t="b">
        <v>0</v>
      </c>
      <c r="H1892" t="b">
        <v>0</v>
      </c>
      <c r="I1892" t="b">
        <v>0</v>
      </c>
    </row>
    <row r="1893" spans="1:9" x14ac:dyDescent="0.2">
      <c r="A1893" t="s">
        <v>1929</v>
      </c>
      <c r="B1893" t="s">
        <v>1220</v>
      </c>
      <c r="D1893" t="b">
        <f>IFERROR(VLOOKUP(B1893,PatData!$A$2:$A$2000,1,),"")&lt;&gt;""</f>
        <v>0</v>
      </c>
      <c r="E1893" t="s">
        <v>2250</v>
      </c>
      <c r="F1893" t="b">
        <v>1</v>
      </c>
      <c r="G1893" t="b">
        <v>0</v>
      </c>
      <c r="H1893" t="b">
        <v>0</v>
      </c>
      <c r="I1893" t="b">
        <v>0</v>
      </c>
    </row>
    <row r="1894" spans="1:9" x14ac:dyDescent="0.2">
      <c r="A1894" t="s">
        <v>1932</v>
      </c>
      <c r="B1894" t="s">
        <v>1221</v>
      </c>
      <c r="D1894" t="b">
        <f>IFERROR(VLOOKUP(B1894,PatData!$A$2:$A$2000,1,),"")&lt;&gt;""</f>
        <v>0</v>
      </c>
      <c r="E1894" t="s">
        <v>2250</v>
      </c>
      <c r="F1894" t="b">
        <v>1</v>
      </c>
      <c r="G1894" t="b">
        <v>0</v>
      </c>
      <c r="H1894" t="b">
        <v>0</v>
      </c>
      <c r="I1894" t="b">
        <v>0</v>
      </c>
    </row>
    <row r="1895" spans="1:9" x14ac:dyDescent="0.2">
      <c r="A1895" t="s">
        <v>1933</v>
      </c>
      <c r="B1895" t="s">
        <v>1222</v>
      </c>
      <c r="D1895" t="b">
        <f>IFERROR(VLOOKUP(B1895,PatData!$A$2:$A$2000,1,),"")&lt;&gt;""</f>
        <v>0</v>
      </c>
      <c r="E1895" t="s">
        <v>2250</v>
      </c>
      <c r="F1895" t="b">
        <v>1</v>
      </c>
      <c r="G1895" t="b">
        <v>0</v>
      </c>
      <c r="H1895" t="b">
        <v>0</v>
      </c>
      <c r="I1895" t="b">
        <v>0</v>
      </c>
    </row>
    <row r="1896" spans="1:9" x14ac:dyDescent="0.2">
      <c r="A1896" t="s">
        <v>1934</v>
      </c>
      <c r="B1896" t="s">
        <v>1223</v>
      </c>
      <c r="D1896" t="b">
        <f>IFERROR(VLOOKUP(B1896,PatData!$A$2:$A$2000,1,),"")&lt;&gt;""</f>
        <v>0</v>
      </c>
      <c r="E1896" t="s">
        <v>2250</v>
      </c>
      <c r="F1896" t="b">
        <v>1</v>
      </c>
      <c r="G1896" t="b">
        <v>0</v>
      </c>
      <c r="H1896" t="b">
        <v>0</v>
      </c>
      <c r="I1896" t="b">
        <v>0</v>
      </c>
    </row>
    <row r="1897" spans="1:9" x14ac:dyDescent="0.2">
      <c r="A1897" t="s">
        <v>1935</v>
      </c>
      <c r="B1897" t="s">
        <v>1224</v>
      </c>
      <c r="D1897" t="b">
        <f>IFERROR(VLOOKUP(B1897,PatData!$A$2:$A$2000,1,),"")&lt;&gt;""</f>
        <v>0</v>
      </c>
      <c r="E1897" t="s">
        <v>2250</v>
      </c>
      <c r="F1897" t="b">
        <v>1</v>
      </c>
      <c r="G1897" t="b">
        <v>0</v>
      </c>
      <c r="H1897" t="b">
        <v>0</v>
      </c>
      <c r="I1897" t="b">
        <v>0</v>
      </c>
    </row>
    <row r="1898" spans="1:9" x14ac:dyDescent="0.2">
      <c r="A1898" t="s">
        <v>1936</v>
      </c>
      <c r="B1898" t="s">
        <v>1225</v>
      </c>
      <c r="D1898" t="b">
        <f>IFERROR(VLOOKUP(B1898,PatData!$A$2:$A$2000,1,),"")&lt;&gt;""</f>
        <v>0</v>
      </c>
      <c r="E1898" t="s">
        <v>2250</v>
      </c>
      <c r="F1898" t="b">
        <v>1</v>
      </c>
      <c r="G1898" t="b">
        <v>0</v>
      </c>
      <c r="H1898" t="b">
        <v>0</v>
      </c>
      <c r="I1898" t="b">
        <v>0</v>
      </c>
    </row>
    <row r="1899" spans="1:9" x14ac:dyDescent="0.2">
      <c r="A1899" t="s">
        <v>1937</v>
      </c>
      <c r="B1899" t="s">
        <v>1226</v>
      </c>
      <c r="D1899" t="b">
        <f>IFERROR(VLOOKUP(B1899,PatData!$A$2:$A$2000,1,),"")&lt;&gt;""</f>
        <v>0</v>
      </c>
      <c r="E1899" t="s">
        <v>2250</v>
      </c>
      <c r="F1899" t="b">
        <v>1</v>
      </c>
      <c r="G1899" t="b">
        <v>0</v>
      </c>
      <c r="H1899" t="b">
        <v>0</v>
      </c>
      <c r="I1899" t="b">
        <v>0</v>
      </c>
    </row>
    <row r="1900" spans="1:9" x14ac:dyDescent="0.2">
      <c r="A1900" t="s">
        <v>1938</v>
      </c>
      <c r="B1900" t="s">
        <v>1227</v>
      </c>
      <c r="D1900" t="b">
        <f>IFERROR(VLOOKUP(B1900,PatData!$A$2:$A$2000,1,),"")&lt;&gt;""</f>
        <v>0</v>
      </c>
      <c r="E1900" t="s">
        <v>2250</v>
      </c>
      <c r="F1900" t="b">
        <v>1</v>
      </c>
      <c r="G1900" t="b">
        <v>0</v>
      </c>
      <c r="H1900" t="b">
        <v>0</v>
      </c>
      <c r="I1900" t="b">
        <v>0</v>
      </c>
    </row>
    <row r="1901" spans="1:9" x14ac:dyDescent="0.2">
      <c r="A1901" t="s">
        <v>1939</v>
      </c>
      <c r="B1901" t="s">
        <v>1228</v>
      </c>
      <c r="D1901" t="b">
        <f>IFERROR(VLOOKUP(B1901,PatData!$A$2:$A$2000,1,),"")&lt;&gt;""</f>
        <v>0</v>
      </c>
      <c r="E1901" t="s">
        <v>2250</v>
      </c>
      <c r="F1901" t="b">
        <v>1</v>
      </c>
      <c r="G1901" t="b">
        <v>0</v>
      </c>
      <c r="H1901" t="b">
        <v>0</v>
      </c>
      <c r="I1901" t="b">
        <v>0</v>
      </c>
    </row>
    <row r="1902" spans="1:9" x14ac:dyDescent="0.2">
      <c r="A1902" t="s">
        <v>1940</v>
      </c>
      <c r="B1902" t="s">
        <v>1229</v>
      </c>
      <c r="D1902" t="b">
        <f>IFERROR(VLOOKUP(B1902,PatData!$A$2:$A$2000,1,),"")&lt;&gt;""</f>
        <v>0</v>
      </c>
      <c r="E1902" t="s">
        <v>2250</v>
      </c>
      <c r="F1902" t="b">
        <v>1</v>
      </c>
      <c r="G1902" t="b">
        <v>0</v>
      </c>
      <c r="H1902" t="b">
        <v>0</v>
      </c>
      <c r="I1902" t="b">
        <v>0</v>
      </c>
    </row>
    <row r="1903" spans="1:9" x14ac:dyDescent="0.2">
      <c r="E1903"/>
    </row>
    <row r="1904" spans="1:9" x14ac:dyDescent="0.2">
      <c r="E1904"/>
    </row>
    <row r="1905" spans="5:5" x14ac:dyDescent="0.2">
      <c r="E1905"/>
    </row>
    <row r="1906" spans="5:5" x14ac:dyDescent="0.2">
      <c r="E1906"/>
    </row>
    <row r="1907" spans="5:5" x14ac:dyDescent="0.2">
      <c r="E1907"/>
    </row>
    <row r="1908" spans="5:5" x14ac:dyDescent="0.2">
      <c r="E1908"/>
    </row>
    <row r="1909" spans="5:5" x14ac:dyDescent="0.2">
      <c r="E1909"/>
    </row>
    <row r="1910" spans="5:5" x14ac:dyDescent="0.2">
      <c r="E1910"/>
    </row>
    <row r="1911" spans="5:5" x14ac:dyDescent="0.2">
      <c r="E1911"/>
    </row>
    <row r="1912" spans="5:5" x14ac:dyDescent="0.2">
      <c r="E1912"/>
    </row>
    <row r="1913" spans="5:5" x14ac:dyDescent="0.2">
      <c r="E1913"/>
    </row>
    <row r="1914" spans="5:5" x14ac:dyDescent="0.2">
      <c r="E1914"/>
    </row>
    <row r="1915" spans="5:5" x14ac:dyDescent="0.2">
      <c r="E1915"/>
    </row>
    <row r="1916" spans="5:5" x14ac:dyDescent="0.2">
      <c r="E1916"/>
    </row>
    <row r="1917" spans="5:5" x14ac:dyDescent="0.2">
      <c r="E1917"/>
    </row>
    <row r="1918" spans="5:5" x14ac:dyDescent="0.2">
      <c r="E1918"/>
    </row>
    <row r="1919" spans="5:5" x14ac:dyDescent="0.2">
      <c r="E1919"/>
    </row>
    <row r="1920" spans="5:5" x14ac:dyDescent="0.2">
      <c r="E1920"/>
    </row>
    <row r="1921" spans="5:5" x14ac:dyDescent="0.2">
      <c r="E1921"/>
    </row>
    <row r="1922" spans="5:5" x14ac:dyDescent="0.2">
      <c r="E1922"/>
    </row>
    <row r="1923" spans="5:5" x14ac:dyDescent="0.2">
      <c r="E1923"/>
    </row>
    <row r="1924" spans="5:5" x14ac:dyDescent="0.2">
      <c r="E1924"/>
    </row>
    <row r="1925" spans="5:5" x14ac:dyDescent="0.2">
      <c r="E1925"/>
    </row>
    <row r="1926" spans="5:5" x14ac:dyDescent="0.2">
      <c r="E1926"/>
    </row>
    <row r="1927" spans="5:5" x14ac:dyDescent="0.2">
      <c r="E1927"/>
    </row>
    <row r="1928" spans="5:5" x14ac:dyDescent="0.2">
      <c r="E1928"/>
    </row>
    <row r="1929" spans="5:5" x14ac:dyDescent="0.2">
      <c r="E1929"/>
    </row>
    <row r="1930" spans="5:5" x14ac:dyDescent="0.2">
      <c r="E1930"/>
    </row>
    <row r="1931" spans="5:5" x14ac:dyDescent="0.2">
      <c r="E1931"/>
    </row>
    <row r="1932" spans="5:5" x14ac:dyDescent="0.2">
      <c r="E1932"/>
    </row>
    <row r="1933" spans="5:5" x14ac:dyDescent="0.2">
      <c r="E1933"/>
    </row>
    <row r="1934" spans="5:5" x14ac:dyDescent="0.2">
      <c r="E1934"/>
    </row>
    <row r="1935" spans="5:5" x14ac:dyDescent="0.2">
      <c r="E1935"/>
    </row>
    <row r="1936" spans="5:5" x14ac:dyDescent="0.2">
      <c r="E1936"/>
    </row>
    <row r="1937" spans="5:5" x14ac:dyDescent="0.2">
      <c r="E1937"/>
    </row>
    <row r="1938" spans="5:5" x14ac:dyDescent="0.2">
      <c r="E1938"/>
    </row>
    <row r="1939" spans="5:5" x14ac:dyDescent="0.2">
      <c r="E1939"/>
    </row>
    <row r="1940" spans="5:5" x14ac:dyDescent="0.2">
      <c r="E1940"/>
    </row>
    <row r="1941" spans="5:5" x14ac:dyDescent="0.2">
      <c r="E1941"/>
    </row>
    <row r="1942" spans="5:5" x14ac:dyDescent="0.2">
      <c r="E1942"/>
    </row>
    <row r="1943" spans="5:5" x14ac:dyDescent="0.2">
      <c r="E1943"/>
    </row>
    <row r="1944" spans="5:5" x14ac:dyDescent="0.2">
      <c r="E1944"/>
    </row>
    <row r="1945" spans="5:5" x14ac:dyDescent="0.2">
      <c r="E1945"/>
    </row>
    <row r="1946" spans="5:5" x14ac:dyDescent="0.2">
      <c r="E1946"/>
    </row>
    <row r="1947" spans="5:5" x14ac:dyDescent="0.2">
      <c r="E1947"/>
    </row>
    <row r="1948" spans="5:5" x14ac:dyDescent="0.2">
      <c r="E1948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Opm">
    <tabColor rgb="FF92D050"/>
  </sheetPr>
  <dimension ref="A1:B6"/>
  <sheetViews>
    <sheetView workbookViewId="0">
      <selection activeCell="B6" sqref="B6"/>
    </sheetView>
  </sheetViews>
  <sheetFormatPr defaultRowHeight="12.75" x14ac:dyDescent="0.2"/>
  <cols>
    <col min="1" max="1" width="37.7109375" customWidth="1"/>
    <col min="2" max="2" width="13.28515625" customWidth="1"/>
  </cols>
  <sheetData>
    <row r="1" spans="1:2" x14ac:dyDescent="0.2">
      <c r="A1" t="s">
        <v>83</v>
      </c>
      <c r="B1" t="s">
        <v>244</v>
      </c>
    </row>
    <row r="2" spans="1:2" x14ac:dyDescent="0.2">
      <c r="A2" t="s">
        <v>108</v>
      </c>
    </row>
    <row r="3" spans="1:2" x14ac:dyDescent="0.2">
      <c r="A3" s="316" t="s">
        <v>4471</v>
      </c>
    </row>
    <row r="4" spans="1:2" x14ac:dyDescent="0.2">
      <c r="A4" t="s">
        <v>65</v>
      </c>
      <c r="B4">
        <v>0</v>
      </c>
    </row>
    <row r="5" spans="1:2" x14ac:dyDescent="0.2">
      <c r="A5" t="s">
        <v>116</v>
      </c>
      <c r="B5" s="19"/>
    </row>
    <row r="6" spans="1:2" x14ac:dyDescent="0.2">
      <c r="A6" t="s">
        <v>149</v>
      </c>
      <c r="B6" t="s">
        <v>4676</v>
      </c>
    </row>
  </sheetData>
  <customSheetViews>
    <customSheetView guid="{33CCADFA-0D48-46A6-8927-2B2144029216}" state="veryHidden">
      <selection activeCell="C2" sqref="C2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8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Conv">
    <tabColor rgb="FF92D050"/>
  </sheetPr>
  <dimension ref="A1:H13"/>
  <sheetViews>
    <sheetView workbookViewId="0">
      <selection activeCell="F6" sqref="F6"/>
    </sheetView>
  </sheetViews>
  <sheetFormatPr defaultRowHeight="12.75" x14ac:dyDescent="0.2"/>
  <cols>
    <col min="1" max="1" width="21" style="338" customWidth="1"/>
    <col min="2" max="2" width="11.7109375" style="338" customWidth="1"/>
    <col min="3" max="4" width="9.140625" style="338"/>
    <col min="5" max="5" width="14.42578125" style="338" customWidth="1"/>
    <col min="6" max="6" width="12.42578125" style="338" customWidth="1"/>
    <col min="7" max="8" width="9.140625" style="338"/>
  </cols>
  <sheetData>
    <row r="1" spans="1:6" x14ac:dyDescent="0.2">
      <c r="A1" s="339" t="s">
        <v>5437</v>
      </c>
      <c r="B1" s="339" t="s">
        <v>5412</v>
      </c>
      <c r="C1" s="339" t="s">
        <v>5419</v>
      </c>
      <c r="E1" s="338" t="s">
        <v>332</v>
      </c>
      <c r="F1" s="338" t="s">
        <v>602</v>
      </c>
    </row>
    <row r="2" spans="1:6" ht="15" x14ac:dyDescent="0.25">
      <c r="A2" s="968" t="s">
        <v>234</v>
      </c>
      <c r="B2" s="338">
        <v>1</v>
      </c>
      <c r="C2" s="968" t="s">
        <v>5418</v>
      </c>
    </row>
    <row r="3" spans="1:6" ht="15" x14ac:dyDescent="0.25">
      <c r="A3" s="968" t="s">
        <v>196</v>
      </c>
      <c r="B3" s="338">
        <v>1</v>
      </c>
      <c r="C3" s="968" t="s">
        <v>31</v>
      </c>
      <c r="E3" s="338" t="s">
        <v>607</v>
      </c>
      <c r="F3" s="338">
        <v>1.44</v>
      </c>
    </row>
    <row r="4" spans="1:6" ht="15" x14ac:dyDescent="0.25">
      <c r="A4" s="968" t="s">
        <v>235</v>
      </c>
      <c r="B4" s="338">
        <v>1</v>
      </c>
      <c r="C4" s="968" t="s">
        <v>31</v>
      </c>
      <c r="E4" s="338" t="s">
        <v>362</v>
      </c>
      <c r="F4" s="338">
        <v>1</v>
      </c>
    </row>
    <row r="5" spans="1:6" ht="15" x14ac:dyDescent="0.25">
      <c r="A5" s="968" t="s">
        <v>197</v>
      </c>
      <c r="B5" s="338">
        <v>1</v>
      </c>
      <c r="C5" s="968" t="s">
        <v>31</v>
      </c>
      <c r="E5" s="338" t="s">
        <v>486</v>
      </c>
      <c r="F5" s="338">
        <v>1440</v>
      </c>
    </row>
    <row r="6" spans="1:6" ht="15" x14ac:dyDescent="0.25">
      <c r="A6" s="968" t="s">
        <v>229</v>
      </c>
      <c r="B6" s="979">
        <v>4.3478000000000003E-2</v>
      </c>
      <c r="C6" s="968" t="s">
        <v>494</v>
      </c>
      <c r="E6" s="338" t="s">
        <v>361</v>
      </c>
      <c r="F6" s="338">
        <v>24</v>
      </c>
    </row>
    <row r="7" spans="1:6" ht="15" x14ac:dyDescent="0.25">
      <c r="A7" s="968" t="s">
        <v>230</v>
      </c>
      <c r="B7" s="979">
        <v>2.5641000000000001E-2</v>
      </c>
      <c r="C7" s="968" t="s">
        <v>494</v>
      </c>
      <c r="E7" s="338" t="s">
        <v>422</v>
      </c>
      <c r="F7" s="338">
        <v>1.4400000000000001E-3</v>
      </c>
    </row>
    <row r="8" spans="1:6" ht="15" x14ac:dyDescent="0.25">
      <c r="A8" s="968" t="s">
        <v>231</v>
      </c>
      <c r="B8" s="979">
        <v>2.4899999999999999E-2</v>
      </c>
      <c r="C8" s="968" t="s">
        <v>494</v>
      </c>
      <c r="E8" s="338" t="s">
        <v>767</v>
      </c>
      <c r="F8" s="338">
        <v>2.4E-2</v>
      </c>
    </row>
    <row r="9" spans="1:6" ht="15" x14ac:dyDescent="0.25">
      <c r="A9" s="968" t="s">
        <v>236</v>
      </c>
      <c r="B9" s="979">
        <v>3.2288999999999998E-2</v>
      </c>
      <c r="C9" s="968" t="s">
        <v>494</v>
      </c>
      <c r="E9" s="338" t="s">
        <v>363</v>
      </c>
      <c r="F9" s="338">
        <v>1</v>
      </c>
    </row>
    <row r="10" spans="1:6" ht="15" x14ac:dyDescent="0.25">
      <c r="A10" s="968" t="s">
        <v>232</v>
      </c>
      <c r="B10" s="979">
        <v>4.1140999999999997E-2</v>
      </c>
      <c r="C10" s="968" t="s">
        <v>494</v>
      </c>
      <c r="E10" s="338" t="s">
        <v>66</v>
      </c>
      <c r="F10" s="338">
        <v>24</v>
      </c>
    </row>
    <row r="11" spans="1:6" ht="15" x14ac:dyDescent="0.25">
      <c r="A11" s="968" t="s">
        <v>948</v>
      </c>
      <c r="B11" s="979">
        <v>1.7899999999999999E-2</v>
      </c>
      <c r="C11" s="968" t="s">
        <v>494</v>
      </c>
    </row>
    <row r="12" spans="1:6" ht="15" x14ac:dyDescent="0.25">
      <c r="A12" s="968" t="s">
        <v>949</v>
      </c>
      <c r="B12" s="979">
        <v>40</v>
      </c>
      <c r="C12" s="968" t="s">
        <v>5420</v>
      </c>
    </row>
    <row r="13" spans="1:6" ht="15" x14ac:dyDescent="0.25">
      <c r="A13" s="968" t="s">
        <v>603</v>
      </c>
      <c r="B13" s="979">
        <v>2.8205999999999998E-2</v>
      </c>
      <c r="C13" s="968" t="s">
        <v>494</v>
      </c>
    </row>
  </sheetData>
  <customSheetViews>
    <customSheetView guid="{33CCADFA-0D48-46A6-8927-2B2144029216}" state="veryHidden">
      <selection activeCell="D1" sqref="D1:E8"/>
      <pageMargins left="0.75" right="0.75" top="1" bottom="1" header="0.5" footer="0.5"/>
      <headerFooter alignWithMargins="0"/>
    </customSheetView>
  </customSheetViews>
  <phoneticPr fontId="28" type="noConversion"/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C000"/>
  </sheetPr>
  <dimension ref="A2:U57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A41" sqref="A41"/>
    </sheetView>
  </sheetViews>
  <sheetFormatPr defaultRowHeight="12.75" x14ac:dyDescent="0.2"/>
  <cols>
    <col min="1" max="1" width="27.28515625" style="338" customWidth="1"/>
    <col min="2" max="10" width="9.140625" style="338"/>
    <col min="11" max="11" width="9.140625" style="338" customWidth="1"/>
    <col min="12" max="18" width="9.140625" style="338"/>
    <col min="19" max="19" width="29.85546875" style="338" customWidth="1"/>
    <col min="20" max="16384" width="9.140625" style="338"/>
  </cols>
  <sheetData>
    <row r="2" spans="1:21" ht="15" x14ac:dyDescent="0.25">
      <c r="B2" s="968">
        <v>2</v>
      </c>
      <c r="C2" s="968">
        <v>3</v>
      </c>
      <c r="D2" s="968">
        <v>4</v>
      </c>
      <c r="E2" s="968">
        <v>5</v>
      </c>
      <c r="F2" s="968">
        <v>6</v>
      </c>
      <c r="G2" s="968">
        <v>7</v>
      </c>
      <c r="H2" s="968">
        <v>8</v>
      </c>
      <c r="I2" s="968">
        <v>9</v>
      </c>
      <c r="J2" s="968">
        <v>10</v>
      </c>
      <c r="K2" s="968">
        <v>11</v>
      </c>
      <c r="L2" s="968">
        <v>12</v>
      </c>
      <c r="M2" s="968">
        <v>13</v>
      </c>
    </row>
    <row r="3" spans="1:21" ht="15" x14ac:dyDescent="0.25">
      <c r="B3" s="968" t="s">
        <v>234</v>
      </c>
      <c r="C3" s="968" t="s">
        <v>196</v>
      </c>
      <c r="D3" s="968" t="s">
        <v>235</v>
      </c>
      <c r="E3" s="968" t="s">
        <v>197</v>
      </c>
      <c r="F3" s="968" t="s">
        <v>229</v>
      </c>
      <c r="G3" s="968" t="s">
        <v>230</v>
      </c>
      <c r="H3" s="968" t="s">
        <v>231</v>
      </c>
      <c r="I3" s="968" t="s">
        <v>236</v>
      </c>
      <c r="J3" s="968" t="s">
        <v>232</v>
      </c>
      <c r="K3" s="968" t="s">
        <v>948</v>
      </c>
      <c r="L3" s="968" t="s">
        <v>949</v>
      </c>
      <c r="M3" s="968" t="s">
        <v>603</v>
      </c>
    </row>
    <row r="4" spans="1:21" ht="15" x14ac:dyDescent="0.25">
      <c r="A4" s="339" t="s">
        <v>5438</v>
      </c>
      <c r="B4" s="970" t="str">
        <f>VLOOKUP(B3,Tbl_Glob_Conversie,3,FALSE)</f>
        <v>kcal</v>
      </c>
      <c r="C4" s="970" t="str">
        <f>VLOOKUP(C3,Tbl_Glob_Conversie,3,FALSE)</f>
        <v>gram</v>
      </c>
      <c r="D4" s="970" t="str">
        <f>VLOOKUP(D3,Tbl_Glob_Conversie,3,FALSE)</f>
        <v>gram</v>
      </c>
      <c r="E4" s="970" t="str">
        <f>VLOOKUP(E3,Tbl_Glob_Conversie,3,FALSE)</f>
        <v>gram</v>
      </c>
      <c r="F4" s="970" t="str">
        <f>VLOOKUP(F3,Tbl_Glob_Conversie,3,FALSE)</f>
        <v>mmol</v>
      </c>
      <c r="G4" s="970" t="str">
        <f>VLOOKUP(G3,Tbl_Glob_Conversie,3,FALSE)</f>
        <v>mmol</v>
      </c>
      <c r="H4" s="970" t="str">
        <f>VLOOKUP(H3,Tbl_Glob_Conversie,3,FALSE)</f>
        <v>mmol</v>
      </c>
      <c r="I4" s="970" t="str">
        <f>VLOOKUP(I3,Tbl_Glob_Conversie,3,FALSE)</f>
        <v>mmol</v>
      </c>
      <c r="J4" s="970" t="str">
        <f>VLOOKUP(J3,Tbl_Glob_Conversie,3,FALSE)</f>
        <v>mmol</v>
      </c>
      <c r="K4" s="970" t="str">
        <f>VLOOKUP(K3,Tbl_Glob_Conversie,3,FALSE)</f>
        <v>mmol</v>
      </c>
      <c r="L4" s="970" t="str">
        <f>VLOOKUP(L3,Tbl_Glob_Conversie,3,FALSE)</f>
        <v>IE</v>
      </c>
      <c r="M4" s="970" t="str">
        <f>VLOOKUP(M3,Tbl_Glob_Conversie,3,FALSE)</f>
        <v>mmol</v>
      </c>
    </row>
    <row r="6" spans="1:21" x14ac:dyDescent="0.2">
      <c r="A6" s="338" t="s">
        <v>606</v>
      </c>
      <c r="B6" s="338">
        <f>D6*4</f>
        <v>0.2</v>
      </c>
      <c r="D6" s="486">
        <v>0.05</v>
      </c>
    </row>
    <row r="7" spans="1:21" x14ac:dyDescent="0.2">
      <c r="A7" s="338" t="s">
        <v>611</v>
      </c>
      <c r="B7" s="338">
        <f t="shared" ref="B7:B19" si="0">D7*4</f>
        <v>0.4</v>
      </c>
      <c r="D7" s="486">
        <v>0.1</v>
      </c>
    </row>
    <row r="8" spans="1:21" x14ac:dyDescent="0.2">
      <c r="A8" s="338" t="s">
        <v>5431</v>
      </c>
      <c r="B8" s="338">
        <f t="shared" si="0"/>
        <v>0.5</v>
      </c>
      <c r="D8" s="338">
        <v>0.125</v>
      </c>
    </row>
    <row r="9" spans="1:21" x14ac:dyDescent="0.2">
      <c r="A9" s="338" t="s">
        <v>614</v>
      </c>
      <c r="B9" s="338">
        <f t="shared" si="0"/>
        <v>0.6</v>
      </c>
      <c r="D9" s="338">
        <v>0.15</v>
      </c>
    </row>
    <row r="10" spans="1:21" x14ac:dyDescent="0.2">
      <c r="A10" s="338" t="s">
        <v>5432</v>
      </c>
      <c r="B10" s="338">
        <f t="shared" si="0"/>
        <v>0.7</v>
      </c>
      <c r="D10" s="338">
        <v>0.17499999999999999</v>
      </c>
      <c r="S10" s="486"/>
      <c r="T10" s="486"/>
      <c r="U10" s="486"/>
    </row>
    <row r="11" spans="1:21" x14ac:dyDescent="0.2">
      <c r="A11" s="338" t="s">
        <v>616</v>
      </c>
      <c r="B11" s="338">
        <f t="shared" si="0"/>
        <v>0.8</v>
      </c>
      <c r="D11" s="486">
        <v>0.2</v>
      </c>
      <c r="S11" s="486"/>
      <c r="U11" s="486"/>
    </row>
    <row r="12" spans="1:21" x14ac:dyDescent="0.2">
      <c r="A12" s="338" t="s">
        <v>618</v>
      </c>
      <c r="B12" s="338">
        <f t="shared" si="0"/>
        <v>1</v>
      </c>
      <c r="D12" s="486">
        <v>0.25</v>
      </c>
      <c r="S12" s="486"/>
      <c r="U12" s="486"/>
    </row>
    <row r="13" spans="1:21" x14ac:dyDescent="0.2">
      <c r="A13" s="486" t="s">
        <v>620</v>
      </c>
      <c r="B13" s="338">
        <f t="shared" si="0"/>
        <v>1.2</v>
      </c>
      <c r="D13" s="486">
        <v>0.3</v>
      </c>
      <c r="S13" s="486"/>
      <c r="T13" s="486"/>
      <c r="U13" s="486"/>
    </row>
    <row r="14" spans="1:21" x14ac:dyDescent="0.2">
      <c r="A14" s="339" t="s">
        <v>622</v>
      </c>
      <c r="B14" s="338">
        <f t="shared" si="0"/>
        <v>1.4</v>
      </c>
      <c r="D14" s="486">
        <v>0.35</v>
      </c>
      <c r="S14" s="486"/>
      <c r="U14" s="486"/>
    </row>
    <row r="15" spans="1:21" x14ac:dyDescent="0.2">
      <c r="A15" s="338" t="s">
        <v>623</v>
      </c>
      <c r="B15" s="338">
        <f t="shared" si="0"/>
        <v>1.6</v>
      </c>
      <c r="D15" s="486">
        <v>0.4</v>
      </c>
      <c r="S15" s="486"/>
      <c r="U15" s="486"/>
    </row>
    <row r="16" spans="1:21" x14ac:dyDescent="0.2">
      <c r="A16" s="486" t="s">
        <v>624</v>
      </c>
      <c r="B16" s="338">
        <f t="shared" si="0"/>
        <v>1.8</v>
      </c>
      <c r="D16" s="486">
        <v>0.45</v>
      </c>
      <c r="S16" s="486"/>
      <c r="U16" s="486"/>
    </row>
    <row r="17" spans="1:21" x14ac:dyDescent="0.2">
      <c r="A17" s="338" t="s">
        <v>625</v>
      </c>
      <c r="B17" s="338">
        <f t="shared" si="0"/>
        <v>2</v>
      </c>
      <c r="D17" s="486">
        <v>0.5</v>
      </c>
      <c r="S17" s="486"/>
      <c r="U17" s="486"/>
    </row>
    <row r="18" spans="1:21" x14ac:dyDescent="0.2">
      <c r="A18" s="338" t="s">
        <v>5433</v>
      </c>
      <c r="B18" s="338">
        <f t="shared" si="0"/>
        <v>0.2</v>
      </c>
      <c r="D18" s="338">
        <v>0.05</v>
      </c>
      <c r="F18" s="338">
        <v>7.6999999999999999E-2</v>
      </c>
      <c r="S18" s="486"/>
      <c r="U18" s="486"/>
    </row>
    <row r="19" spans="1:21" x14ac:dyDescent="0.2">
      <c r="A19" s="338" t="s">
        <v>5434</v>
      </c>
      <c r="B19" s="338">
        <f t="shared" si="0"/>
        <v>0.2</v>
      </c>
      <c r="D19" s="338">
        <v>0.05</v>
      </c>
      <c r="F19" s="338">
        <v>0.155</v>
      </c>
      <c r="S19" s="486"/>
      <c r="U19" s="486"/>
    </row>
    <row r="20" spans="1:21" x14ac:dyDescent="0.2">
      <c r="A20" s="338" t="s">
        <v>309</v>
      </c>
      <c r="F20" s="338">
        <v>0.155</v>
      </c>
      <c r="S20" s="486"/>
      <c r="U20" s="486"/>
    </row>
    <row r="21" spans="1:21" x14ac:dyDescent="0.2">
      <c r="A21" s="338" t="s">
        <v>459</v>
      </c>
      <c r="F21" s="338">
        <v>0.13100000000000001</v>
      </c>
      <c r="G21" s="338">
        <v>5.4000000000000003E-3</v>
      </c>
      <c r="S21" s="486"/>
      <c r="T21" s="486"/>
      <c r="U21" s="486"/>
    </row>
    <row r="22" spans="1:21" x14ac:dyDescent="0.2">
      <c r="A22" s="486" t="s">
        <v>628</v>
      </c>
      <c r="F22" s="486">
        <v>0.5</v>
      </c>
      <c r="S22" s="486"/>
      <c r="T22" s="486"/>
    </row>
    <row r="23" spans="1:21" x14ac:dyDescent="0.2">
      <c r="A23" s="486" t="s">
        <v>55</v>
      </c>
      <c r="F23" s="486">
        <v>1</v>
      </c>
      <c r="S23" s="486"/>
      <c r="T23" s="486"/>
    </row>
    <row r="24" spans="1:21" x14ac:dyDescent="0.2">
      <c r="A24" s="486" t="s">
        <v>335</v>
      </c>
      <c r="F24" s="486">
        <v>0.5</v>
      </c>
      <c r="T24" s="486"/>
    </row>
    <row r="25" spans="1:21" x14ac:dyDescent="0.2">
      <c r="A25" s="338" t="s">
        <v>586</v>
      </c>
      <c r="F25" s="486"/>
      <c r="G25" s="485">
        <v>1</v>
      </c>
      <c r="T25" s="486"/>
    </row>
    <row r="26" spans="1:21" x14ac:dyDescent="0.2">
      <c r="A26" s="315" t="s">
        <v>227</v>
      </c>
      <c r="F26" s="486"/>
      <c r="G26" s="315">
        <v>1</v>
      </c>
      <c r="T26" s="486"/>
    </row>
    <row r="27" spans="1:21" x14ac:dyDescent="0.2">
      <c r="A27" s="338" t="s">
        <v>587</v>
      </c>
      <c r="F27" s="486"/>
      <c r="H27" s="485">
        <v>0.22500000000000001</v>
      </c>
      <c r="M27" s="485">
        <v>0.45</v>
      </c>
      <c r="T27" s="486"/>
    </row>
    <row r="28" spans="1:21" x14ac:dyDescent="0.2">
      <c r="A28" s="315" t="s">
        <v>336</v>
      </c>
      <c r="F28" s="486"/>
      <c r="H28" s="315">
        <v>0.22500000000000001</v>
      </c>
      <c r="T28" s="486"/>
    </row>
    <row r="29" spans="1:21" x14ac:dyDescent="0.2">
      <c r="A29" s="338" t="s">
        <v>588</v>
      </c>
      <c r="F29" s="486"/>
      <c r="J29" s="485">
        <v>0.5</v>
      </c>
      <c r="M29" s="485">
        <v>1</v>
      </c>
      <c r="T29" s="486"/>
    </row>
    <row r="30" spans="1:21" x14ac:dyDescent="0.2">
      <c r="A30" s="315" t="s">
        <v>317</v>
      </c>
      <c r="F30" s="486"/>
      <c r="J30" s="485">
        <v>0.5</v>
      </c>
      <c r="M30" s="485">
        <v>1</v>
      </c>
      <c r="T30" s="486"/>
    </row>
    <row r="31" spans="1:21" x14ac:dyDescent="0.2">
      <c r="A31" s="315" t="s">
        <v>315</v>
      </c>
      <c r="F31" s="315">
        <v>0.5</v>
      </c>
      <c r="G31" s="315">
        <v>1.25</v>
      </c>
      <c r="I31" s="315">
        <v>1.5</v>
      </c>
      <c r="J31" s="485"/>
      <c r="M31" s="485"/>
      <c r="T31" s="486"/>
    </row>
    <row r="32" spans="1:21" x14ac:dyDescent="0.2">
      <c r="A32" s="486" t="s">
        <v>119</v>
      </c>
      <c r="C32" s="338">
        <v>0.2</v>
      </c>
    </row>
    <row r="33" spans="1:13" x14ac:dyDescent="0.2">
      <c r="A33" s="338" t="s">
        <v>629</v>
      </c>
      <c r="B33" s="338">
        <v>0.28999999999999998</v>
      </c>
      <c r="C33" s="338">
        <v>7.4285714285714288E-2</v>
      </c>
      <c r="F33" s="338">
        <v>5.4285714285714284E-2</v>
      </c>
      <c r="G33" s="338">
        <v>7.1428571428571425E-2</v>
      </c>
      <c r="H33" s="338">
        <v>2.5714285714285714E-2</v>
      </c>
      <c r="I33" s="338">
        <v>3.4285714285714287E-2</v>
      </c>
      <c r="J33" s="338">
        <v>4.2857142857142859E-3</v>
      </c>
    </row>
    <row r="34" spans="1:13" x14ac:dyDescent="0.2">
      <c r="A34" s="338" t="s">
        <v>333</v>
      </c>
      <c r="B34" s="338">
        <v>0.28999999999999998</v>
      </c>
      <c r="C34" s="338">
        <v>7.4285714285714288E-2</v>
      </c>
      <c r="D34" s="338">
        <v>0</v>
      </c>
      <c r="F34" s="338">
        <v>7.1428571428571426E-3</v>
      </c>
      <c r="G34" s="338">
        <v>1.7142857142857144E-2</v>
      </c>
      <c r="H34" s="338">
        <v>2.5714285714285714E-2</v>
      </c>
      <c r="I34" s="338">
        <v>2.1428571428571429E-2</v>
      </c>
      <c r="J34" s="338">
        <v>5.7142857142857143E-3</v>
      </c>
    </row>
    <row r="35" spans="1:13" x14ac:dyDescent="0.2">
      <c r="A35" s="338" t="s">
        <v>334</v>
      </c>
      <c r="B35" s="338">
        <v>0.32</v>
      </c>
      <c r="C35" s="338">
        <v>0.08</v>
      </c>
      <c r="D35" s="338">
        <v>0</v>
      </c>
      <c r="F35" s="338">
        <v>8.0000000000000002E-3</v>
      </c>
      <c r="G35" s="338">
        <v>0.02</v>
      </c>
      <c r="H35" s="338">
        <v>2.8000000000000001E-2</v>
      </c>
      <c r="I35" s="338">
        <v>2.4E-2</v>
      </c>
      <c r="J35" s="338">
        <v>8.0000000000000002E-3</v>
      </c>
    </row>
    <row r="36" spans="1:13" x14ac:dyDescent="0.2">
      <c r="A36" s="338" t="s">
        <v>41</v>
      </c>
      <c r="B36" s="338">
        <v>0.35</v>
      </c>
      <c r="C36" s="338">
        <v>8.7999999999999995E-2</v>
      </c>
      <c r="D36" s="338">
        <v>0</v>
      </c>
      <c r="F36" s="338">
        <v>0.01</v>
      </c>
      <c r="G36" s="338">
        <v>2.5000000000000001E-2</v>
      </c>
      <c r="H36" s="338">
        <v>1.7999999999999999E-2</v>
      </c>
      <c r="I36" s="338">
        <v>0.03</v>
      </c>
      <c r="J36" s="338">
        <v>0.01</v>
      </c>
    </row>
    <row r="37" spans="1:13" x14ac:dyDescent="0.2">
      <c r="A37" s="338" t="s">
        <v>42</v>
      </c>
      <c r="B37" s="338">
        <v>0.33</v>
      </c>
      <c r="C37" s="338">
        <v>8.3000000000000004E-2</v>
      </c>
      <c r="D37" s="338">
        <v>0</v>
      </c>
      <c r="F37" s="338">
        <v>1.2499999999999999E-2</v>
      </c>
      <c r="G37" s="338">
        <v>3.1E-2</v>
      </c>
      <c r="H37" s="338">
        <v>2.5999999999999999E-2</v>
      </c>
      <c r="I37" s="338">
        <v>3.7999999999999999E-2</v>
      </c>
      <c r="J37" s="338">
        <v>1.2500000000000001E-2</v>
      </c>
    </row>
    <row r="38" spans="1:13" x14ac:dyDescent="0.2">
      <c r="A38" s="338" t="s">
        <v>79</v>
      </c>
      <c r="B38" s="338">
        <v>0.96</v>
      </c>
      <c r="C38" s="338">
        <v>7.0000000000000007E-2</v>
      </c>
      <c r="D38" s="338">
        <v>0.24</v>
      </c>
      <c r="F38" s="338">
        <v>4.0500000000000001E-2</v>
      </c>
      <c r="G38" s="338">
        <v>2.5700000000000001E-2</v>
      </c>
      <c r="H38" s="338">
        <v>4.1000000000000003E-3</v>
      </c>
      <c r="I38" s="338">
        <v>1.47E-2</v>
      </c>
      <c r="J38" s="338">
        <v>5.0000000000000001E-3</v>
      </c>
    </row>
    <row r="39" spans="1:13" x14ac:dyDescent="0.2">
      <c r="A39" s="338" t="s">
        <v>543</v>
      </c>
      <c r="C39" s="485">
        <v>0.1</v>
      </c>
      <c r="L39" s="485">
        <v>40</v>
      </c>
    </row>
    <row r="40" spans="1:13" x14ac:dyDescent="0.2">
      <c r="A40" s="338" t="s">
        <v>201</v>
      </c>
    </row>
    <row r="41" spans="1:13" x14ac:dyDescent="0.2">
      <c r="A41" s="315" t="s">
        <v>199</v>
      </c>
      <c r="B41" s="338">
        <f>9*E41</f>
        <v>1.8</v>
      </c>
      <c r="E41" s="339">
        <v>0.2</v>
      </c>
    </row>
    <row r="42" spans="1:13" x14ac:dyDescent="0.2">
      <c r="A42" s="315"/>
    </row>
    <row r="43" spans="1:13" x14ac:dyDescent="0.2">
      <c r="A43" s="315"/>
    </row>
    <row r="44" spans="1:13" x14ac:dyDescent="0.2">
      <c r="B44" s="485"/>
      <c r="C44" s="485"/>
      <c r="D44" s="485"/>
      <c r="E44" s="485"/>
      <c r="F44" s="485"/>
      <c r="G44" s="485"/>
      <c r="H44" s="485"/>
      <c r="I44" s="485"/>
      <c r="J44" s="485"/>
      <c r="K44" s="485"/>
      <c r="L44" s="485"/>
      <c r="M44" s="485"/>
    </row>
    <row r="45" spans="1:13" x14ac:dyDescent="0.2">
      <c r="B45" s="485"/>
      <c r="D45" s="485"/>
      <c r="E45" s="485"/>
      <c r="F45" s="485"/>
      <c r="G45" s="485"/>
      <c r="H45" s="485"/>
      <c r="I45" s="485"/>
      <c r="J45" s="485"/>
      <c r="K45" s="485"/>
      <c r="L45" s="485"/>
      <c r="M45" s="485"/>
    </row>
    <row r="46" spans="1:13" x14ac:dyDescent="0.2">
      <c r="B46" s="485"/>
      <c r="C46" s="485"/>
      <c r="E46" s="485"/>
      <c r="F46" s="485"/>
      <c r="G46" s="485"/>
      <c r="H46" s="485"/>
      <c r="I46" s="485"/>
      <c r="J46" s="485"/>
      <c r="L46" s="485"/>
      <c r="M46" s="485"/>
    </row>
    <row r="47" spans="1:13" x14ac:dyDescent="0.2">
      <c r="B47" s="485"/>
      <c r="C47" s="485"/>
      <c r="D47" s="485"/>
      <c r="F47" s="485"/>
      <c r="G47" s="485"/>
      <c r="H47" s="485"/>
      <c r="I47" s="485"/>
      <c r="J47" s="485"/>
      <c r="L47" s="485"/>
      <c r="M47" s="485"/>
    </row>
    <row r="48" spans="1:13" x14ac:dyDescent="0.2">
      <c r="B48" s="485"/>
      <c r="C48" s="485"/>
      <c r="D48" s="485"/>
      <c r="E48" s="485"/>
      <c r="F48" s="485"/>
      <c r="G48" s="485"/>
      <c r="H48" s="485"/>
      <c r="I48" s="485"/>
      <c r="J48" s="485"/>
      <c r="K48" s="485"/>
      <c r="M48" s="485"/>
    </row>
    <row r="49" spans="1:15" x14ac:dyDescent="0.2">
      <c r="B49" s="485"/>
      <c r="C49" s="485"/>
      <c r="D49" s="485"/>
      <c r="E49" s="485"/>
      <c r="F49" s="485"/>
      <c r="H49" s="485"/>
      <c r="I49" s="485"/>
      <c r="J49" s="485"/>
      <c r="K49" s="485"/>
      <c r="L49" s="485"/>
      <c r="M49" s="485"/>
    </row>
    <row r="51" spans="1:15" x14ac:dyDescent="0.2">
      <c r="A51" s="315"/>
      <c r="B51" s="315"/>
      <c r="C51" s="315"/>
      <c r="D51" s="315"/>
      <c r="E51" s="315"/>
      <c r="F51" s="315"/>
      <c r="G51" s="315"/>
      <c r="H51" s="315"/>
      <c r="I51" s="315"/>
      <c r="J51" s="315"/>
      <c r="K51" s="315"/>
      <c r="L51" s="315"/>
      <c r="M51" s="315"/>
      <c r="N51" s="315"/>
      <c r="O51" s="315"/>
    </row>
    <row r="52" spans="1:15" x14ac:dyDescent="0.2">
      <c r="A52" s="315"/>
      <c r="B52" s="315"/>
      <c r="C52" s="315"/>
      <c r="D52" s="315"/>
      <c r="E52" s="315"/>
      <c r="F52" s="315"/>
      <c r="G52" s="315"/>
      <c r="H52" s="315"/>
      <c r="I52" s="315"/>
      <c r="J52" s="315"/>
      <c r="K52" s="315"/>
      <c r="L52" s="315"/>
      <c r="M52" s="315"/>
      <c r="N52" s="315"/>
      <c r="O52" s="315"/>
    </row>
    <row r="53" spans="1:15" x14ac:dyDescent="0.2">
      <c r="B53" s="315"/>
      <c r="C53" s="315"/>
      <c r="D53" s="315"/>
      <c r="E53" s="315"/>
      <c r="F53" s="315"/>
      <c r="G53" s="315"/>
      <c r="H53" s="315"/>
      <c r="I53" s="315"/>
      <c r="J53" s="315"/>
      <c r="L53" s="315"/>
      <c r="M53" s="315"/>
      <c r="N53" s="315"/>
      <c r="O53" s="315"/>
    </row>
    <row r="54" spans="1:15" x14ac:dyDescent="0.2">
      <c r="A54" s="315"/>
      <c r="B54" s="315"/>
      <c r="C54" s="315"/>
      <c r="D54" s="315"/>
      <c r="E54" s="315"/>
      <c r="F54" s="315"/>
      <c r="G54" s="315"/>
      <c r="H54" s="315"/>
      <c r="I54" s="315"/>
      <c r="J54" s="315"/>
      <c r="K54" s="315"/>
      <c r="L54" s="315"/>
      <c r="M54" s="315"/>
      <c r="N54" s="315"/>
      <c r="O54" s="315"/>
    </row>
    <row r="55" spans="1:15" x14ac:dyDescent="0.2">
      <c r="B55" s="315"/>
      <c r="C55" s="315"/>
      <c r="D55" s="315"/>
      <c r="E55" s="315"/>
      <c r="F55" s="315"/>
      <c r="G55" s="315"/>
      <c r="H55" s="315"/>
      <c r="K55" s="315"/>
      <c r="L55" s="315"/>
      <c r="N55" s="315"/>
      <c r="O55" s="315"/>
    </row>
    <row r="56" spans="1:15" x14ac:dyDescent="0.2">
      <c r="A56" s="315"/>
      <c r="B56" s="315"/>
      <c r="C56" s="315"/>
      <c r="D56" s="315"/>
      <c r="E56" s="315"/>
      <c r="F56" s="315"/>
      <c r="G56" s="315"/>
      <c r="H56" s="315"/>
      <c r="I56" s="315"/>
      <c r="J56" s="315"/>
      <c r="K56" s="315"/>
      <c r="L56" s="315"/>
      <c r="M56" s="315"/>
      <c r="N56" s="315"/>
      <c r="O56" s="315"/>
    </row>
    <row r="57" spans="1:15" x14ac:dyDescent="0.2">
      <c r="B57" s="315"/>
      <c r="C57" s="315"/>
      <c r="D57" s="315"/>
      <c r="E57" s="315"/>
      <c r="F57" s="315"/>
      <c r="G57" s="315"/>
      <c r="H57" s="315"/>
      <c r="I57" s="315"/>
      <c r="K57" s="315"/>
      <c r="L57" s="315"/>
      <c r="M57" s="315"/>
      <c r="N57" s="315"/>
      <c r="O57" s="315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Ent">
    <tabColor rgb="FFFFC000"/>
  </sheetPr>
  <dimension ref="A1:AI70"/>
  <sheetViews>
    <sheetView workbookViewId="0">
      <selection activeCell="G18" sqref="G18"/>
    </sheetView>
  </sheetViews>
  <sheetFormatPr defaultColWidth="9.140625" defaultRowHeight="15" x14ac:dyDescent="0.25"/>
  <cols>
    <col min="1" max="1" width="32.28515625" style="970" bestFit="1" customWidth="1"/>
    <col min="2" max="14" width="8.28515625" style="970" customWidth="1"/>
    <col min="15" max="15" width="35.140625" style="970" customWidth="1"/>
    <col min="16" max="30" width="7.7109375" style="970" customWidth="1"/>
    <col min="31" max="16384" width="9.140625" style="970"/>
  </cols>
  <sheetData>
    <row r="1" spans="1:35" x14ac:dyDescent="0.25">
      <c r="A1" s="970" t="s">
        <v>500</v>
      </c>
      <c r="O1" s="970" t="s">
        <v>5421</v>
      </c>
      <c r="AG1" s="968"/>
      <c r="AH1" s="979"/>
      <c r="AI1" s="968"/>
    </row>
    <row r="2" spans="1:35" x14ac:dyDescent="0.25">
      <c r="B2" s="970" t="s">
        <v>5418</v>
      </c>
      <c r="C2" s="968" t="s">
        <v>31</v>
      </c>
      <c r="D2" s="968" t="s">
        <v>31</v>
      </c>
      <c r="E2" s="968" t="s">
        <v>31</v>
      </c>
      <c r="F2" s="968" t="s">
        <v>162</v>
      </c>
      <c r="G2" s="968" t="s">
        <v>162</v>
      </c>
      <c r="H2" s="968" t="s">
        <v>162</v>
      </c>
      <c r="I2" s="968" t="s">
        <v>162</v>
      </c>
      <c r="J2" s="968" t="s">
        <v>162</v>
      </c>
      <c r="K2" s="968" t="s">
        <v>162</v>
      </c>
      <c r="L2" s="968" t="s">
        <v>950</v>
      </c>
      <c r="M2" s="968" t="s">
        <v>162</v>
      </c>
      <c r="N2" s="968"/>
      <c r="O2" s="968" t="s">
        <v>5425</v>
      </c>
      <c r="P2" s="968">
        <v>2</v>
      </c>
      <c r="Q2" s="968">
        <v>3</v>
      </c>
      <c r="R2" s="968">
        <v>4</v>
      </c>
      <c r="S2" s="968">
        <v>5</v>
      </c>
      <c r="T2" s="968">
        <v>6</v>
      </c>
      <c r="U2" s="968">
        <v>7</v>
      </c>
      <c r="V2" s="968">
        <v>8</v>
      </c>
      <c r="W2" s="968">
        <v>9</v>
      </c>
      <c r="X2" s="968">
        <v>10</v>
      </c>
      <c r="Y2" s="968">
        <v>11</v>
      </c>
      <c r="Z2" s="968">
        <v>12</v>
      </c>
      <c r="AA2" s="968">
        <v>13</v>
      </c>
      <c r="AG2" s="968"/>
      <c r="AH2" s="979"/>
      <c r="AI2" s="968"/>
    </row>
    <row r="3" spans="1:35" x14ac:dyDescent="0.25">
      <c r="A3" s="968"/>
      <c r="B3" s="968" t="s">
        <v>234</v>
      </c>
      <c r="C3" s="968" t="s">
        <v>228</v>
      </c>
      <c r="D3" s="968" t="s">
        <v>550</v>
      </c>
      <c r="E3" s="968" t="s">
        <v>551</v>
      </c>
      <c r="F3" s="968" t="s">
        <v>229</v>
      </c>
      <c r="G3" s="968" t="s">
        <v>230</v>
      </c>
      <c r="H3" s="968" t="s">
        <v>231</v>
      </c>
      <c r="I3" s="968" t="s">
        <v>549</v>
      </c>
      <c r="J3" s="968" t="s">
        <v>232</v>
      </c>
      <c r="K3" s="968" t="s">
        <v>948</v>
      </c>
      <c r="L3" s="968" t="s">
        <v>949</v>
      </c>
      <c r="M3" s="968" t="s">
        <v>603</v>
      </c>
      <c r="N3" s="968"/>
      <c r="O3" s="968"/>
      <c r="P3" s="968" t="s">
        <v>234</v>
      </c>
      <c r="Q3" s="968" t="s">
        <v>196</v>
      </c>
      <c r="R3" s="968" t="s">
        <v>235</v>
      </c>
      <c r="S3" s="968" t="s">
        <v>197</v>
      </c>
      <c r="T3" s="968" t="s">
        <v>229</v>
      </c>
      <c r="U3" s="968" t="s">
        <v>230</v>
      </c>
      <c r="V3" s="968" t="s">
        <v>231</v>
      </c>
      <c r="W3" s="968" t="s">
        <v>236</v>
      </c>
      <c r="X3" s="968" t="s">
        <v>232</v>
      </c>
      <c r="Y3" s="968" t="s">
        <v>948</v>
      </c>
      <c r="Z3" s="968" t="s">
        <v>949</v>
      </c>
      <c r="AA3" s="968" t="s">
        <v>603</v>
      </c>
      <c r="AG3" s="968"/>
      <c r="AH3" s="979"/>
      <c r="AI3" s="968"/>
    </row>
    <row r="4" spans="1:35" x14ac:dyDescent="0.25">
      <c r="A4" s="968"/>
      <c r="B4" s="968" t="s">
        <v>234</v>
      </c>
      <c r="C4" s="968" t="s">
        <v>196</v>
      </c>
      <c r="D4" s="968" t="s">
        <v>235</v>
      </c>
      <c r="E4" s="968" t="s">
        <v>197</v>
      </c>
      <c r="F4" s="968" t="s">
        <v>229</v>
      </c>
      <c r="G4" s="968" t="s">
        <v>230</v>
      </c>
      <c r="H4" s="968" t="s">
        <v>231</v>
      </c>
      <c r="I4" s="968" t="s">
        <v>236</v>
      </c>
      <c r="J4" s="968" t="s">
        <v>232</v>
      </c>
      <c r="K4" s="968" t="s">
        <v>948</v>
      </c>
      <c r="L4" s="968" t="s">
        <v>949</v>
      </c>
      <c r="M4" s="968" t="s">
        <v>603</v>
      </c>
      <c r="N4" s="968"/>
      <c r="O4" s="968"/>
      <c r="P4" s="970" t="str">
        <f>VLOOKUP(P3,Tbl_Glob_Conversie,3,FALSE)</f>
        <v>kcal</v>
      </c>
      <c r="Q4" s="970" t="str">
        <f>VLOOKUP(Q3,Tbl_Glob_Conversie,3,FALSE)</f>
        <v>gram</v>
      </c>
      <c r="R4" s="970" t="str">
        <f>VLOOKUP(R3,Tbl_Glob_Conversie,3,FALSE)</f>
        <v>gram</v>
      </c>
      <c r="S4" s="970" t="str">
        <f>VLOOKUP(S3,Tbl_Glob_Conversie,3,FALSE)</f>
        <v>gram</v>
      </c>
      <c r="T4" s="970" t="str">
        <f>VLOOKUP(T3,Tbl_Glob_Conversie,3,FALSE)</f>
        <v>mmol</v>
      </c>
      <c r="U4" s="970" t="str">
        <f>VLOOKUP(U3,Tbl_Glob_Conversie,3,FALSE)</f>
        <v>mmol</v>
      </c>
      <c r="V4" s="970" t="str">
        <f>VLOOKUP(V3,Tbl_Glob_Conversie,3,FALSE)</f>
        <v>mmol</v>
      </c>
      <c r="W4" s="970" t="str">
        <f>VLOOKUP(W3,Tbl_Glob_Conversie,3,FALSE)</f>
        <v>mmol</v>
      </c>
      <c r="X4" s="970" t="str">
        <f>VLOOKUP(X3,Tbl_Glob_Conversie,3,FALSE)</f>
        <v>mmol</v>
      </c>
      <c r="Y4" s="970" t="str">
        <f>VLOOKUP(Y3,Tbl_Glob_Conversie,3,FALSE)</f>
        <v>mmol</v>
      </c>
      <c r="Z4" s="970" t="str">
        <f>VLOOKUP(Z3,Tbl_Glob_Conversie,3,FALSE)</f>
        <v>IE</v>
      </c>
      <c r="AA4" s="970" t="str">
        <f>VLOOKUP(AA3,Tbl_Glob_Conversie,3,FALSE)</f>
        <v>mmol</v>
      </c>
      <c r="AG4" s="968"/>
      <c r="AH4" s="979"/>
      <c r="AI4" s="968"/>
    </row>
    <row r="5" spans="1:35" x14ac:dyDescent="0.25">
      <c r="A5" s="968"/>
      <c r="B5" s="968">
        <v>2</v>
      </c>
      <c r="C5" s="968">
        <v>3</v>
      </c>
      <c r="D5" s="968">
        <v>4</v>
      </c>
      <c r="E5" s="968">
        <v>5</v>
      </c>
      <c r="F5" s="968">
        <v>6</v>
      </c>
      <c r="G5" s="968">
        <v>7</v>
      </c>
      <c r="H5" s="968">
        <v>8</v>
      </c>
      <c r="I5" s="968">
        <v>9</v>
      </c>
      <c r="J5" s="968">
        <v>10</v>
      </c>
      <c r="K5" s="968">
        <v>11</v>
      </c>
      <c r="L5" s="968">
        <v>12</v>
      </c>
      <c r="M5" s="968">
        <v>13</v>
      </c>
      <c r="N5" s="968"/>
      <c r="O5" s="968"/>
      <c r="AG5" s="968"/>
      <c r="AH5" s="979"/>
      <c r="AI5" s="968"/>
    </row>
    <row r="6" spans="1:35" x14ac:dyDescent="0.25">
      <c r="A6" s="968" t="s">
        <v>165</v>
      </c>
      <c r="B6" s="968">
        <v>68</v>
      </c>
      <c r="C6" s="968">
        <v>1</v>
      </c>
      <c r="D6" s="969">
        <v>7.0000000000000009</v>
      </c>
      <c r="E6" s="969">
        <v>4</v>
      </c>
      <c r="F6" s="968">
        <v>20</v>
      </c>
      <c r="G6" s="968">
        <v>50.000000000000007</v>
      </c>
      <c r="H6" s="968">
        <v>30</v>
      </c>
      <c r="I6" s="968">
        <v>15</v>
      </c>
      <c r="J6" s="968">
        <v>3.0000000000000004</v>
      </c>
      <c r="K6" s="969">
        <v>0.1</v>
      </c>
      <c r="L6" s="968">
        <v>0</v>
      </c>
      <c r="M6" s="968">
        <v>43</v>
      </c>
      <c r="N6" s="968"/>
      <c r="O6" s="968" t="str">
        <f>A6</f>
        <v>MM</v>
      </c>
      <c r="P6" s="970">
        <f>VLOOKUP(P$3,Tbl_Glob_Conversie,2,FALSE)*B6/100</f>
        <v>0.68</v>
      </c>
      <c r="Q6" s="970">
        <f>VLOOKUP(Q$3,Tbl_Glob_Conversie,2,FALSE)*C6/100</f>
        <v>0.01</v>
      </c>
      <c r="R6" s="970">
        <f>VLOOKUP(R$3,Tbl_Glob_Conversie,2,FALSE)*D6/100</f>
        <v>7.0000000000000007E-2</v>
      </c>
      <c r="S6" s="970">
        <f>VLOOKUP(S$3,Tbl_Glob_Conversie,2,FALSE)*E6/100</f>
        <v>0.04</v>
      </c>
      <c r="T6" s="970">
        <f>VLOOKUP(T$3,Tbl_Glob_Conversie,2,FALSE)*F6/100</f>
        <v>8.6956000000000012E-3</v>
      </c>
      <c r="U6" s="970">
        <f>VLOOKUP(U$3,Tbl_Glob_Conversie,2,FALSE)*G6/100</f>
        <v>1.2820500000000002E-2</v>
      </c>
      <c r="V6" s="970">
        <f>VLOOKUP(V$3,Tbl_Glob_Conversie,2,FALSE)*H6/100</f>
        <v>7.4700000000000001E-3</v>
      </c>
      <c r="W6" s="970">
        <f>VLOOKUP(W$3,Tbl_Glob_Conversie,2,FALSE)*I6/100</f>
        <v>4.8433499999999997E-3</v>
      </c>
      <c r="X6" s="970">
        <f>VLOOKUP(X$3,Tbl_Glob_Conversie,2,FALSE)*J6/100</f>
        <v>1.23423E-3</v>
      </c>
      <c r="Y6" s="970">
        <f>VLOOKUP(Y$3,Tbl_Glob_Conversie,2,FALSE)*K6/100</f>
        <v>1.7899999999999998E-5</v>
      </c>
      <c r="Z6" s="970">
        <f>VLOOKUP(Z$3,Tbl_Glob_Conversie,2,FALSE)*L6/100</f>
        <v>0</v>
      </c>
      <c r="AA6" s="970">
        <f>VLOOKUP(AA$3,Tbl_Glob_Conversie,2,FALSE)*M6/100</f>
        <v>1.212858E-2</v>
      </c>
      <c r="AG6" s="968"/>
      <c r="AH6" s="979"/>
      <c r="AI6" s="968"/>
    </row>
    <row r="7" spans="1:35" x14ac:dyDescent="0.25">
      <c r="A7" s="968" t="s">
        <v>953</v>
      </c>
      <c r="B7" s="968">
        <v>80</v>
      </c>
      <c r="C7" s="968">
        <v>2.6</v>
      </c>
      <c r="D7" s="969">
        <v>8.4</v>
      </c>
      <c r="E7" s="969">
        <v>3.9</v>
      </c>
      <c r="F7" s="968">
        <v>70</v>
      </c>
      <c r="G7" s="968">
        <v>80</v>
      </c>
      <c r="H7" s="968">
        <v>100</v>
      </c>
      <c r="I7" s="968">
        <v>56</v>
      </c>
      <c r="J7" s="968">
        <v>8</v>
      </c>
      <c r="K7" s="969">
        <v>1.6</v>
      </c>
      <c r="L7" s="968">
        <v>3</v>
      </c>
      <c r="M7" s="968">
        <v>85</v>
      </c>
      <c r="N7" s="968"/>
      <c r="O7" s="968" t="str">
        <f t="shared" ref="O7:O38" si="0">A7</f>
        <v>Nutrilon Nenatal Start</v>
      </c>
      <c r="P7" s="970">
        <f>VLOOKUP(P$3,Tbl_Glob_Conversie,2,FALSE)*B7/100</f>
        <v>0.8</v>
      </c>
      <c r="Q7" s="970">
        <f>VLOOKUP(Q$3,Tbl_Glob_Conversie,2,FALSE)*C7/100</f>
        <v>2.6000000000000002E-2</v>
      </c>
      <c r="R7" s="970">
        <f>VLOOKUP(R$3,Tbl_Glob_Conversie,2,FALSE)*D7/100</f>
        <v>8.4000000000000005E-2</v>
      </c>
      <c r="S7" s="970">
        <f>VLOOKUP(S$3,Tbl_Glob_Conversie,2,FALSE)*E7/100</f>
        <v>3.9E-2</v>
      </c>
      <c r="T7" s="970">
        <f>VLOOKUP(T$3,Tbl_Glob_Conversie,2,FALSE)*F7/100</f>
        <v>3.0434599999999999E-2</v>
      </c>
      <c r="U7" s="970">
        <f>VLOOKUP(U$3,Tbl_Glob_Conversie,2,FALSE)*G7/100</f>
        <v>2.0512800000000001E-2</v>
      </c>
      <c r="V7" s="970">
        <f>VLOOKUP(V$3,Tbl_Glob_Conversie,2,FALSE)*H7/100</f>
        <v>2.4899999999999999E-2</v>
      </c>
      <c r="W7" s="970">
        <f>VLOOKUP(W$3,Tbl_Glob_Conversie,2,FALSE)*I7/100</f>
        <v>1.8081839999999998E-2</v>
      </c>
      <c r="X7" s="970">
        <f>VLOOKUP(X$3,Tbl_Glob_Conversie,2,FALSE)*J7/100</f>
        <v>3.2912799999999997E-3</v>
      </c>
      <c r="Y7" s="970">
        <f>VLOOKUP(Y$3,Tbl_Glob_Conversie,2,FALSE)*K7/100</f>
        <v>2.8639999999999997E-4</v>
      </c>
      <c r="Z7" s="970">
        <f>VLOOKUP(Z$3,Tbl_Glob_Conversie,2,FALSE)*L7/100</f>
        <v>1.2</v>
      </c>
      <c r="AA7" s="970">
        <f>VLOOKUP(AA$3,Tbl_Glob_Conversie,2,FALSE)*M7/100</f>
        <v>2.3975099999999999E-2</v>
      </c>
      <c r="AG7" s="968"/>
      <c r="AH7" s="979"/>
      <c r="AI7" s="968"/>
    </row>
    <row r="8" spans="1:35" x14ac:dyDescent="0.25">
      <c r="A8" s="968" t="s">
        <v>954</v>
      </c>
      <c r="B8" s="968">
        <v>75</v>
      </c>
      <c r="C8" s="968">
        <v>2</v>
      </c>
      <c r="D8" s="969">
        <v>7.5</v>
      </c>
      <c r="E8" s="969">
        <v>4</v>
      </c>
      <c r="F8" s="968">
        <v>28</v>
      </c>
      <c r="G8" s="968">
        <v>77</v>
      </c>
      <c r="H8" s="968">
        <v>87</v>
      </c>
      <c r="I8" s="968">
        <v>47</v>
      </c>
      <c r="J8" s="968">
        <v>7</v>
      </c>
      <c r="K8" s="969">
        <v>1.2</v>
      </c>
      <c r="L8" s="968">
        <v>1.7</v>
      </c>
      <c r="M8" s="968">
        <v>55</v>
      </c>
      <c r="N8" s="968"/>
      <c r="O8" s="968" t="str">
        <f t="shared" si="0"/>
        <v>Nutrilon Nenatal 1</v>
      </c>
      <c r="P8" s="970">
        <f>VLOOKUP(P$3,Tbl_Glob_Conversie,2,FALSE)*B8/100</f>
        <v>0.75</v>
      </c>
      <c r="Q8" s="970">
        <f>VLOOKUP(Q$3,Tbl_Glob_Conversie,2,FALSE)*C8/100</f>
        <v>0.02</v>
      </c>
      <c r="R8" s="970">
        <f>VLOOKUP(R$3,Tbl_Glob_Conversie,2,FALSE)*D8/100</f>
        <v>7.4999999999999997E-2</v>
      </c>
      <c r="S8" s="970">
        <f>VLOOKUP(S$3,Tbl_Glob_Conversie,2,FALSE)*E8/100</f>
        <v>0.04</v>
      </c>
      <c r="T8" s="970">
        <f>VLOOKUP(T$3,Tbl_Glob_Conversie,2,FALSE)*F8/100</f>
        <v>1.217384E-2</v>
      </c>
      <c r="U8" s="970">
        <f>VLOOKUP(U$3,Tbl_Glob_Conversie,2,FALSE)*G8/100</f>
        <v>1.9743570000000002E-2</v>
      </c>
      <c r="V8" s="970">
        <f>VLOOKUP(V$3,Tbl_Glob_Conversie,2,FALSE)*H8/100</f>
        <v>2.1662999999999998E-2</v>
      </c>
      <c r="W8" s="970">
        <f>VLOOKUP(W$3,Tbl_Glob_Conversie,2,FALSE)*I8/100</f>
        <v>1.517583E-2</v>
      </c>
      <c r="X8" s="970">
        <f>VLOOKUP(X$3,Tbl_Glob_Conversie,2,FALSE)*J8/100</f>
        <v>2.8798700000000001E-3</v>
      </c>
      <c r="Y8" s="970">
        <f>VLOOKUP(Y$3,Tbl_Glob_Conversie,2,FALSE)*K8/100</f>
        <v>2.1479999999999999E-4</v>
      </c>
      <c r="Z8" s="970">
        <f>VLOOKUP(Z$3,Tbl_Glob_Conversie,2,FALSE)*L8/100</f>
        <v>0.68</v>
      </c>
      <c r="AA8" s="970">
        <f>VLOOKUP(AA$3,Tbl_Glob_Conversie,2,FALSE)*M8/100</f>
        <v>1.5513299999999999E-2</v>
      </c>
    </row>
    <row r="9" spans="1:35" x14ac:dyDescent="0.25">
      <c r="A9" s="968" t="s">
        <v>955</v>
      </c>
      <c r="B9" s="972">
        <v>66</v>
      </c>
      <c r="C9" s="972">
        <v>1.5</v>
      </c>
      <c r="D9" s="971">
        <v>7.2</v>
      </c>
      <c r="E9" s="971">
        <v>3.4</v>
      </c>
      <c r="F9" s="972">
        <v>25</v>
      </c>
      <c r="G9" s="972">
        <v>73</v>
      </c>
      <c r="H9" s="972">
        <v>46</v>
      </c>
      <c r="I9" s="972">
        <v>26</v>
      </c>
      <c r="J9" s="972">
        <v>5.0999999999999996</v>
      </c>
      <c r="K9" s="976">
        <v>0.53</v>
      </c>
      <c r="L9" s="972">
        <v>1.2</v>
      </c>
      <c r="M9" s="968">
        <v>41</v>
      </c>
      <c r="N9" s="968"/>
      <c r="O9" s="968" t="str">
        <f t="shared" si="0"/>
        <v>Nutrilon Hypoallergeen 1</v>
      </c>
      <c r="P9" s="970">
        <f>VLOOKUP(P$3,Tbl_Glob_Conversie,2,FALSE)*B9/100</f>
        <v>0.66</v>
      </c>
      <c r="Q9" s="970">
        <f>VLOOKUP(Q$3,Tbl_Glob_Conversie,2,FALSE)*C9/100</f>
        <v>1.4999999999999999E-2</v>
      </c>
      <c r="R9" s="970">
        <f>VLOOKUP(R$3,Tbl_Glob_Conversie,2,FALSE)*D9/100</f>
        <v>7.2000000000000008E-2</v>
      </c>
      <c r="S9" s="970">
        <f>VLOOKUP(S$3,Tbl_Glob_Conversie,2,FALSE)*E9/100</f>
        <v>3.4000000000000002E-2</v>
      </c>
      <c r="T9" s="970">
        <f>VLOOKUP(T$3,Tbl_Glob_Conversie,2,FALSE)*F9/100</f>
        <v>1.0869500000000001E-2</v>
      </c>
      <c r="U9" s="970">
        <f>VLOOKUP(U$3,Tbl_Glob_Conversie,2,FALSE)*G9/100</f>
        <v>1.8717930000000001E-2</v>
      </c>
      <c r="V9" s="970">
        <f>VLOOKUP(V$3,Tbl_Glob_Conversie,2,FALSE)*H9/100</f>
        <v>1.1453999999999999E-2</v>
      </c>
      <c r="W9" s="970">
        <f>VLOOKUP(W$3,Tbl_Glob_Conversie,2,FALSE)*I9/100</f>
        <v>8.3951400000000006E-3</v>
      </c>
      <c r="X9" s="970">
        <f>VLOOKUP(X$3,Tbl_Glob_Conversie,2,FALSE)*J9/100</f>
        <v>2.0981909999999997E-3</v>
      </c>
      <c r="Y9" s="970">
        <f>VLOOKUP(Y$3,Tbl_Glob_Conversie,2,FALSE)*K9/100</f>
        <v>9.4870000000000005E-5</v>
      </c>
      <c r="Z9" s="970">
        <f>VLOOKUP(Z$3,Tbl_Glob_Conversie,2,FALSE)*L9/100</f>
        <v>0.48</v>
      </c>
      <c r="AA9" s="970">
        <f>VLOOKUP(AA$3,Tbl_Glob_Conversie,2,FALSE)*M9/100</f>
        <v>1.1564459999999999E-2</v>
      </c>
    </row>
    <row r="10" spans="1:35" x14ac:dyDescent="0.25">
      <c r="A10" s="968" t="s">
        <v>608</v>
      </c>
      <c r="B10" s="968">
        <v>66</v>
      </c>
      <c r="C10" s="968">
        <v>1.3</v>
      </c>
      <c r="D10" s="969">
        <v>7.3</v>
      </c>
      <c r="E10" s="969">
        <v>3.4</v>
      </c>
      <c r="F10" s="968">
        <v>17</v>
      </c>
      <c r="G10" s="968">
        <v>68</v>
      </c>
      <c r="H10" s="968">
        <v>57</v>
      </c>
      <c r="I10" s="968">
        <v>32</v>
      </c>
      <c r="J10" s="968">
        <v>5.0999999999999996</v>
      </c>
      <c r="K10" s="969">
        <v>3.9</v>
      </c>
      <c r="L10" s="968">
        <v>8.6999999999999993</v>
      </c>
      <c r="M10" s="968">
        <v>42</v>
      </c>
      <c r="N10" s="968"/>
      <c r="O10" s="968" t="str">
        <f t="shared" si="0"/>
        <v>Nutrilon Standaard 1</v>
      </c>
      <c r="P10" s="970">
        <f>VLOOKUP(P$3,Tbl_Glob_Conversie,2,FALSE)*B10/100</f>
        <v>0.66</v>
      </c>
      <c r="Q10" s="970">
        <f>VLOOKUP(Q$3,Tbl_Glob_Conversie,2,FALSE)*C10/100</f>
        <v>1.3000000000000001E-2</v>
      </c>
      <c r="R10" s="970">
        <f>VLOOKUP(R$3,Tbl_Glob_Conversie,2,FALSE)*D10/100</f>
        <v>7.2999999999999995E-2</v>
      </c>
      <c r="S10" s="970">
        <f>VLOOKUP(S$3,Tbl_Glob_Conversie,2,FALSE)*E10/100</f>
        <v>3.4000000000000002E-2</v>
      </c>
      <c r="T10" s="970">
        <f>VLOOKUP(T$3,Tbl_Glob_Conversie,2,FALSE)*F10/100</f>
        <v>7.3912600000000002E-3</v>
      </c>
      <c r="U10" s="970">
        <f>VLOOKUP(U$3,Tbl_Glob_Conversie,2,FALSE)*G10/100</f>
        <v>1.7435880000000001E-2</v>
      </c>
      <c r="V10" s="970">
        <f>VLOOKUP(V$3,Tbl_Glob_Conversie,2,FALSE)*H10/100</f>
        <v>1.4193000000000001E-2</v>
      </c>
      <c r="W10" s="970">
        <f>VLOOKUP(W$3,Tbl_Glob_Conversie,2,FALSE)*I10/100</f>
        <v>1.033248E-2</v>
      </c>
      <c r="X10" s="970">
        <f>VLOOKUP(X$3,Tbl_Glob_Conversie,2,FALSE)*J10/100</f>
        <v>2.0981909999999997E-3</v>
      </c>
      <c r="Y10" s="970">
        <f>VLOOKUP(Y$3,Tbl_Glob_Conversie,2,FALSE)*K10/100</f>
        <v>6.981E-4</v>
      </c>
      <c r="Z10" s="970">
        <f>VLOOKUP(Z$3,Tbl_Glob_Conversie,2,FALSE)*L10/100</f>
        <v>3.48</v>
      </c>
      <c r="AA10" s="970">
        <f>VLOOKUP(AA$3,Tbl_Glob_Conversie,2,FALSE)*M10/100</f>
        <v>1.1846520000000001E-2</v>
      </c>
    </row>
    <row r="11" spans="1:35" x14ac:dyDescent="0.25">
      <c r="A11" s="968" t="s">
        <v>1018</v>
      </c>
      <c r="B11" s="968">
        <v>68</v>
      </c>
      <c r="C11" s="968">
        <v>1.4</v>
      </c>
      <c r="D11" s="969">
        <v>8.6</v>
      </c>
      <c r="E11" s="969">
        <v>3</v>
      </c>
      <c r="F11" s="968">
        <v>23</v>
      </c>
      <c r="G11" s="968">
        <v>74</v>
      </c>
      <c r="H11" s="968">
        <v>65</v>
      </c>
      <c r="I11" s="968">
        <v>36</v>
      </c>
      <c r="J11" s="968">
        <v>4.8</v>
      </c>
      <c r="K11" s="969">
        <v>7</v>
      </c>
      <c r="L11" s="968">
        <v>1.4</v>
      </c>
      <c r="M11" s="968">
        <v>47</v>
      </c>
      <c r="N11" s="968"/>
      <c r="O11" s="968" t="str">
        <f t="shared" si="0"/>
        <v>Nutrilon Standaard 2</v>
      </c>
      <c r="P11" s="970">
        <f>VLOOKUP(P$3,Tbl_Glob_Conversie,2,FALSE)*B11/100</f>
        <v>0.68</v>
      </c>
      <c r="Q11" s="970">
        <f>VLOOKUP(Q$3,Tbl_Glob_Conversie,2,FALSE)*C11/100</f>
        <v>1.3999999999999999E-2</v>
      </c>
      <c r="R11" s="970">
        <f>VLOOKUP(R$3,Tbl_Glob_Conversie,2,FALSE)*D11/100</f>
        <v>8.5999999999999993E-2</v>
      </c>
      <c r="S11" s="970">
        <f>VLOOKUP(S$3,Tbl_Glob_Conversie,2,FALSE)*E11/100</f>
        <v>0.03</v>
      </c>
      <c r="T11" s="970">
        <f>VLOOKUP(T$3,Tbl_Glob_Conversie,2,FALSE)*F11/100</f>
        <v>9.9999400000000006E-3</v>
      </c>
      <c r="U11" s="970">
        <f>VLOOKUP(U$3,Tbl_Glob_Conversie,2,FALSE)*G11/100</f>
        <v>1.8974339999999999E-2</v>
      </c>
      <c r="V11" s="970">
        <f>VLOOKUP(V$3,Tbl_Glob_Conversie,2,FALSE)*H11/100</f>
        <v>1.6184999999999998E-2</v>
      </c>
      <c r="W11" s="970">
        <f>VLOOKUP(W$3,Tbl_Glob_Conversie,2,FALSE)*I11/100</f>
        <v>1.162404E-2</v>
      </c>
      <c r="X11" s="970">
        <f>VLOOKUP(X$3,Tbl_Glob_Conversie,2,FALSE)*J11/100</f>
        <v>1.974768E-3</v>
      </c>
      <c r="Y11" s="970">
        <f>VLOOKUP(Y$3,Tbl_Glob_Conversie,2,FALSE)*K11/100</f>
        <v>1.253E-3</v>
      </c>
      <c r="Z11" s="970">
        <f>VLOOKUP(Z$3,Tbl_Glob_Conversie,2,FALSE)*L11/100</f>
        <v>0.56000000000000005</v>
      </c>
      <c r="AA11" s="970">
        <f>VLOOKUP(AA$3,Tbl_Glob_Conversie,2,FALSE)*M11/100</f>
        <v>1.3256820000000001E-2</v>
      </c>
    </row>
    <row r="12" spans="1:35" x14ac:dyDescent="0.25">
      <c r="A12" s="968" t="s">
        <v>17</v>
      </c>
      <c r="B12" s="968">
        <v>100</v>
      </c>
      <c r="C12" s="968">
        <v>2.6</v>
      </c>
      <c r="D12" s="969">
        <v>10.3</v>
      </c>
      <c r="E12" s="969">
        <v>5.4</v>
      </c>
      <c r="F12" s="968">
        <v>37</v>
      </c>
      <c r="G12" s="968">
        <v>95</v>
      </c>
      <c r="H12" s="968">
        <v>100</v>
      </c>
      <c r="I12" s="968">
        <v>50</v>
      </c>
      <c r="J12" s="968">
        <v>9</v>
      </c>
      <c r="K12" s="969">
        <v>1.2</v>
      </c>
      <c r="L12" s="968">
        <v>1.9</v>
      </c>
      <c r="M12" s="968">
        <v>62</v>
      </c>
      <c r="N12" s="968"/>
      <c r="O12" s="968" t="str">
        <f t="shared" si="0"/>
        <v>Infatrini</v>
      </c>
      <c r="P12" s="970">
        <f>VLOOKUP(P$3,Tbl_Glob_Conversie,2,FALSE)*B12/100</f>
        <v>1</v>
      </c>
      <c r="Q12" s="970">
        <f>VLOOKUP(Q$3,Tbl_Glob_Conversie,2,FALSE)*C12/100</f>
        <v>2.6000000000000002E-2</v>
      </c>
      <c r="R12" s="970">
        <f>VLOOKUP(R$3,Tbl_Glob_Conversie,2,FALSE)*D12/100</f>
        <v>0.10300000000000001</v>
      </c>
      <c r="S12" s="970">
        <f>VLOOKUP(S$3,Tbl_Glob_Conversie,2,FALSE)*E12/100</f>
        <v>5.4000000000000006E-2</v>
      </c>
      <c r="T12" s="970">
        <f>VLOOKUP(T$3,Tbl_Glob_Conversie,2,FALSE)*F12/100</f>
        <v>1.6086860000000001E-2</v>
      </c>
      <c r="U12" s="970">
        <f>VLOOKUP(U$3,Tbl_Glob_Conversie,2,FALSE)*G12/100</f>
        <v>2.4358950000000001E-2</v>
      </c>
      <c r="V12" s="970">
        <f>VLOOKUP(V$3,Tbl_Glob_Conversie,2,FALSE)*H12/100</f>
        <v>2.4899999999999999E-2</v>
      </c>
      <c r="W12" s="970">
        <f>VLOOKUP(W$3,Tbl_Glob_Conversie,2,FALSE)*I12/100</f>
        <v>1.6144499999999999E-2</v>
      </c>
      <c r="X12" s="970">
        <f>VLOOKUP(X$3,Tbl_Glob_Conversie,2,FALSE)*J12/100</f>
        <v>3.7026899999999998E-3</v>
      </c>
      <c r="Y12" s="970">
        <f>VLOOKUP(Y$3,Tbl_Glob_Conversie,2,FALSE)*K12/100</f>
        <v>2.1479999999999999E-4</v>
      </c>
      <c r="Z12" s="970">
        <f>VLOOKUP(Z$3,Tbl_Glob_Conversie,2,FALSE)*L12/100</f>
        <v>0.76</v>
      </c>
      <c r="AA12" s="970">
        <f>VLOOKUP(AA$3,Tbl_Glob_Conversie,2,FALSE)*M12/100</f>
        <v>1.7487719999999998E-2</v>
      </c>
    </row>
    <row r="13" spans="1:35" x14ac:dyDescent="0.25">
      <c r="A13" s="968" t="s">
        <v>1040</v>
      </c>
      <c r="B13" s="968">
        <v>100</v>
      </c>
      <c r="C13" s="968">
        <v>2.6</v>
      </c>
      <c r="D13" s="969">
        <v>10.3</v>
      </c>
      <c r="E13" s="969">
        <v>5.4</v>
      </c>
      <c r="F13" s="968">
        <v>32</v>
      </c>
      <c r="G13" s="968">
        <v>108</v>
      </c>
      <c r="H13" s="968">
        <v>80</v>
      </c>
      <c r="I13" s="968">
        <v>40</v>
      </c>
      <c r="J13" s="968">
        <v>8</v>
      </c>
      <c r="K13" s="969">
        <v>1</v>
      </c>
      <c r="L13" s="968">
        <v>1.7</v>
      </c>
      <c r="M13" s="968">
        <v>64</v>
      </c>
      <c r="N13" s="968"/>
      <c r="O13" s="968" t="str">
        <f t="shared" si="0"/>
        <v>Infatrini Peptisorb</v>
      </c>
      <c r="P13" s="970">
        <f>VLOOKUP(P$3,Tbl_Glob_Conversie,2,FALSE)*B13/100</f>
        <v>1</v>
      </c>
      <c r="Q13" s="970">
        <f>VLOOKUP(Q$3,Tbl_Glob_Conversie,2,FALSE)*C13/100</f>
        <v>2.6000000000000002E-2</v>
      </c>
      <c r="R13" s="970">
        <f>VLOOKUP(R$3,Tbl_Glob_Conversie,2,FALSE)*D13/100</f>
        <v>0.10300000000000001</v>
      </c>
      <c r="S13" s="970">
        <f>VLOOKUP(S$3,Tbl_Glob_Conversie,2,FALSE)*E13/100</f>
        <v>5.4000000000000006E-2</v>
      </c>
      <c r="T13" s="970">
        <f>VLOOKUP(T$3,Tbl_Glob_Conversie,2,FALSE)*F13/100</f>
        <v>1.391296E-2</v>
      </c>
      <c r="U13" s="970">
        <f>VLOOKUP(U$3,Tbl_Glob_Conversie,2,FALSE)*G13/100</f>
        <v>2.769228E-2</v>
      </c>
      <c r="V13" s="970">
        <f>VLOOKUP(V$3,Tbl_Glob_Conversie,2,FALSE)*H13/100</f>
        <v>1.992E-2</v>
      </c>
      <c r="W13" s="970">
        <f>VLOOKUP(W$3,Tbl_Glob_Conversie,2,FALSE)*I13/100</f>
        <v>1.2915600000000001E-2</v>
      </c>
      <c r="X13" s="970">
        <f>VLOOKUP(X$3,Tbl_Glob_Conversie,2,FALSE)*J13/100</f>
        <v>3.2912799999999997E-3</v>
      </c>
      <c r="Y13" s="970">
        <f>VLOOKUP(Y$3,Tbl_Glob_Conversie,2,FALSE)*K13/100</f>
        <v>1.7899999999999999E-4</v>
      </c>
      <c r="Z13" s="970">
        <f>VLOOKUP(Z$3,Tbl_Glob_Conversie,2,FALSE)*L13/100</f>
        <v>0.68</v>
      </c>
      <c r="AA13" s="970">
        <f>VLOOKUP(AA$3,Tbl_Glob_Conversie,2,FALSE)*M13/100</f>
        <v>1.805184E-2</v>
      </c>
    </row>
    <row r="14" spans="1:35" x14ac:dyDescent="0.25">
      <c r="A14" s="968" t="s">
        <v>1031</v>
      </c>
      <c r="B14" s="968">
        <v>67</v>
      </c>
      <c r="C14" s="968">
        <v>1.6</v>
      </c>
      <c r="D14" s="969">
        <v>7</v>
      </c>
      <c r="E14" s="969">
        <v>3.5</v>
      </c>
      <c r="F14" s="968">
        <v>20</v>
      </c>
      <c r="G14" s="968">
        <v>81</v>
      </c>
      <c r="H14" s="968">
        <v>47</v>
      </c>
      <c r="I14" s="968">
        <v>26</v>
      </c>
      <c r="J14" s="968">
        <v>5.3</v>
      </c>
      <c r="K14" s="976">
        <v>0.53</v>
      </c>
      <c r="L14" s="968">
        <v>1.3</v>
      </c>
      <c r="M14" s="968">
        <v>40</v>
      </c>
      <c r="N14" s="968"/>
      <c r="O14" s="968" t="str">
        <f t="shared" si="0"/>
        <v>Nutrilon Pepti 1</v>
      </c>
      <c r="P14" s="970">
        <f>VLOOKUP(P$3,Tbl_Glob_Conversie,2,FALSE)*B14/100</f>
        <v>0.67</v>
      </c>
      <c r="Q14" s="970">
        <f>VLOOKUP(Q$3,Tbl_Glob_Conversie,2,FALSE)*C14/100</f>
        <v>1.6E-2</v>
      </c>
      <c r="R14" s="970">
        <f>VLOOKUP(R$3,Tbl_Glob_Conversie,2,FALSE)*D14/100</f>
        <v>7.0000000000000007E-2</v>
      </c>
      <c r="S14" s="970">
        <f>VLOOKUP(S$3,Tbl_Glob_Conversie,2,FALSE)*E14/100</f>
        <v>3.5000000000000003E-2</v>
      </c>
      <c r="T14" s="970">
        <f>VLOOKUP(T$3,Tbl_Glob_Conversie,2,FALSE)*F14/100</f>
        <v>8.6956000000000012E-3</v>
      </c>
      <c r="U14" s="970">
        <f>VLOOKUP(U$3,Tbl_Glob_Conversie,2,FALSE)*G14/100</f>
        <v>2.076921E-2</v>
      </c>
      <c r="V14" s="970">
        <f>VLOOKUP(V$3,Tbl_Glob_Conversie,2,FALSE)*H14/100</f>
        <v>1.1702999999999998E-2</v>
      </c>
      <c r="W14" s="970">
        <f>VLOOKUP(W$3,Tbl_Glob_Conversie,2,FALSE)*I14/100</f>
        <v>8.3951400000000006E-3</v>
      </c>
      <c r="X14" s="970">
        <f>VLOOKUP(X$3,Tbl_Glob_Conversie,2,FALSE)*J14/100</f>
        <v>2.1804729999999996E-3</v>
      </c>
      <c r="Y14" s="970">
        <f>VLOOKUP(Y$3,Tbl_Glob_Conversie,2,FALSE)*K14/100</f>
        <v>9.4870000000000005E-5</v>
      </c>
      <c r="Z14" s="970">
        <f>VLOOKUP(Z$3,Tbl_Glob_Conversie,2,FALSE)*L14/100</f>
        <v>0.52</v>
      </c>
      <c r="AA14" s="970">
        <f>VLOOKUP(AA$3,Tbl_Glob_Conversie,2,FALSE)*M14/100</f>
        <v>1.12824E-2</v>
      </c>
    </row>
    <row r="15" spans="1:35" x14ac:dyDescent="0.25">
      <c r="A15" s="968" t="s">
        <v>502</v>
      </c>
      <c r="B15" s="968">
        <v>101</v>
      </c>
      <c r="C15" s="968">
        <v>2.7</v>
      </c>
      <c r="D15" s="969">
        <v>12.3</v>
      </c>
      <c r="E15" s="969">
        <v>4.4000000000000004</v>
      </c>
      <c r="F15" s="968">
        <v>60</v>
      </c>
      <c r="G15" s="968">
        <v>110</v>
      </c>
      <c r="H15" s="968">
        <v>60</v>
      </c>
      <c r="I15" s="968">
        <v>50</v>
      </c>
      <c r="J15" s="968">
        <v>11</v>
      </c>
      <c r="K15" s="977">
        <v>1</v>
      </c>
      <c r="L15" s="968">
        <v>1</v>
      </c>
      <c r="M15" s="968">
        <v>95</v>
      </c>
      <c r="N15" s="968"/>
      <c r="O15" s="968" t="str">
        <f t="shared" si="0"/>
        <v>Nutrini Multi Fibre</v>
      </c>
      <c r="P15" s="970">
        <f>VLOOKUP(P$3,Tbl_Glob_Conversie,2,FALSE)*B15/100</f>
        <v>1.01</v>
      </c>
      <c r="Q15" s="970">
        <f>VLOOKUP(Q$3,Tbl_Glob_Conversie,2,FALSE)*C15/100</f>
        <v>2.7000000000000003E-2</v>
      </c>
      <c r="R15" s="970">
        <f>VLOOKUP(R$3,Tbl_Glob_Conversie,2,FALSE)*D15/100</f>
        <v>0.12300000000000001</v>
      </c>
      <c r="S15" s="970">
        <f>VLOOKUP(S$3,Tbl_Glob_Conversie,2,FALSE)*E15/100</f>
        <v>4.4000000000000004E-2</v>
      </c>
      <c r="T15" s="970">
        <f>VLOOKUP(T$3,Tbl_Glob_Conversie,2,FALSE)*F15/100</f>
        <v>2.60868E-2</v>
      </c>
      <c r="U15" s="970">
        <f>VLOOKUP(U$3,Tbl_Glob_Conversie,2,FALSE)*G15/100</f>
        <v>2.82051E-2</v>
      </c>
      <c r="V15" s="970">
        <f>VLOOKUP(V$3,Tbl_Glob_Conversie,2,FALSE)*H15/100</f>
        <v>1.494E-2</v>
      </c>
      <c r="W15" s="970">
        <f>VLOOKUP(W$3,Tbl_Glob_Conversie,2,FALSE)*I15/100</f>
        <v>1.6144499999999999E-2</v>
      </c>
      <c r="X15" s="970">
        <f>VLOOKUP(X$3,Tbl_Glob_Conversie,2,FALSE)*J15/100</f>
        <v>4.5255099999999999E-3</v>
      </c>
      <c r="Y15" s="970">
        <f>VLOOKUP(Y$3,Tbl_Glob_Conversie,2,FALSE)*K15/100</f>
        <v>1.7899999999999999E-4</v>
      </c>
      <c r="Z15" s="970">
        <f>VLOOKUP(Z$3,Tbl_Glob_Conversie,2,FALSE)*L15/100</f>
        <v>0.4</v>
      </c>
      <c r="AA15" s="970">
        <f>VLOOKUP(AA$3,Tbl_Glob_Conversie,2,FALSE)*M15/100</f>
        <v>2.6795699999999999E-2</v>
      </c>
    </row>
    <row r="16" spans="1:35" x14ac:dyDescent="0.25">
      <c r="A16" s="968" t="s">
        <v>503</v>
      </c>
      <c r="B16" s="968">
        <v>151</v>
      </c>
      <c r="C16" s="968">
        <v>4</v>
      </c>
      <c r="D16" s="969">
        <v>18.5</v>
      </c>
      <c r="E16" s="969">
        <v>6.7</v>
      </c>
      <c r="F16" s="968">
        <v>90</v>
      </c>
      <c r="G16" s="968">
        <v>165</v>
      </c>
      <c r="H16" s="968">
        <v>90</v>
      </c>
      <c r="I16" s="968">
        <v>75</v>
      </c>
      <c r="J16" s="968">
        <v>17</v>
      </c>
      <c r="K16" s="969">
        <v>1.5</v>
      </c>
      <c r="L16" s="968">
        <v>1.5</v>
      </c>
      <c r="M16" s="968">
        <v>143</v>
      </c>
      <c r="N16" s="968"/>
      <c r="O16" s="968" t="str">
        <f t="shared" si="0"/>
        <v>Nutrini Energy Multi Fibre</v>
      </c>
      <c r="P16" s="970">
        <f>VLOOKUP(P$3,Tbl_Glob_Conversie,2,FALSE)*B16/100</f>
        <v>1.51</v>
      </c>
      <c r="Q16" s="970">
        <f>VLOOKUP(Q$3,Tbl_Glob_Conversie,2,FALSE)*C16/100</f>
        <v>0.04</v>
      </c>
      <c r="R16" s="970">
        <f>VLOOKUP(R$3,Tbl_Glob_Conversie,2,FALSE)*D16/100</f>
        <v>0.185</v>
      </c>
      <c r="S16" s="970">
        <f>VLOOKUP(S$3,Tbl_Glob_Conversie,2,FALSE)*E16/100</f>
        <v>6.7000000000000004E-2</v>
      </c>
      <c r="T16" s="970">
        <f>VLOOKUP(T$3,Tbl_Glob_Conversie,2,FALSE)*F16/100</f>
        <v>3.9130200000000004E-2</v>
      </c>
      <c r="U16" s="970">
        <f>VLOOKUP(U$3,Tbl_Glob_Conversie,2,FALSE)*G16/100</f>
        <v>4.2307650000000002E-2</v>
      </c>
      <c r="V16" s="970">
        <f>VLOOKUP(V$3,Tbl_Glob_Conversie,2,FALSE)*H16/100</f>
        <v>2.2409999999999996E-2</v>
      </c>
      <c r="W16" s="970">
        <f>VLOOKUP(W$3,Tbl_Glob_Conversie,2,FALSE)*I16/100</f>
        <v>2.4216749999999999E-2</v>
      </c>
      <c r="X16" s="970">
        <f>VLOOKUP(X$3,Tbl_Glob_Conversie,2,FALSE)*J16/100</f>
        <v>6.9939699999999995E-3</v>
      </c>
      <c r="Y16" s="970">
        <f>VLOOKUP(Y$3,Tbl_Glob_Conversie,2,FALSE)*K16/100</f>
        <v>2.6849999999999997E-4</v>
      </c>
      <c r="Z16" s="970">
        <f>VLOOKUP(Z$3,Tbl_Glob_Conversie,2,FALSE)*L16/100</f>
        <v>0.6</v>
      </c>
      <c r="AA16" s="970">
        <f>VLOOKUP(AA$3,Tbl_Glob_Conversie,2,FALSE)*M16/100</f>
        <v>4.0334579999999995E-2</v>
      </c>
    </row>
    <row r="17" spans="1:27" x14ac:dyDescent="0.25">
      <c r="A17" s="968" t="s">
        <v>1041</v>
      </c>
      <c r="B17" s="968">
        <v>100</v>
      </c>
      <c r="C17" s="968">
        <v>2.8</v>
      </c>
      <c r="D17" s="969">
        <v>13.7</v>
      </c>
      <c r="E17" s="969">
        <v>3.9</v>
      </c>
      <c r="F17" s="968">
        <v>60</v>
      </c>
      <c r="G17" s="968">
        <v>110</v>
      </c>
      <c r="H17" s="968">
        <v>60</v>
      </c>
      <c r="I17" s="968">
        <v>50</v>
      </c>
      <c r="J17" s="968">
        <v>11</v>
      </c>
      <c r="K17" s="977">
        <v>1</v>
      </c>
      <c r="L17" s="977">
        <v>1</v>
      </c>
      <c r="M17" s="968">
        <v>95</v>
      </c>
      <c r="N17" s="968"/>
      <c r="O17" s="968" t="str">
        <f t="shared" si="0"/>
        <v>Nutrini Peptisorb</v>
      </c>
      <c r="P17" s="970">
        <f>VLOOKUP(P$3,Tbl_Glob_Conversie,2,FALSE)*B17/100</f>
        <v>1</v>
      </c>
      <c r="Q17" s="970">
        <f>VLOOKUP(Q$3,Tbl_Glob_Conversie,2,FALSE)*C17/100</f>
        <v>2.7999999999999997E-2</v>
      </c>
      <c r="R17" s="970">
        <f>VLOOKUP(R$3,Tbl_Glob_Conversie,2,FALSE)*D17/100</f>
        <v>0.13699999999999998</v>
      </c>
      <c r="S17" s="970">
        <f>VLOOKUP(S$3,Tbl_Glob_Conversie,2,FALSE)*E17/100</f>
        <v>3.9E-2</v>
      </c>
      <c r="T17" s="970">
        <f>VLOOKUP(T$3,Tbl_Glob_Conversie,2,FALSE)*F17/100</f>
        <v>2.60868E-2</v>
      </c>
      <c r="U17" s="970">
        <f>VLOOKUP(U$3,Tbl_Glob_Conversie,2,FALSE)*G17/100</f>
        <v>2.82051E-2</v>
      </c>
      <c r="V17" s="970">
        <f>VLOOKUP(V$3,Tbl_Glob_Conversie,2,FALSE)*H17/100</f>
        <v>1.494E-2</v>
      </c>
      <c r="W17" s="970">
        <f>VLOOKUP(W$3,Tbl_Glob_Conversie,2,FALSE)*I17/100</f>
        <v>1.6144499999999999E-2</v>
      </c>
      <c r="X17" s="970">
        <f>VLOOKUP(X$3,Tbl_Glob_Conversie,2,FALSE)*J17/100</f>
        <v>4.5255099999999999E-3</v>
      </c>
      <c r="Y17" s="970">
        <f>VLOOKUP(Y$3,Tbl_Glob_Conversie,2,FALSE)*K17/100</f>
        <v>1.7899999999999999E-4</v>
      </c>
      <c r="Z17" s="970">
        <f>VLOOKUP(Z$3,Tbl_Glob_Conversie,2,FALSE)*L17/100</f>
        <v>0.4</v>
      </c>
      <c r="AA17" s="970">
        <f>VLOOKUP(AA$3,Tbl_Glob_Conversie,2,FALSE)*M17/100</f>
        <v>2.6795699999999999E-2</v>
      </c>
    </row>
    <row r="18" spans="1:27" x14ac:dyDescent="0.25">
      <c r="A18" s="968" t="s">
        <v>1054</v>
      </c>
      <c r="B18" s="968">
        <v>68</v>
      </c>
      <c r="C18" s="968">
        <v>1.6</v>
      </c>
      <c r="D18" s="969">
        <v>8.1</v>
      </c>
      <c r="E18" s="969">
        <v>3.1</v>
      </c>
      <c r="F18" s="968">
        <v>25</v>
      </c>
      <c r="G18" s="968">
        <v>78</v>
      </c>
      <c r="H18" s="968">
        <v>63</v>
      </c>
      <c r="I18" s="968">
        <v>37</v>
      </c>
      <c r="J18" s="968">
        <v>5.5</v>
      </c>
      <c r="K18" s="969">
        <v>1</v>
      </c>
      <c r="L18" s="968">
        <v>1.4</v>
      </c>
      <c r="M18" s="968">
        <v>42</v>
      </c>
      <c r="N18" s="968"/>
      <c r="O18" s="968" t="str">
        <f t="shared" si="0"/>
        <v>Nutrilon Pepti 2</v>
      </c>
      <c r="P18" s="970">
        <f>VLOOKUP(P$3,Tbl_Glob_Conversie,2,FALSE)*B18/100</f>
        <v>0.68</v>
      </c>
      <c r="Q18" s="970">
        <f>VLOOKUP(Q$3,Tbl_Glob_Conversie,2,FALSE)*C18/100</f>
        <v>1.6E-2</v>
      </c>
      <c r="R18" s="970">
        <f>VLOOKUP(R$3,Tbl_Glob_Conversie,2,FALSE)*D18/100</f>
        <v>8.1000000000000003E-2</v>
      </c>
      <c r="S18" s="970">
        <f>VLOOKUP(S$3,Tbl_Glob_Conversie,2,FALSE)*E18/100</f>
        <v>3.1E-2</v>
      </c>
      <c r="T18" s="970">
        <f>VLOOKUP(T$3,Tbl_Glob_Conversie,2,FALSE)*F18/100</f>
        <v>1.0869500000000001E-2</v>
      </c>
      <c r="U18" s="970">
        <f>VLOOKUP(U$3,Tbl_Glob_Conversie,2,FALSE)*G18/100</f>
        <v>1.9999980000000001E-2</v>
      </c>
      <c r="V18" s="970">
        <f>VLOOKUP(V$3,Tbl_Glob_Conversie,2,FALSE)*H18/100</f>
        <v>1.5687E-2</v>
      </c>
      <c r="W18" s="970">
        <f>VLOOKUP(W$3,Tbl_Glob_Conversie,2,FALSE)*I18/100</f>
        <v>1.194693E-2</v>
      </c>
      <c r="X18" s="970">
        <f>VLOOKUP(X$3,Tbl_Glob_Conversie,2,FALSE)*J18/100</f>
        <v>2.262755E-3</v>
      </c>
      <c r="Y18" s="970">
        <f>VLOOKUP(Y$3,Tbl_Glob_Conversie,2,FALSE)*K18/100</f>
        <v>1.7899999999999999E-4</v>
      </c>
      <c r="Z18" s="970">
        <f>VLOOKUP(Z$3,Tbl_Glob_Conversie,2,FALSE)*L18/100</f>
        <v>0.56000000000000005</v>
      </c>
      <c r="AA18" s="970">
        <f>VLOOKUP(AA$3,Tbl_Glob_Conversie,2,FALSE)*M18/100</f>
        <v>1.1846520000000001E-2</v>
      </c>
    </row>
    <row r="19" spans="1:27" x14ac:dyDescent="0.25">
      <c r="A19" s="968" t="s">
        <v>505</v>
      </c>
      <c r="B19" s="968">
        <v>102</v>
      </c>
      <c r="C19" s="968">
        <v>3.3</v>
      </c>
      <c r="D19" s="969">
        <v>12.3</v>
      </c>
      <c r="E19" s="969">
        <v>4.2</v>
      </c>
      <c r="F19" s="968">
        <v>80</v>
      </c>
      <c r="G19" s="968">
        <v>138</v>
      </c>
      <c r="H19" s="968">
        <v>70</v>
      </c>
      <c r="I19" s="968">
        <v>60</v>
      </c>
      <c r="J19" s="968">
        <v>17</v>
      </c>
      <c r="K19" s="969">
        <v>1.3</v>
      </c>
      <c r="L19" s="968">
        <v>0.7</v>
      </c>
      <c r="M19" s="968">
        <v>125</v>
      </c>
      <c r="N19" s="968"/>
      <c r="O19" s="968" t="str">
        <f t="shared" si="0"/>
        <v>NutriniMax Multi Fibre</v>
      </c>
      <c r="P19" s="970">
        <f>VLOOKUP(P$3,Tbl_Glob_Conversie,2,FALSE)*B19/100</f>
        <v>1.02</v>
      </c>
      <c r="Q19" s="970">
        <f>VLOOKUP(Q$3,Tbl_Glob_Conversie,2,FALSE)*C19/100</f>
        <v>3.3000000000000002E-2</v>
      </c>
      <c r="R19" s="970">
        <f>VLOOKUP(R$3,Tbl_Glob_Conversie,2,FALSE)*D19/100</f>
        <v>0.12300000000000001</v>
      </c>
      <c r="S19" s="970">
        <f>VLOOKUP(S$3,Tbl_Glob_Conversie,2,FALSE)*E19/100</f>
        <v>4.2000000000000003E-2</v>
      </c>
      <c r="T19" s="970">
        <f>VLOOKUP(T$3,Tbl_Glob_Conversie,2,FALSE)*F19/100</f>
        <v>3.4782400000000005E-2</v>
      </c>
      <c r="U19" s="970">
        <f>VLOOKUP(U$3,Tbl_Glob_Conversie,2,FALSE)*G19/100</f>
        <v>3.5384579999999999E-2</v>
      </c>
      <c r="V19" s="970">
        <f>VLOOKUP(V$3,Tbl_Glob_Conversie,2,FALSE)*H19/100</f>
        <v>1.7429999999999998E-2</v>
      </c>
      <c r="W19" s="970">
        <f>VLOOKUP(W$3,Tbl_Glob_Conversie,2,FALSE)*I19/100</f>
        <v>1.9373399999999999E-2</v>
      </c>
      <c r="X19" s="970">
        <f>VLOOKUP(X$3,Tbl_Glob_Conversie,2,FALSE)*J19/100</f>
        <v>6.9939699999999995E-3</v>
      </c>
      <c r="Y19" s="970">
        <f>VLOOKUP(Y$3,Tbl_Glob_Conversie,2,FALSE)*K19/100</f>
        <v>2.3269999999999999E-4</v>
      </c>
      <c r="Z19" s="970">
        <f>VLOOKUP(Z$3,Tbl_Glob_Conversie,2,FALSE)*L19/100</f>
        <v>0.28000000000000003</v>
      </c>
      <c r="AA19" s="970">
        <f>VLOOKUP(AA$3,Tbl_Glob_Conversie,2,FALSE)*M19/100</f>
        <v>3.5257499999999997E-2</v>
      </c>
    </row>
    <row r="20" spans="1:27" x14ac:dyDescent="0.25">
      <c r="A20" s="968" t="s">
        <v>506</v>
      </c>
      <c r="B20" s="968">
        <v>152</v>
      </c>
      <c r="C20" s="968">
        <v>4.8</v>
      </c>
      <c r="D20" s="969">
        <v>18.5</v>
      </c>
      <c r="E20" s="969">
        <v>6.3</v>
      </c>
      <c r="F20" s="968">
        <v>107</v>
      </c>
      <c r="G20" s="968">
        <v>186</v>
      </c>
      <c r="H20" s="968">
        <v>95</v>
      </c>
      <c r="I20" s="968">
        <v>90</v>
      </c>
      <c r="J20" s="968">
        <v>26</v>
      </c>
      <c r="K20" s="969">
        <v>2</v>
      </c>
      <c r="L20" s="968">
        <v>1.1000000000000001</v>
      </c>
      <c r="M20" s="968">
        <v>147</v>
      </c>
      <c r="N20" s="968"/>
      <c r="O20" s="968" t="str">
        <f t="shared" si="0"/>
        <v>NutriniMax Energy Multi Fibre</v>
      </c>
      <c r="P20" s="970">
        <f>VLOOKUP(P$3,Tbl_Glob_Conversie,2,FALSE)*B20/100</f>
        <v>1.52</v>
      </c>
      <c r="Q20" s="970">
        <f>VLOOKUP(Q$3,Tbl_Glob_Conversie,2,FALSE)*C20/100</f>
        <v>4.8000000000000001E-2</v>
      </c>
      <c r="R20" s="970">
        <f>VLOOKUP(R$3,Tbl_Glob_Conversie,2,FALSE)*D20/100</f>
        <v>0.185</v>
      </c>
      <c r="S20" s="970">
        <f>VLOOKUP(S$3,Tbl_Glob_Conversie,2,FALSE)*E20/100</f>
        <v>6.3E-2</v>
      </c>
      <c r="T20" s="970">
        <f>VLOOKUP(T$3,Tbl_Glob_Conversie,2,FALSE)*F20/100</f>
        <v>4.6521460000000001E-2</v>
      </c>
      <c r="U20" s="970">
        <f>VLOOKUP(U$3,Tbl_Glob_Conversie,2,FALSE)*G20/100</f>
        <v>4.769226E-2</v>
      </c>
      <c r="V20" s="970">
        <f>VLOOKUP(V$3,Tbl_Glob_Conversie,2,FALSE)*H20/100</f>
        <v>2.3654999999999999E-2</v>
      </c>
      <c r="W20" s="970">
        <f>VLOOKUP(W$3,Tbl_Glob_Conversie,2,FALSE)*I20/100</f>
        <v>2.9060099999999998E-2</v>
      </c>
      <c r="X20" s="970">
        <f>VLOOKUP(X$3,Tbl_Glob_Conversie,2,FALSE)*J20/100</f>
        <v>1.069666E-2</v>
      </c>
      <c r="Y20" s="970">
        <f>VLOOKUP(Y$3,Tbl_Glob_Conversie,2,FALSE)*K20/100</f>
        <v>3.5799999999999997E-4</v>
      </c>
      <c r="Z20" s="970">
        <f>VLOOKUP(Z$3,Tbl_Glob_Conversie,2,FALSE)*L20/100</f>
        <v>0.44</v>
      </c>
      <c r="AA20" s="970">
        <f>VLOOKUP(AA$3,Tbl_Glob_Conversie,2,FALSE)*M20/100</f>
        <v>4.1462819999999991E-2</v>
      </c>
    </row>
    <row r="21" spans="1:27" x14ac:dyDescent="0.25">
      <c r="A21" s="968" t="s">
        <v>508</v>
      </c>
      <c r="B21" s="968">
        <v>103</v>
      </c>
      <c r="C21" s="968">
        <v>4</v>
      </c>
      <c r="D21" s="969">
        <v>12.3</v>
      </c>
      <c r="E21" s="969">
        <v>3.9</v>
      </c>
      <c r="F21" s="968">
        <v>100</v>
      </c>
      <c r="G21" s="968">
        <v>150</v>
      </c>
      <c r="H21" s="968">
        <v>80</v>
      </c>
      <c r="I21" s="968">
        <v>72</v>
      </c>
      <c r="J21" s="968">
        <v>23</v>
      </c>
      <c r="K21" s="971">
        <v>1.6</v>
      </c>
      <c r="L21" s="972">
        <v>1</v>
      </c>
      <c r="M21" s="968">
        <v>125</v>
      </c>
      <c r="N21" s="968"/>
      <c r="O21" s="968" t="str">
        <f t="shared" si="0"/>
        <v>Nutrison Multi Fibre</v>
      </c>
      <c r="P21" s="970">
        <f>VLOOKUP(P$3,Tbl_Glob_Conversie,2,FALSE)*B21/100</f>
        <v>1.03</v>
      </c>
      <c r="Q21" s="970">
        <f>VLOOKUP(Q$3,Tbl_Glob_Conversie,2,FALSE)*C21/100</f>
        <v>0.04</v>
      </c>
      <c r="R21" s="970">
        <f>VLOOKUP(R$3,Tbl_Glob_Conversie,2,FALSE)*D21/100</f>
        <v>0.12300000000000001</v>
      </c>
      <c r="S21" s="970">
        <f>VLOOKUP(S$3,Tbl_Glob_Conversie,2,FALSE)*E21/100</f>
        <v>3.9E-2</v>
      </c>
      <c r="T21" s="970">
        <f>VLOOKUP(T$3,Tbl_Glob_Conversie,2,FALSE)*F21/100</f>
        <v>4.3478000000000003E-2</v>
      </c>
      <c r="U21" s="970">
        <f>VLOOKUP(U$3,Tbl_Glob_Conversie,2,FALSE)*G21/100</f>
        <v>3.8461500000000003E-2</v>
      </c>
      <c r="V21" s="970">
        <f>VLOOKUP(V$3,Tbl_Glob_Conversie,2,FALSE)*H21/100</f>
        <v>1.992E-2</v>
      </c>
      <c r="W21" s="970">
        <f>VLOOKUP(W$3,Tbl_Glob_Conversie,2,FALSE)*I21/100</f>
        <v>2.3248080000000001E-2</v>
      </c>
      <c r="X21" s="970">
        <f>VLOOKUP(X$3,Tbl_Glob_Conversie,2,FALSE)*J21/100</f>
        <v>9.4624299999999991E-3</v>
      </c>
      <c r="Y21" s="970">
        <f>VLOOKUP(Y$3,Tbl_Glob_Conversie,2,FALSE)*K21/100</f>
        <v>2.8639999999999997E-4</v>
      </c>
      <c r="Z21" s="970">
        <f>VLOOKUP(Z$3,Tbl_Glob_Conversie,2,FALSE)*L21/100</f>
        <v>0.4</v>
      </c>
      <c r="AA21" s="970">
        <f>VLOOKUP(AA$3,Tbl_Glob_Conversie,2,FALSE)*M21/100</f>
        <v>3.5257499999999997E-2</v>
      </c>
    </row>
    <row r="22" spans="1:27" x14ac:dyDescent="0.25">
      <c r="A22" s="968" t="s">
        <v>509</v>
      </c>
      <c r="B22" s="968">
        <v>153</v>
      </c>
      <c r="C22" s="968">
        <v>6</v>
      </c>
      <c r="D22" s="969">
        <v>18.399999999999999</v>
      </c>
      <c r="E22" s="969">
        <v>5.8</v>
      </c>
      <c r="F22" s="968">
        <v>134</v>
      </c>
      <c r="G22" s="968">
        <v>201</v>
      </c>
      <c r="H22" s="968">
        <v>84</v>
      </c>
      <c r="I22" s="968">
        <v>84</v>
      </c>
      <c r="J22" s="968">
        <v>30</v>
      </c>
      <c r="K22" s="971">
        <v>2.4</v>
      </c>
      <c r="L22" s="972">
        <v>1.5</v>
      </c>
      <c r="M22" s="968">
        <v>100</v>
      </c>
      <c r="N22" s="968"/>
      <c r="O22" s="968" t="str">
        <f t="shared" si="0"/>
        <v>Nutrison Energy Multi Fibre</v>
      </c>
      <c r="P22" s="970">
        <f>VLOOKUP(P$3,Tbl_Glob_Conversie,2,FALSE)*B22/100</f>
        <v>1.53</v>
      </c>
      <c r="Q22" s="970">
        <f>VLOOKUP(Q$3,Tbl_Glob_Conversie,2,FALSE)*C22/100</f>
        <v>0.06</v>
      </c>
      <c r="R22" s="970">
        <f>VLOOKUP(R$3,Tbl_Glob_Conversie,2,FALSE)*D22/100</f>
        <v>0.184</v>
      </c>
      <c r="S22" s="970">
        <f>VLOOKUP(S$3,Tbl_Glob_Conversie,2,FALSE)*E22/100</f>
        <v>5.7999999999999996E-2</v>
      </c>
      <c r="T22" s="970">
        <f>VLOOKUP(T$3,Tbl_Glob_Conversie,2,FALSE)*F22/100</f>
        <v>5.826052000000001E-2</v>
      </c>
      <c r="U22" s="970">
        <f>VLOOKUP(U$3,Tbl_Glob_Conversie,2,FALSE)*G22/100</f>
        <v>5.153841E-2</v>
      </c>
      <c r="V22" s="970">
        <f>VLOOKUP(V$3,Tbl_Glob_Conversie,2,FALSE)*H22/100</f>
        <v>2.0915999999999997E-2</v>
      </c>
      <c r="W22" s="970">
        <f>VLOOKUP(W$3,Tbl_Glob_Conversie,2,FALSE)*I22/100</f>
        <v>2.7122759999999996E-2</v>
      </c>
      <c r="X22" s="970">
        <f>VLOOKUP(X$3,Tbl_Glob_Conversie,2,FALSE)*J22/100</f>
        <v>1.2342299999999999E-2</v>
      </c>
      <c r="Y22" s="970">
        <f>VLOOKUP(Y$3,Tbl_Glob_Conversie,2,FALSE)*K22/100</f>
        <v>4.2959999999999998E-4</v>
      </c>
      <c r="Z22" s="970">
        <f>VLOOKUP(Z$3,Tbl_Glob_Conversie,2,FALSE)*L22/100</f>
        <v>0.6</v>
      </c>
      <c r="AA22" s="970">
        <f>VLOOKUP(AA$3,Tbl_Glob_Conversie,2,FALSE)*M22/100</f>
        <v>2.8205999999999998E-2</v>
      </c>
    </row>
    <row r="23" spans="1:27" x14ac:dyDescent="0.25">
      <c r="A23" s="968" t="s">
        <v>1042</v>
      </c>
      <c r="B23" s="968">
        <v>100</v>
      </c>
      <c r="C23" s="968">
        <v>4</v>
      </c>
      <c r="D23" s="969">
        <v>17.600000000000001</v>
      </c>
      <c r="E23" s="969">
        <v>1.7</v>
      </c>
      <c r="F23" s="968">
        <v>100</v>
      </c>
      <c r="G23" s="968">
        <v>150</v>
      </c>
      <c r="H23" s="968">
        <v>80</v>
      </c>
      <c r="I23" s="968">
        <v>72</v>
      </c>
      <c r="J23" s="968">
        <v>23</v>
      </c>
      <c r="K23" s="971">
        <v>1.6</v>
      </c>
      <c r="L23" s="972">
        <v>0.7</v>
      </c>
      <c r="M23" s="968">
        <v>125</v>
      </c>
      <c r="N23" s="968"/>
      <c r="O23" s="968" t="str">
        <f t="shared" si="0"/>
        <v>Nutrison Adv Peptisorb</v>
      </c>
      <c r="P23" s="970">
        <f>VLOOKUP(P$3,Tbl_Glob_Conversie,2,FALSE)*B23/100</f>
        <v>1</v>
      </c>
      <c r="Q23" s="970">
        <f>VLOOKUP(Q$3,Tbl_Glob_Conversie,2,FALSE)*C23/100</f>
        <v>0.04</v>
      </c>
      <c r="R23" s="970">
        <f>VLOOKUP(R$3,Tbl_Glob_Conversie,2,FALSE)*D23/100</f>
        <v>0.17600000000000002</v>
      </c>
      <c r="S23" s="970">
        <f>VLOOKUP(S$3,Tbl_Glob_Conversie,2,FALSE)*E23/100</f>
        <v>1.7000000000000001E-2</v>
      </c>
      <c r="T23" s="970">
        <f>VLOOKUP(T$3,Tbl_Glob_Conversie,2,FALSE)*F23/100</f>
        <v>4.3478000000000003E-2</v>
      </c>
      <c r="U23" s="970">
        <f>VLOOKUP(U$3,Tbl_Glob_Conversie,2,FALSE)*G23/100</f>
        <v>3.8461500000000003E-2</v>
      </c>
      <c r="V23" s="970">
        <f>VLOOKUP(V$3,Tbl_Glob_Conversie,2,FALSE)*H23/100</f>
        <v>1.992E-2</v>
      </c>
      <c r="W23" s="970">
        <f>VLOOKUP(W$3,Tbl_Glob_Conversie,2,FALSE)*I23/100</f>
        <v>2.3248080000000001E-2</v>
      </c>
      <c r="X23" s="970">
        <f>VLOOKUP(X$3,Tbl_Glob_Conversie,2,FALSE)*J23/100</f>
        <v>9.4624299999999991E-3</v>
      </c>
      <c r="Y23" s="970">
        <f>VLOOKUP(Y$3,Tbl_Glob_Conversie,2,FALSE)*K23/100</f>
        <v>2.8639999999999997E-4</v>
      </c>
      <c r="Z23" s="970">
        <f>VLOOKUP(Z$3,Tbl_Glob_Conversie,2,FALSE)*L23/100</f>
        <v>0.28000000000000003</v>
      </c>
      <c r="AA23" s="970">
        <f>VLOOKUP(AA$3,Tbl_Glob_Conversie,2,FALSE)*M23/100</f>
        <v>3.5257499999999997E-2</v>
      </c>
    </row>
    <row r="24" spans="1:27" x14ac:dyDescent="0.25">
      <c r="A24" s="968" t="s">
        <v>956</v>
      </c>
      <c r="B24" s="968">
        <v>67</v>
      </c>
      <c r="C24" s="968">
        <v>1.8</v>
      </c>
      <c r="D24" s="969">
        <v>7.2</v>
      </c>
      <c r="E24" s="969">
        <v>3.4</v>
      </c>
      <c r="F24" s="968">
        <v>26.1</v>
      </c>
      <c r="G24" s="968">
        <v>72.5</v>
      </c>
      <c r="H24" s="968">
        <v>65.599999999999994</v>
      </c>
      <c r="I24" s="968">
        <v>47.1</v>
      </c>
      <c r="J24" s="968">
        <v>7</v>
      </c>
      <c r="K24" s="971">
        <v>1</v>
      </c>
      <c r="L24" s="972">
        <v>1.2</v>
      </c>
      <c r="M24" s="968">
        <v>53.3</v>
      </c>
      <c r="N24" s="968"/>
      <c r="O24" s="968" t="str">
        <f t="shared" si="0"/>
        <v>Nutrilon Neocate</v>
      </c>
      <c r="P24" s="970">
        <f>VLOOKUP(P$3,Tbl_Glob_Conversie,2,FALSE)*B24/100</f>
        <v>0.67</v>
      </c>
      <c r="Q24" s="970">
        <f>VLOOKUP(Q$3,Tbl_Glob_Conversie,2,FALSE)*C24/100</f>
        <v>1.8000000000000002E-2</v>
      </c>
      <c r="R24" s="970">
        <f>VLOOKUP(R$3,Tbl_Glob_Conversie,2,FALSE)*D24/100</f>
        <v>7.2000000000000008E-2</v>
      </c>
      <c r="S24" s="970">
        <f>VLOOKUP(S$3,Tbl_Glob_Conversie,2,FALSE)*E24/100</f>
        <v>3.4000000000000002E-2</v>
      </c>
      <c r="T24" s="970">
        <f>VLOOKUP(T$3,Tbl_Glob_Conversie,2,FALSE)*F24/100</f>
        <v>1.1347758000000001E-2</v>
      </c>
      <c r="U24" s="970">
        <f>VLOOKUP(U$3,Tbl_Glob_Conversie,2,FALSE)*G24/100</f>
        <v>1.8589725000000001E-2</v>
      </c>
      <c r="V24" s="970">
        <f>VLOOKUP(V$3,Tbl_Glob_Conversie,2,FALSE)*H24/100</f>
        <v>1.6334399999999999E-2</v>
      </c>
      <c r="W24" s="970">
        <f>VLOOKUP(W$3,Tbl_Glob_Conversie,2,FALSE)*I24/100</f>
        <v>1.5208118999999999E-2</v>
      </c>
      <c r="X24" s="970">
        <f>VLOOKUP(X$3,Tbl_Glob_Conversie,2,FALSE)*J24/100</f>
        <v>2.8798700000000001E-3</v>
      </c>
      <c r="Y24" s="970">
        <f>VLOOKUP(Y$3,Tbl_Glob_Conversie,2,FALSE)*K24/100</f>
        <v>1.7899999999999999E-4</v>
      </c>
      <c r="Z24" s="970">
        <f>VLOOKUP(Z$3,Tbl_Glob_Conversie,2,FALSE)*L24/100</f>
        <v>0.48</v>
      </c>
      <c r="AA24" s="970">
        <f>VLOOKUP(AA$3,Tbl_Glob_Conversie,2,FALSE)*M24/100</f>
        <v>1.5033797999999998E-2</v>
      </c>
    </row>
    <row r="25" spans="1:27" x14ac:dyDescent="0.25">
      <c r="A25" s="968" t="s">
        <v>957</v>
      </c>
      <c r="B25" s="968">
        <v>66</v>
      </c>
      <c r="C25" s="968">
        <v>1.8</v>
      </c>
      <c r="D25" s="969">
        <v>6.8</v>
      </c>
      <c r="E25" s="969">
        <v>3.5</v>
      </c>
      <c r="F25" s="968">
        <v>18</v>
      </c>
      <c r="G25" s="968">
        <v>65</v>
      </c>
      <c r="H25" s="968">
        <v>50</v>
      </c>
      <c r="I25" s="968">
        <v>28</v>
      </c>
      <c r="J25" s="968">
        <v>5.0999999999999996</v>
      </c>
      <c r="K25" s="971">
        <v>0.77</v>
      </c>
      <c r="L25" s="972">
        <v>1.3</v>
      </c>
      <c r="M25" s="968">
        <v>40</v>
      </c>
      <c r="N25" s="968"/>
      <c r="O25" s="968" t="str">
        <f t="shared" si="0"/>
        <v>Nutrilon Pepti Junior</v>
      </c>
      <c r="P25" s="970">
        <f>VLOOKUP(P$3,Tbl_Glob_Conversie,2,FALSE)*B25/100</f>
        <v>0.66</v>
      </c>
      <c r="Q25" s="970">
        <f>VLOOKUP(Q$3,Tbl_Glob_Conversie,2,FALSE)*C25/100</f>
        <v>1.8000000000000002E-2</v>
      </c>
      <c r="R25" s="970">
        <f>VLOOKUP(R$3,Tbl_Glob_Conversie,2,FALSE)*D25/100</f>
        <v>6.8000000000000005E-2</v>
      </c>
      <c r="S25" s="970">
        <f>VLOOKUP(S$3,Tbl_Glob_Conversie,2,FALSE)*E25/100</f>
        <v>3.5000000000000003E-2</v>
      </c>
      <c r="T25" s="970">
        <f>VLOOKUP(T$3,Tbl_Glob_Conversie,2,FALSE)*F25/100</f>
        <v>7.8260400000000011E-3</v>
      </c>
      <c r="U25" s="970">
        <f>VLOOKUP(U$3,Tbl_Glob_Conversie,2,FALSE)*G25/100</f>
        <v>1.6666650000000002E-2</v>
      </c>
      <c r="V25" s="970">
        <f>VLOOKUP(V$3,Tbl_Glob_Conversie,2,FALSE)*H25/100</f>
        <v>1.2449999999999999E-2</v>
      </c>
      <c r="W25" s="970">
        <f>VLOOKUP(W$3,Tbl_Glob_Conversie,2,FALSE)*I25/100</f>
        <v>9.0409199999999992E-3</v>
      </c>
      <c r="X25" s="970">
        <f>VLOOKUP(X$3,Tbl_Glob_Conversie,2,FALSE)*J25/100</f>
        <v>2.0981909999999997E-3</v>
      </c>
      <c r="Y25" s="970">
        <f>VLOOKUP(Y$3,Tbl_Glob_Conversie,2,FALSE)*K25/100</f>
        <v>1.3783E-4</v>
      </c>
      <c r="Z25" s="970">
        <f>VLOOKUP(Z$3,Tbl_Glob_Conversie,2,FALSE)*L25/100</f>
        <v>0.52</v>
      </c>
      <c r="AA25" s="970">
        <f>VLOOKUP(AA$3,Tbl_Glob_Conversie,2,FALSE)*M25/100</f>
        <v>1.12824E-2</v>
      </c>
    </row>
    <row r="26" spans="1:27" x14ac:dyDescent="0.25">
      <c r="A26" s="970" t="s">
        <v>1019</v>
      </c>
      <c r="B26" s="968">
        <v>68</v>
      </c>
      <c r="C26" s="968">
        <v>1</v>
      </c>
      <c r="D26" s="969">
        <v>7.0000000000000009</v>
      </c>
      <c r="E26" s="969">
        <v>4</v>
      </c>
      <c r="F26" s="968">
        <v>20</v>
      </c>
      <c r="G26" s="968">
        <v>50.000000000000007</v>
      </c>
      <c r="H26" s="968">
        <v>30</v>
      </c>
      <c r="I26" s="968">
        <v>15</v>
      </c>
      <c r="J26" s="968">
        <v>3.0000000000000004</v>
      </c>
      <c r="K26" s="969">
        <v>0.1</v>
      </c>
      <c r="L26" s="968">
        <v>0</v>
      </c>
      <c r="M26" s="968">
        <v>43</v>
      </c>
      <c r="N26" s="968"/>
      <c r="O26" s="968" t="str">
        <f t="shared" si="0"/>
        <v>MM of Nenatal 1</v>
      </c>
      <c r="P26" s="970">
        <f>VLOOKUP(P$3,Tbl_Glob_Conversie,2,FALSE)*B26/100</f>
        <v>0.68</v>
      </c>
      <c r="Q26" s="970">
        <f>VLOOKUP(Q$3,Tbl_Glob_Conversie,2,FALSE)*C26/100</f>
        <v>0.01</v>
      </c>
      <c r="R26" s="970">
        <f>VLOOKUP(R$3,Tbl_Glob_Conversie,2,FALSE)*D26/100</f>
        <v>7.0000000000000007E-2</v>
      </c>
      <c r="S26" s="970">
        <f>VLOOKUP(S$3,Tbl_Glob_Conversie,2,FALSE)*E26/100</f>
        <v>0.04</v>
      </c>
      <c r="T26" s="970">
        <f>VLOOKUP(T$3,Tbl_Glob_Conversie,2,FALSE)*F26/100</f>
        <v>8.6956000000000012E-3</v>
      </c>
      <c r="U26" s="970">
        <f>VLOOKUP(U$3,Tbl_Glob_Conversie,2,FALSE)*G26/100</f>
        <v>1.2820500000000002E-2</v>
      </c>
      <c r="V26" s="970">
        <f>VLOOKUP(V$3,Tbl_Glob_Conversie,2,FALSE)*H26/100</f>
        <v>7.4700000000000001E-3</v>
      </c>
      <c r="W26" s="970">
        <f>VLOOKUP(W$3,Tbl_Glob_Conversie,2,FALSE)*I26/100</f>
        <v>4.8433499999999997E-3</v>
      </c>
      <c r="X26" s="970">
        <f>VLOOKUP(X$3,Tbl_Glob_Conversie,2,FALSE)*J26/100</f>
        <v>1.23423E-3</v>
      </c>
      <c r="Y26" s="970">
        <f>VLOOKUP(Y$3,Tbl_Glob_Conversie,2,FALSE)*K26/100</f>
        <v>1.7899999999999998E-5</v>
      </c>
      <c r="Z26" s="970">
        <f>VLOOKUP(Z$3,Tbl_Glob_Conversie,2,FALSE)*L26/100</f>
        <v>0</v>
      </c>
      <c r="AA26" s="970">
        <f>VLOOKUP(AA$3,Tbl_Glob_Conversie,2,FALSE)*M26/100</f>
        <v>1.212858E-2</v>
      </c>
    </row>
    <row r="27" spans="1:27" x14ac:dyDescent="0.25">
      <c r="A27" s="970" t="s">
        <v>1020</v>
      </c>
      <c r="B27" s="968">
        <v>68</v>
      </c>
      <c r="C27" s="968">
        <v>1</v>
      </c>
      <c r="D27" s="969">
        <v>7.0000000000000009</v>
      </c>
      <c r="E27" s="969">
        <v>4</v>
      </c>
      <c r="F27" s="968">
        <v>20</v>
      </c>
      <c r="G27" s="968">
        <v>50.000000000000007</v>
      </c>
      <c r="H27" s="968">
        <v>30</v>
      </c>
      <c r="I27" s="968">
        <v>15</v>
      </c>
      <c r="J27" s="968">
        <v>3.0000000000000004</v>
      </c>
      <c r="K27" s="969">
        <v>0.1</v>
      </c>
      <c r="L27" s="968">
        <v>0</v>
      </c>
      <c r="M27" s="968">
        <v>43</v>
      </c>
      <c r="N27" s="968"/>
      <c r="O27" s="968" t="str">
        <f t="shared" si="0"/>
        <v>MM of Nenatal Start</v>
      </c>
      <c r="P27" s="970">
        <f>VLOOKUP(P$3,Tbl_Glob_Conversie,2,FALSE)*B27/100</f>
        <v>0.68</v>
      </c>
      <c r="Q27" s="970">
        <f>VLOOKUP(Q$3,Tbl_Glob_Conversie,2,FALSE)*C27/100</f>
        <v>0.01</v>
      </c>
      <c r="R27" s="970">
        <f>VLOOKUP(R$3,Tbl_Glob_Conversie,2,FALSE)*D27/100</f>
        <v>7.0000000000000007E-2</v>
      </c>
      <c r="S27" s="970">
        <f>VLOOKUP(S$3,Tbl_Glob_Conversie,2,FALSE)*E27/100</f>
        <v>0.04</v>
      </c>
      <c r="T27" s="970">
        <f>VLOOKUP(T$3,Tbl_Glob_Conversie,2,FALSE)*F27/100</f>
        <v>8.6956000000000012E-3</v>
      </c>
      <c r="U27" s="970">
        <f>VLOOKUP(U$3,Tbl_Glob_Conversie,2,FALSE)*G27/100</f>
        <v>1.2820500000000002E-2</v>
      </c>
      <c r="V27" s="970">
        <f>VLOOKUP(V$3,Tbl_Glob_Conversie,2,FALSE)*H27/100</f>
        <v>7.4700000000000001E-3</v>
      </c>
      <c r="W27" s="970">
        <f>VLOOKUP(W$3,Tbl_Glob_Conversie,2,FALSE)*I27/100</f>
        <v>4.8433499999999997E-3</v>
      </c>
      <c r="X27" s="970">
        <f>VLOOKUP(X$3,Tbl_Glob_Conversie,2,FALSE)*J27/100</f>
        <v>1.23423E-3</v>
      </c>
      <c r="Y27" s="970">
        <f>VLOOKUP(Y$3,Tbl_Glob_Conversie,2,FALSE)*K27/100</f>
        <v>1.7899999999999998E-5</v>
      </c>
      <c r="Z27" s="970">
        <f>VLOOKUP(Z$3,Tbl_Glob_Conversie,2,FALSE)*L27/100</f>
        <v>0</v>
      </c>
      <c r="AA27" s="970">
        <f>VLOOKUP(AA$3,Tbl_Glob_Conversie,2,FALSE)*M27/100</f>
        <v>1.212858E-2</v>
      </c>
    </row>
    <row r="28" spans="1:27" x14ac:dyDescent="0.25">
      <c r="A28" s="970" t="s">
        <v>1021</v>
      </c>
      <c r="B28" s="968">
        <v>68</v>
      </c>
      <c r="C28" s="968">
        <v>1</v>
      </c>
      <c r="D28" s="969">
        <v>7.0000000000000009</v>
      </c>
      <c r="E28" s="969">
        <v>4</v>
      </c>
      <c r="F28" s="968">
        <v>20</v>
      </c>
      <c r="G28" s="968">
        <v>50.000000000000007</v>
      </c>
      <c r="H28" s="968">
        <v>30</v>
      </c>
      <c r="I28" s="968">
        <v>15</v>
      </c>
      <c r="J28" s="968">
        <v>3.0000000000000004</v>
      </c>
      <c r="K28" s="969">
        <v>0.1</v>
      </c>
      <c r="L28" s="968">
        <v>0</v>
      </c>
      <c r="M28" s="968">
        <v>43</v>
      </c>
      <c r="N28" s="968"/>
      <c r="O28" s="968" t="str">
        <f t="shared" si="0"/>
        <v>MM of Nutrilon Standaard 1</v>
      </c>
      <c r="P28" s="970">
        <f>VLOOKUP(P$3,Tbl_Glob_Conversie,2,FALSE)*B28/100</f>
        <v>0.68</v>
      </c>
      <c r="Q28" s="970">
        <f>VLOOKUP(Q$3,Tbl_Glob_Conversie,2,FALSE)*C28/100</f>
        <v>0.01</v>
      </c>
      <c r="R28" s="970">
        <f>VLOOKUP(R$3,Tbl_Glob_Conversie,2,FALSE)*D28/100</f>
        <v>7.0000000000000007E-2</v>
      </c>
      <c r="S28" s="970">
        <f>VLOOKUP(S$3,Tbl_Glob_Conversie,2,FALSE)*E28/100</f>
        <v>0.04</v>
      </c>
      <c r="T28" s="970">
        <f>VLOOKUP(T$3,Tbl_Glob_Conversie,2,FALSE)*F28/100</f>
        <v>8.6956000000000012E-3</v>
      </c>
      <c r="U28" s="970">
        <f>VLOOKUP(U$3,Tbl_Glob_Conversie,2,FALSE)*G28/100</f>
        <v>1.2820500000000002E-2</v>
      </c>
      <c r="V28" s="970">
        <f>VLOOKUP(V$3,Tbl_Glob_Conversie,2,FALSE)*H28/100</f>
        <v>7.4700000000000001E-3</v>
      </c>
      <c r="W28" s="970">
        <f>VLOOKUP(W$3,Tbl_Glob_Conversie,2,FALSE)*I28/100</f>
        <v>4.8433499999999997E-3</v>
      </c>
      <c r="X28" s="970">
        <f>VLOOKUP(X$3,Tbl_Glob_Conversie,2,FALSE)*J28/100</f>
        <v>1.23423E-3</v>
      </c>
      <c r="Y28" s="970">
        <f>VLOOKUP(Y$3,Tbl_Glob_Conversie,2,FALSE)*K28/100</f>
        <v>1.7899999999999998E-5</v>
      </c>
      <c r="Z28" s="970">
        <f>VLOOKUP(Z$3,Tbl_Glob_Conversie,2,FALSE)*L28/100</f>
        <v>0</v>
      </c>
      <c r="AA28" s="970">
        <f>VLOOKUP(AA$3,Tbl_Glob_Conversie,2,FALSE)*M28/100</f>
        <v>1.212858E-2</v>
      </c>
    </row>
    <row r="29" spans="1:27" x14ac:dyDescent="0.25">
      <c r="A29" s="970" t="s">
        <v>1022</v>
      </c>
      <c r="B29" s="968">
        <v>68</v>
      </c>
      <c r="C29" s="968">
        <v>1</v>
      </c>
      <c r="D29" s="969">
        <v>7.0000000000000009</v>
      </c>
      <c r="E29" s="969">
        <v>4</v>
      </c>
      <c r="F29" s="968">
        <v>20</v>
      </c>
      <c r="G29" s="968">
        <v>50.000000000000007</v>
      </c>
      <c r="H29" s="968">
        <v>30</v>
      </c>
      <c r="I29" s="968">
        <v>15</v>
      </c>
      <c r="J29" s="968">
        <v>3.0000000000000004</v>
      </c>
      <c r="K29" s="969">
        <v>0.1</v>
      </c>
      <c r="L29" s="968">
        <v>0</v>
      </c>
      <c r="M29" s="968">
        <v>43</v>
      </c>
      <c r="N29" s="968"/>
      <c r="O29" s="968" t="str">
        <f t="shared" si="0"/>
        <v>MM of Nutrilon Standaard 2</v>
      </c>
      <c r="P29" s="970">
        <f>VLOOKUP(P$3,Tbl_Glob_Conversie,2,FALSE)*B29/100</f>
        <v>0.68</v>
      </c>
      <c r="Q29" s="970">
        <f>VLOOKUP(Q$3,Tbl_Glob_Conversie,2,FALSE)*C29/100</f>
        <v>0.01</v>
      </c>
      <c r="R29" s="970">
        <f>VLOOKUP(R$3,Tbl_Glob_Conversie,2,FALSE)*D29/100</f>
        <v>7.0000000000000007E-2</v>
      </c>
      <c r="S29" s="970">
        <f>VLOOKUP(S$3,Tbl_Glob_Conversie,2,FALSE)*E29/100</f>
        <v>0.04</v>
      </c>
      <c r="T29" s="970">
        <f>VLOOKUP(T$3,Tbl_Glob_Conversie,2,FALSE)*F29/100</f>
        <v>8.6956000000000012E-3</v>
      </c>
      <c r="U29" s="970">
        <f>VLOOKUP(U$3,Tbl_Glob_Conversie,2,FALSE)*G29/100</f>
        <v>1.2820500000000002E-2</v>
      </c>
      <c r="V29" s="970">
        <f>VLOOKUP(V$3,Tbl_Glob_Conversie,2,FALSE)*H29/100</f>
        <v>7.4700000000000001E-3</v>
      </c>
      <c r="W29" s="970">
        <f>VLOOKUP(W$3,Tbl_Glob_Conversie,2,FALSE)*I29/100</f>
        <v>4.8433499999999997E-3</v>
      </c>
      <c r="X29" s="970">
        <f>VLOOKUP(X$3,Tbl_Glob_Conversie,2,FALSE)*J29/100</f>
        <v>1.23423E-3</v>
      </c>
      <c r="Y29" s="970">
        <f>VLOOKUP(Y$3,Tbl_Glob_Conversie,2,FALSE)*K29/100</f>
        <v>1.7899999999999998E-5</v>
      </c>
      <c r="Z29" s="970">
        <f>VLOOKUP(Z$3,Tbl_Glob_Conversie,2,FALSE)*L29/100</f>
        <v>0</v>
      </c>
      <c r="AA29" s="970">
        <f>VLOOKUP(AA$3,Tbl_Glob_Conversie,2,FALSE)*M29/100</f>
        <v>1.212858E-2</v>
      </c>
    </row>
    <row r="30" spans="1:27" x14ac:dyDescent="0.25">
      <c r="A30" s="970" t="s">
        <v>1023</v>
      </c>
      <c r="B30" s="968">
        <v>68</v>
      </c>
      <c r="C30" s="968">
        <v>1</v>
      </c>
      <c r="D30" s="969">
        <v>7.0000000000000009</v>
      </c>
      <c r="E30" s="969">
        <v>4</v>
      </c>
      <c r="F30" s="968">
        <v>20</v>
      </c>
      <c r="G30" s="968">
        <v>50.000000000000007</v>
      </c>
      <c r="H30" s="968">
        <v>30</v>
      </c>
      <c r="I30" s="968">
        <v>15</v>
      </c>
      <c r="J30" s="968">
        <v>3.0000000000000004</v>
      </c>
      <c r="K30" s="969">
        <v>0.1</v>
      </c>
      <c r="L30" s="968">
        <v>0</v>
      </c>
      <c r="M30" s="968">
        <v>43</v>
      </c>
      <c r="N30" s="968"/>
      <c r="O30" s="968" t="str">
        <f t="shared" si="0"/>
        <v>MM of Hypoallergeen</v>
      </c>
      <c r="P30" s="970">
        <f>VLOOKUP(P$3,Tbl_Glob_Conversie,2,FALSE)*B30/100</f>
        <v>0.68</v>
      </c>
      <c r="Q30" s="970">
        <f>VLOOKUP(Q$3,Tbl_Glob_Conversie,2,FALSE)*C30/100</f>
        <v>0.01</v>
      </c>
      <c r="R30" s="970">
        <f>VLOOKUP(R$3,Tbl_Glob_Conversie,2,FALSE)*D30/100</f>
        <v>7.0000000000000007E-2</v>
      </c>
      <c r="S30" s="970">
        <f>VLOOKUP(S$3,Tbl_Glob_Conversie,2,FALSE)*E30/100</f>
        <v>0.04</v>
      </c>
      <c r="T30" s="970">
        <f>VLOOKUP(T$3,Tbl_Glob_Conversie,2,FALSE)*F30/100</f>
        <v>8.6956000000000012E-3</v>
      </c>
      <c r="U30" s="970">
        <f>VLOOKUP(U$3,Tbl_Glob_Conversie,2,FALSE)*G30/100</f>
        <v>1.2820500000000002E-2</v>
      </c>
      <c r="V30" s="970">
        <f>VLOOKUP(V$3,Tbl_Glob_Conversie,2,FALSE)*H30/100</f>
        <v>7.4700000000000001E-3</v>
      </c>
      <c r="W30" s="970">
        <f>VLOOKUP(W$3,Tbl_Glob_Conversie,2,FALSE)*I30/100</f>
        <v>4.8433499999999997E-3</v>
      </c>
      <c r="X30" s="970">
        <f>VLOOKUP(X$3,Tbl_Glob_Conversie,2,FALSE)*J30/100</f>
        <v>1.23423E-3</v>
      </c>
      <c r="Y30" s="970">
        <f>VLOOKUP(Y$3,Tbl_Glob_Conversie,2,FALSE)*K30/100</f>
        <v>1.7899999999999998E-5</v>
      </c>
      <c r="Z30" s="970">
        <f>VLOOKUP(Z$3,Tbl_Glob_Conversie,2,FALSE)*L30/100</f>
        <v>0</v>
      </c>
      <c r="AA30" s="970">
        <f>VLOOKUP(AA$3,Tbl_Glob_Conversie,2,FALSE)*M30/100</f>
        <v>1.212858E-2</v>
      </c>
    </row>
    <row r="31" spans="1:27" x14ac:dyDescent="0.25">
      <c r="A31" s="970" t="s">
        <v>1024</v>
      </c>
      <c r="B31" s="968">
        <v>68</v>
      </c>
      <c r="C31" s="968">
        <v>1</v>
      </c>
      <c r="D31" s="969">
        <v>7.0000000000000009</v>
      </c>
      <c r="E31" s="969">
        <v>4</v>
      </c>
      <c r="F31" s="968">
        <v>20</v>
      </c>
      <c r="G31" s="968">
        <v>50.000000000000007</v>
      </c>
      <c r="H31" s="968">
        <v>30</v>
      </c>
      <c r="I31" s="968">
        <v>15</v>
      </c>
      <c r="J31" s="968">
        <v>3.0000000000000004</v>
      </c>
      <c r="K31" s="969">
        <v>0.1</v>
      </c>
      <c r="L31" s="968">
        <v>0</v>
      </c>
      <c r="M31" s="968">
        <v>43</v>
      </c>
      <c r="N31" s="968"/>
      <c r="O31" s="968" t="str">
        <f t="shared" si="0"/>
        <v>MM of Neocate</v>
      </c>
      <c r="P31" s="970">
        <f>VLOOKUP(P$3,Tbl_Glob_Conversie,2,FALSE)*B31/100</f>
        <v>0.68</v>
      </c>
      <c r="Q31" s="970">
        <f>VLOOKUP(Q$3,Tbl_Glob_Conversie,2,FALSE)*C31/100</f>
        <v>0.01</v>
      </c>
      <c r="R31" s="970">
        <f>VLOOKUP(R$3,Tbl_Glob_Conversie,2,FALSE)*D31/100</f>
        <v>7.0000000000000007E-2</v>
      </c>
      <c r="S31" s="970">
        <f>VLOOKUP(S$3,Tbl_Glob_Conversie,2,FALSE)*E31/100</f>
        <v>0.04</v>
      </c>
      <c r="T31" s="970">
        <f>VLOOKUP(T$3,Tbl_Glob_Conversie,2,FALSE)*F31/100</f>
        <v>8.6956000000000012E-3</v>
      </c>
      <c r="U31" s="970">
        <f>VLOOKUP(U$3,Tbl_Glob_Conversie,2,FALSE)*G31/100</f>
        <v>1.2820500000000002E-2</v>
      </c>
      <c r="V31" s="970">
        <f>VLOOKUP(V$3,Tbl_Glob_Conversie,2,FALSE)*H31/100</f>
        <v>7.4700000000000001E-3</v>
      </c>
      <c r="W31" s="970">
        <f>VLOOKUP(W$3,Tbl_Glob_Conversie,2,FALSE)*I31/100</f>
        <v>4.8433499999999997E-3</v>
      </c>
      <c r="X31" s="970">
        <f>VLOOKUP(X$3,Tbl_Glob_Conversie,2,FALSE)*J31/100</f>
        <v>1.23423E-3</v>
      </c>
      <c r="Y31" s="970">
        <f>VLOOKUP(Y$3,Tbl_Glob_Conversie,2,FALSE)*K31/100</f>
        <v>1.7899999999999998E-5</v>
      </c>
      <c r="Z31" s="970">
        <f>VLOOKUP(Z$3,Tbl_Glob_Conversie,2,FALSE)*L31/100</f>
        <v>0</v>
      </c>
      <c r="AA31" s="970">
        <f>VLOOKUP(AA$3,Tbl_Glob_Conversie,2,FALSE)*M31/100</f>
        <v>1.212858E-2</v>
      </c>
    </row>
    <row r="32" spans="1:27" x14ac:dyDescent="0.25">
      <c r="A32" s="970" t="s">
        <v>1028</v>
      </c>
      <c r="B32" s="970">
        <v>66.3</v>
      </c>
      <c r="C32" s="970">
        <v>1.5</v>
      </c>
      <c r="D32" s="970">
        <v>7</v>
      </c>
      <c r="E32" s="970">
        <v>3.6</v>
      </c>
      <c r="F32" s="970">
        <v>20.3</v>
      </c>
      <c r="G32" s="970">
        <v>67</v>
      </c>
      <c r="H32" s="970">
        <v>53.3</v>
      </c>
      <c r="I32" s="970">
        <v>29.2</v>
      </c>
      <c r="J32" s="970">
        <v>0.08</v>
      </c>
      <c r="K32" s="970">
        <v>0.51</v>
      </c>
      <c r="L32" s="970">
        <v>1.9</v>
      </c>
      <c r="M32" s="968">
        <v>40</v>
      </c>
      <c r="N32" s="968"/>
      <c r="O32" s="968" t="str">
        <f t="shared" si="0"/>
        <v>Nutrilon Caprilon</v>
      </c>
      <c r="P32" s="970">
        <f>VLOOKUP(P$3,Tbl_Glob_Conversie,2,FALSE)*B32/100</f>
        <v>0.66299999999999992</v>
      </c>
      <c r="Q32" s="970">
        <f>VLOOKUP(Q$3,Tbl_Glob_Conversie,2,FALSE)*C32/100</f>
        <v>1.4999999999999999E-2</v>
      </c>
      <c r="R32" s="970">
        <f>VLOOKUP(R$3,Tbl_Glob_Conversie,2,FALSE)*D32/100</f>
        <v>7.0000000000000007E-2</v>
      </c>
      <c r="S32" s="970">
        <f>VLOOKUP(S$3,Tbl_Glob_Conversie,2,FALSE)*E32/100</f>
        <v>3.6000000000000004E-2</v>
      </c>
      <c r="T32" s="970">
        <f>VLOOKUP(T$3,Tbl_Glob_Conversie,2,FALSE)*F32/100</f>
        <v>8.826034E-3</v>
      </c>
      <c r="U32" s="970">
        <f>VLOOKUP(U$3,Tbl_Glob_Conversie,2,FALSE)*G32/100</f>
        <v>1.7179470000000002E-2</v>
      </c>
      <c r="V32" s="970">
        <f>VLOOKUP(V$3,Tbl_Glob_Conversie,2,FALSE)*H32/100</f>
        <v>1.3271699999999999E-2</v>
      </c>
      <c r="W32" s="970">
        <f>VLOOKUP(W$3,Tbl_Glob_Conversie,2,FALSE)*I32/100</f>
        <v>9.4283879999999994E-3</v>
      </c>
      <c r="X32" s="970">
        <f>VLOOKUP(X$3,Tbl_Glob_Conversie,2,FALSE)*J32/100</f>
        <v>3.2912799999999994E-5</v>
      </c>
      <c r="Y32" s="970">
        <f>VLOOKUP(Y$3,Tbl_Glob_Conversie,2,FALSE)*K32/100</f>
        <v>9.1290000000000002E-5</v>
      </c>
      <c r="Z32" s="970">
        <f>VLOOKUP(Z$3,Tbl_Glob_Conversie,2,FALSE)*L32/100</f>
        <v>0.76</v>
      </c>
      <c r="AA32" s="970">
        <f>VLOOKUP(AA$3,Tbl_Glob_Conversie,2,FALSE)*M32/100</f>
        <v>1.12824E-2</v>
      </c>
    </row>
    <row r="33" spans="1:27" x14ac:dyDescent="0.25">
      <c r="A33" s="968" t="s">
        <v>958</v>
      </c>
      <c r="B33" s="970">
        <v>66</v>
      </c>
      <c r="C33" s="970">
        <v>1.4</v>
      </c>
      <c r="D33" s="970">
        <v>7.2</v>
      </c>
      <c r="E33" s="970">
        <v>3.5</v>
      </c>
      <c r="F33" s="970">
        <v>20</v>
      </c>
      <c r="G33" s="970">
        <v>65</v>
      </c>
      <c r="H33" s="970">
        <v>50</v>
      </c>
      <c r="I33" s="970">
        <v>30</v>
      </c>
      <c r="J33" s="970">
        <v>6</v>
      </c>
      <c r="K33" s="970">
        <v>0.78</v>
      </c>
      <c r="L33" s="970">
        <v>1.2</v>
      </c>
      <c r="M33" s="970">
        <v>42</v>
      </c>
      <c r="O33" s="968" t="str">
        <f t="shared" si="0"/>
        <v>Hero Baby 1 NS Standaard</v>
      </c>
      <c r="P33" s="970">
        <f>VLOOKUP(P$3,Tbl_Glob_Conversie,2,FALSE)*B33/100</f>
        <v>0.66</v>
      </c>
      <c r="Q33" s="970">
        <f>VLOOKUP(Q$3,Tbl_Glob_Conversie,2,FALSE)*C33/100</f>
        <v>1.3999999999999999E-2</v>
      </c>
      <c r="R33" s="970">
        <f>VLOOKUP(R$3,Tbl_Glob_Conversie,2,FALSE)*D33/100</f>
        <v>7.2000000000000008E-2</v>
      </c>
      <c r="S33" s="970">
        <f>VLOOKUP(S$3,Tbl_Glob_Conversie,2,FALSE)*E33/100</f>
        <v>3.5000000000000003E-2</v>
      </c>
      <c r="T33" s="970">
        <f>VLOOKUP(T$3,Tbl_Glob_Conversie,2,FALSE)*F33/100</f>
        <v>8.6956000000000012E-3</v>
      </c>
      <c r="U33" s="970">
        <f>VLOOKUP(U$3,Tbl_Glob_Conversie,2,FALSE)*G33/100</f>
        <v>1.6666650000000002E-2</v>
      </c>
      <c r="V33" s="970">
        <f>VLOOKUP(V$3,Tbl_Glob_Conversie,2,FALSE)*H33/100</f>
        <v>1.2449999999999999E-2</v>
      </c>
      <c r="W33" s="970">
        <f>VLOOKUP(W$3,Tbl_Glob_Conversie,2,FALSE)*I33/100</f>
        <v>9.6866999999999995E-3</v>
      </c>
      <c r="X33" s="970">
        <f>VLOOKUP(X$3,Tbl_Glob_Conversie,2,FALSE)*J33/100</f>
        <v>2.46846E-3</v>
      </c>
      <c r="Y33" s="970">
        <f>VLOOKUP(Y$3,Tbl_Glob_Conversie,2,FALSE)*K33/100</f>
        <v>1.3961999999999999E-4</v>
      </c>
      <c r="Z33" s="970">
        <f>VLOOKUP(Z$3,Tbl_Glob_Conversie,2,FALSE)*L33/100</f>
        <v>0.48</v>
      </c>
      <c r="AA33" s="970">
        <f>VLOOKUP(AA$3,Tbl_Glob_Conversie,2,FALSE)*M33/100</f>
        <v>1.1846520000000001E-2</v>
      </c>
    </row>
    <row r="34" spans="1:27" x14ac:dyDescent="0.25">
      <c r="A34" s="968" t="s">
        <v>959</v>
      </c>
      <c r="B34" s="970">
        <v>70</v>
      </c>
      <c r="C34" s="970">
        <v>1.6</v>
      </c>
      <c r="D34" s="970">
        <v>9.1999999999999993</v>
      </c>
      <c r="E34" s="970">
        <v>2.9</v>
      </c>
      <c r="F34" s="970">
        <v>24</v>
      </c>
      <c r="G34" s="970">
        <v>83</v>
      </c>
      <c r="H34" s="970">
        <v>72</v>
      </c>
      <c r="I34" s="970">
        <v>53</v>
      </c>
      <c r="J34" s="970">
        <v>7.8</v>
      </c>
      <c r="K34" s="970">
        <v>1.1000000000000001</v>
      </c>
      <c r="L34" s="970">
        <v>1.3</v>
      </c>
      <c r="M34" s="970">
        <v>45</v>
      </c>
      <c r="O34" s="968" t="str">
        <f t="shared" si="0"/>
        <v>Hero Baby 2 NS Standaard</v>
      </c>
      <c r="P34" s="970">
        <f>VLOOKUP(P$3,Tbl_Glob_Conversie,2,FALSE)*B34/100</f>
        <v>0.7</v>
      </c>
      <c r="Q34" s="970">
        <f>VLOOKUP(Q$3,Tbl_Glob_Conversie,2,FALSE)*C34/100</f>
        <v>1.6E-2</v>
      </c>
      <c r="R34" s="970">
        <f>VLOOKUP(R$3,Tbl_Glob_Conversie,2,FALSE)*D34/100</f>
        <v>9.1999999999999998E-2</v>
      </c>
      <c r="S34" s="970">
        <f>VLOOKUP(S$3,Tbl_Glob_Conversie,2,FALSE)*E34/100</f>
        <v>2.8999999999999998E-2</v>
      </c>
      <c r="T34" s="970">
        <f>VLOOKUP(T$3,Tbl_Glob_Conversie,2,FALSE)*F34/100</f>
        <v>1.043472E-2</v>
      </c>
      <c r="U34" s="970">
        <f>VLOOKUP(U$3,Tbl_Glob_Conversie,2,FALSE)*G34/100</f>
        <v>2.128203E-2</v>
      </c>
      <c r="V34" s="970">
        <f>VLOOKUP(V$3,Tbl_Glob_Conversie,2,FALSE)*H34/100</f>
        <v>1.7927999999999999E-2</v>
      </c>
      <c r="W34" s="970">
        <f>VLOOKUP(W$3,Tbl_Glob_Conversie,2,FALSE)*I34/100</f>
        <v>1.711317E-2</v>
      </c>
      <c r="X34" s="970">
        <f>VLOOKUP(X$3,Tbl_Glob_Conversie,2,FALSE)*J34/100</f>
        <v>3.2089979999999994E-3</v>
      </c>
      <c r="Y34" s="970">
        <f>VLOOKUP(Y$3,Tbl_Glob_Conversie,2,FALSE)*K34/100</f>
        <v>1.9689999999999999E-4</v>
      </c>
      <c r="Z34" s="970">
        <f>VLOOKUP(Z$3,Tbl_Glob_Conversie,2,FALSE)*L34/100</f>
        <v>0.52</v>
      </c>
      <c r="AA34" s="970">
        <f>VLOOKUP(AA$3,Tbl_Glob_Conversie,2,FALSE)*M34/100</f>
        <v>1.2692699999999999E-2</v>
      </c>
    </row>
    <row r="35" spans="1:27" x14ac:dyDescent="0.25">
      <c r="A35" s="968" t="s">
        <v>960</v>
      </c>
      <c r="B35" s="970">
        <v>65</v>
      </c>
      <c r="C35" s="970">
        <v>1.4</v>
      </c>
      <c r="D35" s="970">
        <v>6.8</v>
      </c>
      <c r="E35" s="970">
        <v>3.5</v>
      </c>
      <c r="F35" s="970">
        <v>16</v>
      </c>
      <c r="G35" s="970">
        <v>60.1</v>
      </c>
      <c r="H35" s="970">
        <v>43.9</v>
      </c>
      <c r="I35" s="970">
        <v>26</v>
      </c>
      <c r="J35" s="970">
        <v>4</v>
      </c>
      <c r="K35" s="970">
        <v>0.4</v>
      </c>
      <c r="L35" s="970">
        <v>1.2</v>
      </c>
      <c r="M35" s="970">
        <v>40</v>
      </c>
      <c r="O35" s="968" t="str">
        <f t="shared" si="0"/>
        <v>Hero Baby 1 NS Comfort</v>
      </c>
      <c r="P35" s="970">
        <f>VLOOKUP(P$3,Tbl_Glob_Conversie,2,FALSE)*B35/100</f>
        <v>0.65</v>
      </c>
      <c r="Q35" s="970">
        <f>VLOOKUP(Q$3,Tbl_Glob_Conversie,2,FALSE)*C35/100</f>
        <v>1.3999999999999999E-2</v>
      </c>
      <c r="R35" s="970">
        <f>VLOOKUP(R$3,Tbl_Glob_Conversie,2,FALSE)*D35/100</f>
        <v>6.8000000000000005E-2</v>
      </c>
      <c r="S35" s="970">
        <f>VLOOKUP(S$3,Tbl_Glob_Conversie,2,FALSE)*E35/100</f>
        <v>3.5000000000000003E-2</v>
      </c>
      <c r="T35" s="970">
        <f>VLOOKUP(T$3,Tbl_Glob_Conversie,2,FALSE)*F35/100</f>
        <v>6.9564800000000001E-3</v>
      </c>
      <c r="U35" s="970">
        <f>VLOOKUP(U$3,Tbl_Glob_Conversie,2,FALSE)*G35/100</f>
        <v>1.5410241E-2</v>
      </c>
      <c r="V35" s="970">
        <f>VLOOKUP(V$3,Tbl_Glob_Conversie,2,FALSE)*H35/100</f>
        <v>1.0931099999999997E-2</v>
      </c>
      <c r="W35" s="970">
        <f>VLOOKUP(W$3,Tbl_Glob_Conversie,2,FALSE)*I35/100</f>
        <v>8.3951400000000006E-3</v>
      </c>
      <c r="X35" s="970">
        <f>VLOOKUP(X$3,Tbl_Glob_Conversie,2,FALSE)*J35/100</f>
        <v>1.6456399999999999E-3</v>
      </c>
      <c r="Y35" s="970">
        <f>VLOOKUP(Y$3,Tbl_Glob_Conversie,2,FALSE)*K35/100</f>
        <v>7.1599999999999992E-5</v>
      </c>
      <c r="Z35" s="970">
        <f>VLOOKUP(Z$3,Tbl_Glob_Conversie,2,FALSE)*L35/100</f>
        <v>0.48</v>
      </c>
      <c r="AA35" s="970">
        <f>VLOOKUP(AA$3,Tbl_Glob_Conversie,2,FALSE)*M35/100</f>
        <v>1.12824E-2</v>
      </c>
    </row>
    <row r="36" spans="1:27" x14ac:dyDescent="0.25">
      <c r="A36" s="968" t="s">
        <v>961</v>
      </c>
      <c r="B36" s="970">
        <v>62</v>
      </c>
      <c r="C36" s="970">
        <v>1.3</v>
      </c>
      <c r="D36" s="970">
        <v>6.4</v>
      </c>
      <c r="E36" s="970">
        <v>3.3</v>
      </c>
      <c r="F36" s="970">
        <v>15</v>
      </c>
      <c r="G36" s="970">
        <v>56.8</v>
      </c>
      <c r="H36" s="970">
        <v>41.6</v>
      </c>
      <c r="I36" s="970">
        <v>25</v>
      </c>
      <c r="J36" s="970">
        <v>3.79</v>
      </c>
      <c r="K36" s="970">
        <v>1</v>
      </c>
      <c r="L36" s="970">
        <v>1.1000000000000001</v>
      </c>
      <c r="M36" s="970">
        <v>37.9</v>
      </c>
      <c r="O36" s="968" t="str">
        <f t="shared" si="0"/>
        <v>Hero Baby 2 NS Comfort</v>
      </c>
      <c r="P36" s="970">
        <f>VLOOKUP(P$3,Tbl_Glob_Conversie,2,FALSE)*B36/100</f>
        <v>0.62</v>
      </c>
      <c r="Q36" s="970">
        <f>VLOOKUP(Q$3,Tbl_Glob_Conversie,2,FALSE)*C36/100</f>
        <v>1.3000000000000001E-2</v>
      </c>
      <c r="R36" s="970">
        <f>VLOOKUP(R$3,Tbl_Glob_Conversie,2,FALSE)*D36/100</f>
        <v>6.4000000000000001E-2</v>
      </c>
      <c r="S36" s="970">
        <f>VLOOKUP(S$3,Tbl_Glob_Conversie,2,FALSE)*E36/100</f>
        <v>3.3000000000000002E-2</v>
      </c>
      <c r="T36" s="970">
        <f>VLOOKUP(T$3,Tbl_Glob_Conversie,2,FALSE)*F36/100</f>
        <v>6.5217000000000001E-3</v>
      </c>
      <c r="U36" s="970">
        <f>VLOOKUP(U$3,Tbl_Glob_Conversie,2,FALSE)*G36/100</f>
        <v>1.4564087999999999E-2</v>
      </c>
      <c r="V36" s="970">
        <f>VLOOKUP(V$3,Tbl_Glob_Conversie,2,FALSE)*H36/100</f>
        <v>1.0358399999999999E-2</v>
      </c>
      <c r="W36" s="970">
        <f>VLOOKUP(W$3,Tbl_Glob_Conversie,2,FALSE)*I36/100</f>
        <v>8.0722499999999996E-3</v>
      </c>
      <c r="X36" s="970">
        <f>VLOOKUP(X$3,Tbl_Glob_Conversie,2,FALSE)*J36/100</f>
        <v>1.5592439E-3</v>
      </c>
      <c r="Y36" s="970">
        <f>VLOOKUP(Y$3,Tbl_Glob_Conversie,2,FALSE)*K36/100</f>
        <v>1.7899999999999999E-4</v>
      </c>
      <c r="Z36" s="970">
        <f>VLOOKUP(Z$3,Tbl_Glob_Conversie,2,FALSE)*L36/100</f>
        <v>0.44</v>
      </c>
      <c r="AA36" s="970">
        <f>VLOOKUP(AA$3,Tbl_Glob_Conversie,2,FALSE)*M36/100</f>
        <v>1.0690073999999999E-2</v>
      </c>
    </row>
    <row r="37" spans="1:27" x14ac:dyDescent="0.25">
      <c r="A37" s="968" t="s">
        <v>1029</v>
      </c>
      <c r="B37" s="970">
        <v>66</v>
      </c>
      <c r="C37" s="970">
        <v>2</v>
      </c>
      <c r="D37" s="970">
        <v>6.6</v>
      </c>
      <c r="E37" s="970">
        <v>3.5</v>
      </c>
      <c r="F37" s="970">
        <v>22</v>
      </c>
      <c r="G37" s="970">
        <v>69.3</v>
      </c>
      <c r="H37" s="970">
        <v>66.3</v>
      </c>
      <c r="I37" s="970">
        <v>39</v>
      </c>
      <c r="J37" s="970">
        <v>6.58</v>
      </c>
      <c r="K37" s="970">
        <v>0.87</v>
      </c>
      <c r="L37" s="970">
        <v>1.3</v>
      </c>
      <c r="M37" s="970">
        <v>45.2</v>
      </c>
      <c r="O37" s="968" t="str">
        <f t="shared" si="0"/>
        <v>Hero Baby 1 NS Prematuur</v>
      </c>
      <c r="P37" s="970">
        <f>VLOOKUP(P$3,Tbl_Glob_Conversie,2,FALSE)*B37/100</f>
        <v>0.66</v>
      </c>
      <c r="Q37" s="970">
        <f>VLOOKUP(Q$3,Tbl_Glob_Conversie,2,FALSE)*C37/100</f>
        <v>0.02</v>
      </c>
      <c r="R37" s="970">
        <f>VLOOKUP(R$3,Tbl_Glob_Conversie,2,FALSE)*D37/100</f>
        <v>6.6000000000000003E-2</v>
      </c>
      <c r="S37" s="970">
        <f>VLOOKUP(S$3,Tbl_Glob_Conversie,2,FALSE)*E37/100</f>
        <v>3.5000000000000003E-2</v>
      </c>
      <c r="T37" s="970">
        <f>VLOOKUP(T$3,Tbl_Glob_Conversie,2,FALSE)*F37/100</f>
        <v>9.5651599999999996E-3</v>
      </c>
      <c r="U37" s="970">
        <f>VLOOKUP(U$3,Tbl_Glob_Conversie,2,FALSE)*G37/100</f>
        <v>1.7769212999999999E-2</v>
      </c>
      <c r="V37" s="970">
        <f>VLOOKUP(V$3,Tbl_Glob_Conversie,2,FALSE)*H37/100</f>
        <v>1.6508699999999998E-2</v>
      </c>
      <c r="W37" s="970">
        <f>VLOOKUP(W$3,Tbl_Glob_Conversie,2,FALSE)*I37/100</f>
        <v>1.259271E-2</v>
      </c>
      <c r="X37" s="970">
        <f>VLOOKUP(X$3,Tbl_Glob_Conversie,2,FALSE)*J37/100</f>
        <v>2.7070778000000003E-3</v>
      </c>
      <c r="Y37" s="970">
        <f>VLOOKUP(Y$3,Tbl_Glob_Conversie,2,FALSE)*K37/100</f>
        <v>1.5573E-4</v>
      </c>
      <c r="Z37" s="970">
        <f>VLOOKUP(Z$3,Tbl_Glob_Conversie,2,FALSE)*L37/100</f>
        <v>0.52</v>
      </c>
      <c r="AA37" s="970">
        <f>VLOOKUP(AA$3,Tbl_Glob_Conversie,2,FALSE)*M37/100</f>
        <v>1.2749112E-2</v>
      </c>
    </row>
    <row r="38" spans="1:27" x14ac:dyDescent="0.25">
      <c r="A38" s="968" t="s">
        <v>1030</v>
      </c>
      <c r="B38" s="970">
        <v>79</v>
      </c>
      <c r="C38" s="970">
        <v>2.6</v>
      </c>
      <c r="D38" s="970">
        <v>8.3000000000000007</v>
      </c>
      <c r="E38" s="970">
        <v>4</v>
      </c>
      <c r="F38" s="970">
        <v>51</v>
      </c>
      <c r="G38" s="970">
        <v>88</v>
      </c>
      <c r="H38" s="970">
        <v>96</v>
      </c>
      <c r="I38" s="970">
        <v>54.4</v>
      </c>
      <c r="J38" s="970">
        <v>8.9</v>
      </c>
      <c r="K38" s="970">
        <v>1.8</v>
      </c>
      <c r="L38" s="970">
        <v>1.9</v>
      </c>
      <c r="M38" s="970">
        <v>76.8</v>
      </c>
      <c r="O38" s="968" t="str">
        <f t="shared" si="0"/>
        <v>Hero Baby Prematuur Start</v>
      </c>
      <c r="P38" s="970">
        <f>VLOOKUP(P$3,Tbl_Glob_Conversie,2,FALSE)*B38/100</f>
        <v>0.79</v>
      </c>
      <c r="Q38" s="970">
        <f>VLOOKUP(Q$3,Tbl_Glob_Conversie,2,FALSE)*C38/100</f>
        <v>2.6000000000000002E-2</v>
      </c>
      <c r="R38" s="970">
        <f>VLOOKUP(R$3,Tbl_Glob_Conversie,2,FALSE)*D38/100</f>
        <v>8.3000000000000004E-2</v>
      </c>
      <c r="S38" s="970">
        <f>VLOOKUP(S$3,Tbl_Glob_Conversie,2,FALSE)*E38/100</f>
        <v>0.04</v>
      </c>
      <c r="T38" s="970">
        <f>VLOOKUP(T$3,Tbl_Glob_Conversie,2,FALSE)*F38/100</f>
        <v>2.2173780000000001E-2</v>
      </c>
      <c r="U38" s="970">
        <f>VLOOKUP(U$3,Tbl_Glob_Conversie,2,FALSE)*G38/100</f>
        <v>2.256408E-2</v>
      </c>
      <c r="V38" s="970">
        <f>VLOOKUP(V$3,Tbl_Glob_Conversie,2,FALSE)*H38/100</f>
        <v>2.3903999999999995E-2</v>
      </c>
      <c r="W38" s="970">
        <f>VLOOKUP(W$3,Tbl_Glob_Conversie,2,FALSE)*I38/100</f>
        <v>1.7565215999999998E-2</v>
      </c>
      <c r="X38" s="970">
        <f>VLOOKUP(X$3,Tbl_Glob_Conversie,2,FALSE)*J38/100</f>
        <v>3.6615490000000001E-3</v>
      </c>
      <c r="Y38" s="970">
        <f>VLOOKUP(Y$3,Tbl_Glob_Conversie,2,FALSE)*K38/100</f>
        <v>3.2219999999999997E-4</v>
      </c>
      <c r="Z38" s="970">
        <f>VLOOKUP(Z$3,Tbl_Glob_Conversie,2,FALSE)*L38/100</f>
        <v>0.76</v>
      </c>
      <c r="AA38" s="970">
        <f>VLOOKUP(AA$3,Tbl_Glob_Conversie,2,FALSE)*M38/100</f>
        <v>2.1662207999999995E-2</v>
      </c>
    </row>
    <row r="39" spans="1:27" x14ac:dyDescent="0.25">
      <c r="A39" s="968"/>
      <c r="R39" s="968"/>
    </row>
    <row r="40" spans="1:27" x14ac:dyDescent="0.25">
      <c r="A40" s="968"/>
    </row>
    <row r="41" spans="1:27" x14ac:dyDescent="0.25">
      <c r="A41" s="968"/>
    </row>
    <row r="42" spans="1:27" x14ac:dyDescent="0.25">
      <c r="A42" s="970" t="s">
        <v>1025</v>
      </c>
      <c r="O42" s="970" t="s">
        <v>5422</v>
      </c>
    </row>
    <row r="43" spans="1:27" x14ac:dyDescent="0.25">
      <c r="C43" s="968" t="s">
        <v>31</v>
      </c>
      <c r="D43" s="968" t="s">
        <v>31</v>
      </c>
      <c r="E43" s="968" t="s">
        <v>31</v>
      </c>
      <c r="F43" s="968" t="s">
        <v>162</v>
      </c>
      <c r="G43" s="968" t="s">
        <v>162</v>
      </c>
      <c r="H43" s="968" t="s">
        <v>162</v>
      </c>
      <c r="I43" s="968" t="s">
        <v>162</v>
      </c>
      <c r="J43" s="968" t="s">
        <v>162</v>
      </c>
      <c r="K43" s="968" t="s">
        <v>162</v>
      </c>
      <c r="L43" s="968" t="s">
        <v>950</v>
      </c>
      <c r="M43" s="968" t="s">
        <v>162</v>
      </c>
      <c r="N43" s="968"/>
      <c r="O43" s="968" t="s">
        <v>5426</v>
      </c>
      <c r="P43" s="968">
        <v>2</v>
      </c>
      <c r="Q43" s="968">
        <v>3</v>
      </c>
      <c r="R43" s="968">
        <v>4</v>
      </c>
      <c r="S43" s="968">
        <v>5</v>
      </c>
      <c r="T43" s="968">
        <v>6</v>
      </c>
      <c r="U43" s="968">
        <v>7</v>
      </c>
      <c r="V43" s="968">
        <v>8</v>
      </c>
      <c r="W43" s="968">
        <v>9</v>
      </c>
      <c r="X43" s="968">
        <v>10</v>
      </c>
      <c r="Y43" s="968">
        <v>11</v>
      </c>
      <c r="Z43" s="968">
        <v>12</v>
      </c>
      <c r="AA43" s="968">
        <v>13</v>
      </c>
    </row>
    <row r="44" spans="1:27" x14ac:dyDescent="0.25">
      <c r="A44" s="968"/>
      <c r="B44" s="968" t="s">
        <v>234</v>
      </c>
      <c r="C44" s="968" t="s">
        <v>228</v>
      </c>
      <c r="D44" s="968" t="s">
        <v>550</v>
      </c>
      <c r="E44" s="968" t="s">
        <v>551</v>
      </c>
      <c r="F44" s="968" t="s">
        <v>229</v>
      </c>
      <c r="G44" s="968" t="s">
        <v>230</v>
      </c>
      <c r="H44" s="968" t="s">
        <v>231</v>
      </c>
      <c r="I44" s="968" t="s">
        <v>549</v>
      </c>
      <c r="J44" s="968" t="s">
        <v>232</v>
      </c>
      <c r="K44" s="968" t="s">
        <v>948</v>
      </c>
      <c r="L44" s="968" t="s">
        <v>949</v>
      </c>
      <c r="M44" s="968" t="s">
        <v>603</v>
      </c>
      <c r="N44" s="968"/>
      <c r="O44" s="968"/>
      <c r="P44" s="968" t="s">
        <v>234</v>
      </c>
      <c r="Q44" s="968" t="s">
        <v>196</v>
      </c>
      <c r="R44" s="968" t="s">
        <v>235</v>
      </c>
      <c r="S44" s="968" t="s">
        <v>197</v>
      </c>
      <c r="T44" s="968" t="s">
        <v>229</v>
      </c>
      <c r="U44" s="968" t="s">
        <v>230</v>
      </c>
      <c r="V44" s="968" t="s">
        <v>231</v>
      </c>
      <c r="W44" s="968" t="s">
        <v>236</v>
      </c>
      <c r="X44" s="968" t="s">
        <v>232</v>
      </c>
      <c r="Y44" s="968" t="s">
        <v>948</v>
      </c>
      <c r="Z44" s="968" t="s">
        <v>949</v>
      </c>
      <c r="AA44" s="968" t="s">
        <v>603</v>
      </c>
    </row>
    <row r="45" spans="1:27" x14ac:dyDescent="0.25">
      <c r="A45" s="968"/>
      <c r="B45" s="968" t="s">
        <v>234</v>
      </c>
      <c r="C45" s="968" t="s">
        <v>196</v>
      </c>
      <c r="D45" s="968" t="s">
        <v>235</v>
      </c>
      <c r="E45" s="968" t="s">
        <v>197</v>
      </c>
      <c r="F45" s="968" t="s">
        <v>229</v>
      </c>
      <c r="G45" s="968" t="s">
        <v>230</v>
      </c>
      <c r="H45" s="968" t="s">
        <v>231</v>
      </c>
      <c r="I45" s="968" t="s">
        <v>236</v>
      </c>
      <c r="J45" s="968" t="s">
        <v>232</v>
      </c>
      <c r="K45" s="968" t="s">
        <v>948</v>
      </c>
      <c r="L45" s="968" t="s">
        <v>949</v>
      </c>
      <c r="M45" s="968" t="s">
        <v>603</v>
      </c>
      <c r="N45" s="968"/>
      <c r="O45" s="968"/>
      <c r="P45" s="970" t="str">
        <f>VLOOKUP(P44,Tbl_Glob_Conversie,3,FALSE)</f>
        <v>kcal</v>
      </c>
      <c r="Q45" s="970" t="str">
        <f>VLOOKUP(Q44,Tbl_Glob_Conversie,3,FALSE)</f>
        <v>gram</v>
      </c>
      <c r="R45" s="970" t="str">
        <f>VLOOKUP(R44,Tbl_Glob_Conversie,3,FALSE)</f>
        <v>gram</v>
      </c>
      <c r="S45" s="970" t="str">
        <f>VLOOKUP(S44,Tbl_Glob_Conversie,3,FALSE)</f>
        <v>gram</v>
      </c>
      <c r="T45" s="970" t="str">
        <f>VLOOKUP(T44,Tbl_Glob_Conversie,3,FALSE)</f>
        <v>mmol</v>
      </c>
      <c r="U45" s="970" t="str">
        <f>VLOOKUP(U44,Tbl_Glob_Conversie,3,FALSE)</f>
        <v>mmol</v>
      </c>
      <c r="V45" s="970" t="str">
        <f>VLOOKUP(V44,Tbl_Glob_Conversie,3,FALSE)</f>
        <v>mmol</v>
      </c>
      <c r="W45" s="970" t="str">
        <f>VLOOKUP(W44,Tbl_Glob_Conversie,3,FALSE)</f>
        <v>mmol</v>
      </c>
      <c r="X45" s="970" t="str">
        <f>VLOOKUP(X44,Tbl_Glob_Conversie,3,FALSE)</f>
        <v>mmol</v>
      </c>
      <c r="Y45" s="970" t="str">
        <f>VLOOKUP(Y44,Tbl_Glob_Conversie,3,FALSE)</f>
        <v>mmol</v>
      </c>
      <c r="Z45" s="970" t="str">
        <f>VLOOKUP(Z44,Tbl_Glob_Conversie,3,FALSE)</f>
        <v>IE</v>
      </c>
      <c r="AA45" s="970" t="str">
        <f>VLOOKUP(AA44,Tbl_Glob_Conversie,3,FALSE)</f>
        <v>mmol</v>
      </c>
    </row>
    <row r="46" spans="1:27" x14ac:dyDescent="0.25">
      <c r="A46" s="968"/>
    </row>
    <row r="47" spans="1:27" x14ac:dyDescent="0.25">
      <c r="A47" s="968" t="s">
        <v>615</v>
      </c>
      <c r="B47" s="968">
        <v>347</v>
      </c>
      <c r="C47" s="968">
        <v>25.2</v>
      </c>
      <c r="D47" s="969">
        <v>62.2</v>
      </c>
      <c r="E47" s="969">
        <v>0</v>
      </c>
      <c r="F47" s="968">
        <v>803</v>
      </c>
      <c r="G47" s="968">
        <v>528</v>
      </c>
      <c r="H47" s="968">
        <v>1491</v>
      </c>
      <c r="I47" s="968">
        <v>872</v>
      </c>
      <c r="J47" s="968">
        <v>115</v>
      </c>
      <c r="K47" s="969">
        <v>0</v>
      </c>
      <c r="L47" s="968">
        <v>115</v>
      </c>
      <c r="M47" s="968">
        <v>573</v>
      </c>
      <c r="N47" s="968"/>
      <c r="O47" s="968" t="str">
        <f>A47</f>
        <v>Nutrilon Nenatal BMF</v>
      </c>
      <c r="P47" s="970">
        <f>VLOOKUP(P$44,Tbl_Glob_Conversie,2,FALSE)*B47/100</f>
        <v>3.47</v>
      </c>
      <c r="Q47" s="970">
        <f>VLOOKUP(Q$44,Tbl_Glob_Conversie,2,FALSE)*C47/100</f>
        <v>0.252</v>
      </c>
      <c r="R47" s="970">
        <f>VLOOKUP(R$44,Tbl_Glob_Conversie,2,FALSE)*D47/100</f>
        <v>0.622</v>
      </c>
      <c r="S47" s="970">
        <f>VLOOKUP(S$44,Tbl_Glob_Conversie,2,FALSE)*E47/100</f>
        <v>0</v>
      </c>
      <c r="T47" s="970">
        <f>VLOOKUP(T$44,Tbl_Glob_Conversie,2,FALSE)*F47/100</f>
        <v>0.34912834000000004</v>
      </c>
      <c r="U47" s="970">
        <f>VLOOKUP(U$44,Tbl_Glob_Conversie,2,FALSE)*G47/100</f>
        <v>0.13538448</v>
      </c>
      <c r="V47" s="970">
        <f>VLOOKUP(V$44,Tbl_Glob_Conversie,2,FALSE)*H47/100</f>
        <v>0.37125899999999995</v>
      </c>
      <c r="W47" s="970">
        <f>VLOOKUP(W$44,Tbl_Glob_Conversie,2,FALSE)*I47/100</f>
        <v>0.28156007999999999</v>
      </c>
      <c r="X47" s="970">
        <f>VLOOKUP(X$44,Tbl_Glob_Conversie,2,FALSE)*J47/100</f>
        <v>4.7312149999999997E-2</v>
      </c>
      <c r="Y47" s="970">
        <f>VLOOKUP(Y$44,Tbl_Glob_Conversie,2,FALSE)*K47/100</f>
        <v>0</v>
      </c>
      <c r="Z47" s="970">
        <f>VLOOKUP(Z$44,Tbl_Glob_Conversie,2,FALSE)*L47/100</f>
        <v>46</v>
      </c>
      <c r="AA47" s="970">
        <f>VLOOKUP(AA$44,Tbl_Glob_Conversie,2,FALSE)*M47/100</f>
        <v>0.16162037999999998</v>
      </c>
    </row>
    <row r="48" spans="1:27" x14ac:dyDescent="0.25">
      <c r="A48" s="968" t="s">
        <v>958</v>
      </c>
      <c r="B48" s="968">
        <v>509</v>
      </c>
      <c r="C48" s="968">
        <v>10</v>
      </c>
      <c r="D48" s="969">
        <v>56</v>
      </c>
      <c r="E48" s="969">
        <v>27</v>
      </c>
      <c r="F48" s="968">
        <v>120</v>
      </c>
      <c r="G48" s="968">
        <v>462</v>
      </c>
      <c r="H48" s="968">
        <v>338</v>
      </c>
      <c r="I48" s="968">
        <v>200</v>
      </c>
      <c r="J48" s="968">
        <v>30.8</v>
      </c>
      <c r="K48" s="971">
        <v>3.1</v>
      </c>
      <c r="L48" s="972">
        <v>9.1999999999999993</v>
      </c>
      <c r="M48" s="972">
        <v>308</v>
      </c>
      <c r="N48" s="972"/>
      <c r="O48" s="968" t="str">
        <f t="shared" ref="O48:O69" si="1">A48</f>
        <v>Hero Baby 1 NS Standaard</v>
      </c>
      <c r="P48" s="970">
        <f>VLOOKUP(P$44,Tbl_Glob_Conversie,2,FALSE)*B48/100</f>
        <v>5.09</v>
      </c>
      <c r="Q48" s="970">
        <f>VLOOKUP(Q$44,Tbl_Glob_Conversie,2,FALSE)*C48/100</f>
        <v>0.1</v>
      </c>
      <c r="R48" s="970">
        <f>VLOOKUP(R$44,Tbl_Glob_Conversie,2,FALSE)*D48/100</f>
        <v>0.56000000000000005</v>
      </c>
      <c r="S48" s="970">
        <f>VLOOKUP(S$44,Tbl_Glob_Conversie,2,FALSE)*E48/100</f>
        <v>0.27</v>
      </c>
      <c r="T48" s="970">
        <f>VLOOKUP(T$44,Tbl_Glob_Conversie,2,FALSE)*F48/100</f>
        <v>5.2173600000000001E-2</v>
      </c>
      <c r="U48" s="970">
        <f>VLOOKUP(U$44,Tbl_Glob_Conversie,2,FALSE)*G48/100</f>
        <v>0.11846142</v>
      </c>
      <c r="V48" s="970">
        <f>VLOOKUP(V$44,Tbl_Glob_Conversie,2,FALSE)*H48/100</f>
        <v>8.4162000000000001E-2</v>
      </c>
      <c r="W48" s="970">
        <f>VLOOKUP(W$44,Tbl_Glob_Conversie,2,FALSE)*I48/100</f>
        <v>6.4577999999999997E-2</v>
      </c>
      <c r="X48" s="970">
        <f>VLOOKUP(X$44,Tbl_Glob_Conversie,2,FALSE)*J48/100</f>
        <v>1.2671428E-2</v>
      </c>
      <c r="Y48" s="970">
        <f>VLOOKUP(Y$44,Tbl_Glob_Conversie,2,FALSE)*K48/100</f>
        <v>5.5489999999999999E-4</v>
      </c>
      <c r="Z48" s="970">
        <f>VLOOKUP(Z$44,Tbl_Glob_Conversie,2,FALSE)*L48/100</f>
        <v>3.68</v>
      </c>
      <c r="AA48" s="970">
        <f>VLOOKUP(AA$44,Tbl_Glob_Conversie,2,FALSE)*M48/100</f>
        <v>8.6874480000000004E-2</v>
      </c>
    </row>
    <row r="49" spans="1:27" x14ac:dyDescent="0.25">
      <c r="A49" s="968" t="s">
        <v>959</v>
      </c>
      <c r="B49" s="968">
        <v>470</v>
      </c>
      <c r="C49" s="968">
        <v>9.5</v>
      </c>
      <c r="D49" s="969">
        <v>64</v>
      </c>
      <c r="E49" s="969">
        <v>19</v>
      </c>
      <c r="F49" s="968">
        <v>160</v>
      </c>
      <c r="G49" s="968">
        <v>554</v>
      </c>
      <c r="H49" s="968">
        <v>405</v>
      </c>
      <c r="I49" s="968">
        <v>243</v>
      </c>
      <c r="J49" s="968">
        <v>52</v>
      </c>
      <c r="K49" s="971">
        <v>8.1999999999999993</v>
      </c>
      <c r="L49" s="972">
        <v>8.6</v>
      </c>
      <c r="M49" s="972">
        <v>297</v>
      </c>
      <c r="N49" s="972"/>
      <c r="O49" s="968" t="str">
        <f t="shared" si="1"/>
        <v>Hero Baby 2 NS Standaard</v>
      </c>
      <c r="P49" s="970">
        <f>VLOOKUP(P$44,Tbl_Glob_Conversie,2,FALSE)*B49/100</f>
        <v>4.7</v>
      </c>
      <c r="Q49" s="970">
        <f>VLOOKUP(Q$44,Tbl_Glob_Conversie,2,FALSE)*C49/100</f>
        <v>9.5000000000000001E-2</v>
      </c>
      <c r="R49" s="970">
        <f>VLOOKUP(R$44,Tbl_Glob_Conversie,2,FALSE)*D49/100</f>
        <v>0.64</v>
      </c>
      <c r="S49" s="970">
        <f>VLOOKUP(S$44,Tbl_Glob_Conversie,2,FALSE)*E49/100</f>
        <v>0.19</v>
      </c>
      <c r="T49" s="970">
        <f>VLOOKUP(T$44,Tbl_Glob_Conversie,2,FALSE)*F49/100</f>
        <v>6.956480000000001E-2</v>
      </c>
      <c r="U49" s="970">
        <f>VLOOKUP(U$44,Tbl_Glob_Conversie,2,FALSE)*G49/100</f>
        <v>0.14205113999999999</v>
      </c>
      <c r="V49" s="970">
        <f>VLOOKUP(V$44,Tbl_Glob_Conversie,2,FALSE)*H49/100</f>
        <v>0.100845</v>
      </c>
      <c r="W49" s="970">
        <f>VLOOKUP(W$44,Tbl_Glob_Conversie,2,FALSE)*I49/100</f>
        <v>7.8462270000000001E-2</v>
      </c>
      <c r="X49" s="970">
        <f>VLOOKUP(X$44,Tbl_Glob_Conversie,2,FALSE)*J49/100</f>
        <v>2.139332E-2</v>
      </c>
      <c r="Y49" s="970">
        <f>VLOOKUP(Y$44,Tbl_Glob_Conversie,2,FALSE)*K49/100</f>
        <v>1.4678E-3</v>
      </c>
      <c r="Z49" s="970">
        <f>VLOOKUP(Z$44,Tbl_Glob_Conversie,2,FALSE)*L49/100</f>
        <v>3.44</v>
      </c>
      <c r="AA49" s="970">
        <f>VLOOKUP(AA$44,Tbl_Glob_Conversie,2,FALSE)*M49/100</f>
        <v>8.3771819999999997E-2</v>
      </c>
    </row>
    <row r="50" spans="1:27" x14ac:dyDescent="0.25">
      <c r="A50" s="968" t="s">
        <v>960</v>
      </c>
      <c r="B50" s="968">
        <v>503</v>
      </c>
      <c r="C50" s="968">
        <v>11</v>
      </c>
      <c r="D50" s="969">
        <v>52</v>
      </c>
      <c r="E50" s="969">
        <v>27</v>
      </c>
      <c r="F50" s="968">
        <v>120</v>
      </c>
      <c r="G50" s="968">
        <v>462</v>
      </c>
      <c r="H50" s="968">
        <v>338</v>
      </c>
      <c r="I50" s="968">
        <v>200</v>
      </c>
      <c r="J50" s="973">
        <v>30.8</v>
      </c>
      <c r="K50" s="974">
        <v>3.1</v>
      </c>
      <c r="L50" s="975">
        <v>9.1999999999999993</v>
      </c>
      <c r="M50" s="975">
        <v>308</v>
      </c>
      <c r="N50" s="975"/>
      <c r="O50" s="968" t="str">
        <f t="shared" si="1"/>
        <v>Hero Baby 1 NS Comfort</v>
      </c>
      <c r="P50" s="970">
        <f>VLOOKUP(P$44,Tbl_Glob_Conversie,2,FALSE)*B50/100</f>
        <v>5.03</v>
      </c>
      <c r="Q50" s="970">
        <f>VLOOKUP(Q$44,Tbl_Glob_Conversie,2,FALSE)*C50/100</f>
        <v>0.11</v>
      </c>
      <c r="R50" s="970">
        <f>VLOOKUP(R$44,Tbl_Glob_Conversie,2,FALSE)*D50/100</f>
        <v>0.52</v>
      </c>
      <c r="S50" s="970">
        <f>VLOOKUP(S$44,Tbl_Glob_Conversie,2,FALSE)*E50/100</f>
        <v>0.27</v>
      </c>
      <c r="T50" s="970">
        <f>VLOOKUP(T$44,Tbl_Glob_Conversie,2,FALSE)*F50/100</f>
        <v>5.2173600000000001E-2</v>
      </c>
      <c r="U50" s="970">
        <f>VLOOKUP(U$44,Tbl_Glob_Conversie,2,FALSE)*G50/100</f>
        <v>0.11846142</v>
      </c>
      <c r="V50" s="970">
        <f>VLOOKUP(V$44,Tbl_Glob_Conversie,2,FALSE)*H50/100</f>
        <v>8.4162000000000001E-2</v>
      </c>
      <c r="W50" s="970">
        <f>VLOOKUP(W$44,Tbl_Glob_Conversie,2,FALSE)*I50/100</f>
        <v>6.4577999999999997E-2</v>
      </c>
      <c r="X50" s="970">
        <f>VLOOKUP(X$44,Tbl_Glob_Conversie,2,FALSE)*J50/100</f>
        <v>1.2671428E-2</v>
      </c>
      <c r="Y50" s="970">
        <f>VLOOKUP(Y$44,Tbl_Glob_Conversie,2,FALSE)*K50/100</f>
        <v>5.5489999999999999E-4</v>
      </c>
      <c r="Z50" s="970">
        <f>VLOOKUP(Z$44,Tbl_Glob_Conversie,2,FALSE)*L50/100</f>
        <v>3.68</v>
      </c>
      <c r="AA50" s="970">
        <f>VLOOKUP(AA$44,Tbl_Glob_Conversie,2,FALSE)*M50/100</f>
        <v>8.6874480000000004E-2</v>
      </c>
    </row>
    <row r="51" spans="1:27" x14ac:dyDescent="0.25">
      <c r="A51" s="968" t="s">
        <v>961</v>
      </c>
      <c r="B51" s="968">
        <v>503</v>
      </c>
      <c r="C51" s="968">
        <v>11</v>
      </c>
      <c r="D51" s="969">
        <v>52</v>
      </c>
      <c r="E51" s="969">
        <v>27</v>
      </c>
      <c r="F51" s="968">
        <v>120</v>
      </c>
      <c r="G51" s="968">
        <v>462</v>
      </c>
      <c r="H51" s="968">
        <v>338</v>
      </c>
      <c r="I51" s="968">
        <v>200</v>
      </c>
      <c r="J51" s="973">
        <v>30.8</v>
      </c>
      <c r="K51" s="974">
        <v>8.5</v>
      </c>
      <c r="L51" s="975">
        <v>9.1999999999999993</v>
      </c>
      <c r="M51" s="975">
        <v>308</v>
      </c>
      <c r="N51" s="975"/>
      <c r="O51" s="968" t="str">
        <f t="shared" si="1"/>
        <v>Hero Baby 2 NS Comfort</v>
      </c>
      <c r="P51" s="970">
        <f>VLOOKUP(P$44,Tbl_Glob_Conversie,2,FALSE)*B51/100</f>
        <v>5.03</v>
      </c>
      <c r="Q51" s="970">
        <f>VLOOKUP(Q$44,Tbl_Glob_Conversie,2,FALSE)*C51/100</f>
        <v>0.11</v>
      </c>
      <c r="R51" s="970">
        <f>VLOOKUP(R$44,Tbl_Glob_Conversie,2,FALSE)*D51/100</f>
        <v>0.52</v>
      </c>
      <c r="S51" s="970">
        <f>VLOOKUP(S$44,Tbl_Glob_Conversie,2,FALSE)*E51/100</f>
        <v>0.27</v>
      </c>
      <c r="T51" s="970">
        <f>VLOOKUP(T$44,Tbl_Glob_Conversie,2,FALSE)*F51/100</f>
        <v>5.2173600000000001E-2</v>
      </c>
      <c r="U51" s="970">
        <f>VLOOKUP(U$44,Tbl_Glob_Conversie,2,FALSE)*G51/100</f>
        <v>0.11846142</v>
      </c>
      <c r="V51" s="970">
        <f>VLOOKUP(V$44,Tbl_Glob_Conversie,2,FALSE)*H51/100</f>
        <v>8.4162000000000001E-2</v>
      </c>
      <c r="W51" s="970">
        <f>VLOOKUP(W$44,Tbl_Glob_Conversie,2,FALSE)*I51/100</f>
        <v>6.4577999999999997E-2</v>
      </c>
      <c r="X51" s="970">
        <f>VLOOKUP(X$44,Tbl_Glob_Conversie,2,FALSE)*J51/100</f>
        <v>1.2671428E-2</v>
      </c>
      <c r="Y51" s="970">
        <f>VLOOKUP(Y$44,Tbl_Glob_Conversie,2,FALSE)*K51/100</f>
        <v>1.5215000000000001E-3</v>
      </c>
      <c r="Z51" s="970">
        <f>VLOOKUP(Z$44,Tbl_Glob_Conversie,2,FALSE)*L51/100</f>
        <v>3.68</v>
      </c>
      <c r="AA51" s="970">
        <f>VLOOKUP(AA$44,Tbl_Glob_Conversie,2,FALSE)*M51/100</f>
        <v>8.6874480000000004E-2</v>
      </c>
    </row>
    <row r="52" spans="1:27" x14ac:dyDescent="0.25">
      <c r="A52" s="968" t="s">
        <v>962</v>
      </c>
      <c r="B52" s="968">
        <v>493</v>
      </c>
      <c r="C52" s="968">
        <v>13</v>
      </c>
      <c r="D52" s="969">
        <v>53</v>
      </c>
      <c r="E52" s="969">
        <v>26</v>
      </c>
      <c r="F52" s="968">
        <v>204</v>
      </c>
      <c r="G52" s="968">
        <v>550</v>
      </c>
      <c r="H52" s="968">
        <v>400</v>
      </c>
      <c r="I52" s="968">
        <v>230</v>
      </c>
      <c r="J52" s="968">
        <v>50</v>
      </c>
      <c r="K52" s="974">
        <v>3.5</v>
      </c>
      <c r="L52" s="975">
        <v>7.8</v>
      </c>
      <c r="M52" s="975">
        <v>315</v>
      </c>
      <c r="N52" s="975"/>
      <c r="O52" s="968" t="str">
        <f t="shared" si="1"/>
        <v>Hero Baby 1 NS Pep</v>
      </c>
      <c r="P52" s="970">
        <f>VLOOKUP(P$44,Tbl_Glob_Conversie,2,FALSE)*B52/100</f>
        <v>4.93</v>
      </c>
      <c r="Q52" s="970">
        <f>VLOOKUP(Q$44,Tbl_Glob_Conversie,2,FALSE)*C52/100</f>
        <v>0.13</v>
      </c>
      <c r="R52" s="970">
        <f>VLOOKUP(R$44,Tbl_Glob_Conversie,2,FALSE)*D52/100</f>
        <v>0.53</v>
      </c>
      <c r="S52" s="970">
        <f>VLOOKUP(S$44,Tbl_Glob_Conversie,2,FALSE)*E52/100</f>
        <v>0.26</v>
      </c>
      <c r="T52" s="970">
        <f>VLOOKUP(T$44,Tbl_Glob_Conversie,2,FALSE)*F52/100</f>
        <v>8.8695120000000002E-2</v>
      </c>
      <c r="U52" s="970">
        <f>VLOOKUP(U$44,Tbl_Glob_Conversie,2,FALSE)*G52/100</f>
        <v>0.1410255</v>
      </c>
      <c r="V52" s="970">
        <f>VLOOKUP(V$44,Tbl_Glob_Conversie,2,FALSE)*H52/100</f>
        <v>9.9599999999999994E-2</v>
      </c>
      <c r="W52" s="970">
        <f>VLOOKUP(W$44,Tbl_Glob_Conversie,2,FALSE)*I52/100</f>
        <v>7.4264699999999989E-2</v>
      </c>
      <c r="X52" s="970">
        <f>VLOOKUP(X$44,Tbl_Glob_Conversie,2,FALSE)*J52/100</f>
        <v>2.0570499999999999E-2</v>
      </c>
      <c r="Y52" s="970">
        <f>VLOOKUP(Y$44,Tbl_Glob_Conversie,2,FALSE)*K52/100</f>
        <v>6.265E-4</v>
      </c>
      <c r="Z52" s="970">
        <f>VLOOKUP(Z$44,Tbl_Glob_Conversie,2,FALSE)*L52/100</f>
        <v>3.12</v>
      </c>
      <c r="AA52" s="970">
        <f>VLOOKUP(AA$44,Tbl_Glob_Conversie,2,FALSE)*M52/100</f>
        <v>8.8848899999999981E-2</v>
      </c>
    </row>
    <row r="53" spans="1:27" x14ac:dyDescent="0.25">
      <c r="A53" s="968" t="s">
        <v>963</v>
      </c>
      <c r="B53" s="968">
        <v>493</v>
      </c>
      <c r="C53" s="968">
        <v>13</v>
      </c>
      <c r="D53" s="969">
        <v>53</v>
      </c>
      <c r="E53" s="969">
        <v>26</v>
      </c>
      <c r="F53" s="968">
        <v>204</v>
      </c>
      <c r="G53" s="968">
        <v>550</v>
      </c>
      <c r="H53" s="968">
        <v>400</v>
      </c>
      <c r="I53" s="968">
        <v>230</v>
      </c>
      <c r="J53" s="968">
        <v>50</v>
      </c>
      <c r="K53" s="974">
        <v>7.1</v>
      </c>
      <c r="L53" s="975">
        <v>7.8</v>
      </c>
      <c r="M53" s="975">
        <v>315</v>
      </c>
      <c r="N53" s="975"/>
      <c r="O53" s="968" t="str">
        <f t="shared" si="1"/>
        <v>Hero Baby 2 NS Pep</v>
      </c>
      <c r="P53" s="970">
        <f>VLOOKUP(P$44,Tbl_Glob_Conversie,2,FALSE)*B53/100</f>
        <v>4.93</v>
      </c>
      <c r="Q53" s="970">
        <f>VLOOKUP(Q$44,Tbl_Glob_Conversie,2,FALSE)*C53/100</f>
        <v>0.13</v>
      </c>
      <c r="R53" s="970">
        <f>VLOOKUP(R$44,Tbl_Glob_Conversie,2,FALSE)*D53/100</f>
        <v>0.53</v>
      </c>
      <c r="S53" s="970">
        <f>VLOOKUP(S$44,Tbl_Glob_Conversie,2,FALSE)*E53/100</f>
        <v>0.26</v>
      </c>
      <c r="T53" s="970">
        <f>VLOOKUP(T$44,Tbl_Glob_Conversie,2,FALSE)*F53/100</f>
        <v>8.8695120000000002E-2</v>
      </c>
      <c r="U53" s="970">
        <f>VLOOKUP(U$44,Tbl_Glob_Conversie,2,FALSE)*G53/100</f>
        <v>0.1410255</v>
      </c>
      <c r="V53" s="970">
        <f>VLOOKUP(V$44,Tbl_Glob_Conversie,2,FALSE)*H53/100</f>
        <v>9.9599999999999994E-2</v>
      </c>
      <c r="W53" s="970">
        <f>VLOOKUP(W$44,Tbl_Glob_Conversie,2,FALSE)*I53/100</f>
        <v>7.4264699999999989E-2</v>
      </c>
      <c r="X53" s="970">
        <f>VLOOKUP(X$44,Tbl_Glob_Conversie,2,FALSE)*J53/100</f>
        <v>2.0570499999999999E-2</v>
      </c>
      <c r="Y53" s="970">
        <f>VLOOKUP(Y$44,Tbl_Glob_Conversie,2,FALSE)*K53/100</f>
        <v>1.2708999999999997E-3</v>
      </c>
      <c r="Z53" s="970">
        <f>VLOOKUP(Z$44,Tbl_Glob_Conversie,2,FALSE)*L53/100</f>
        <v>3.12</v>
      </c>
      <c r="AA53" s="970">
        <f>VLOOKUP(AA$44,Tbl_Glob_Conversie,2,FALSE)*M53/100</f>
        <v>8.8848899999999981E-2</v>
      </c>
    </row>
    <row r="54" spans="1:27" x14ac:dyDescent="0.25">
      <c r="A54" s="968" t="s">
        <v>964</v>
      </c>
      <c r="B54" s="968">
        <v>500</v>
      </c>
      <c r="C54" s="968">
        <v>14</v>
      </c>
      <c r="D54" s="969">
        <v>55</v>
      </c>
      <c r="E54" s="969">
        <v>25</v>
      </c>
      <c r="F54" s="968">
        <v>240</v>
      </c>
      <c r="G54" s="968">
        <v>610</v>
      </c>
      <c r="H54" s="968">
        <v>565</v>
      </c>
      <c r="I54" s="968">
        <v>390</v>
      </c>
      <c r="J54" s="968">
        <v>50</v>
      </c>
      <c r="K54" s="971">
        <v>9</v>
      </c>
      <c r="L54" s="972">
        <v>7.5</v>
      </c>
      <c r="M54" s="972">
        <v>480</v>
      </c>
      <c r="N54" s="972"/>
      <c r="O54" s="968" t="str">
        <f t="shared" si="1"/>
        <v>Nutramigen 1 LGG pdr</v>
      </c>
      <c r="P54" s="970">
        <f>VLOOKUP(P$44,Tbl_Glob_Conversie,2,FALSE)*B54/100</f>
        <v>5</v>
      </c>
      <c r="Q54" s="970">
        <f>VLOOKUP(Q$44,Tbl_Glob_Conversie,2,FALSE)*C54/100</f>
        <v>0.14000000000000001</v>
      </c>
      <c r="R54" s="970">
        <f>VLOOKUP(R$44,Tbl_Glob_Conversie,2,FALSE)*D54/100</f>
        <v>0.55000000000000004</v>
      </c>
      <c r="S54" s="970">
        <f>VLOOKUP(S$44,Tbl_Glob_Conversie,2,FALSE)*E54/100</f>
        <v>0.25</v>
      </c>
      <c r="T54" s="970">
        <f>VLOOKUP(T$44,Tbl_Glob_Conversie,2,FALSE)*F54/100</f>
        <v>0.1043472</v>
      </c>
      <c r="U54" s="970">
        <f>VLOOKUP(U$44,Tbl_Glob_Conversie,2,FALSE)*G54/100</f>
        <v>0.1564101</v>
      </c>
      <c r="V54" s="970">
        <f>VLOOKUP(V$44,Tbl_Glob_Conversie,2,FALSE)*H54/100</f>
        <v>0.14068499999999998</v>
      </c>
      <c r="W54" s="970">
        <f>VLOOKUP(W$44,Tbl_Glob_Conversie,2,FALSE)*I54/100</f>
        <v>0.12592709999999999</v>
      </c>
      <c r="X54" s="970">
        <f>VLOOKUP(X$44,Tbl_Glob_Conversie,2,FALSE)*J54/100</f>
        <v>2.0570499999999999E-2</v>
      </c>
      <c r="Y54" s="970">
        <f>VLOOKUP(Y$44,Tbl_Glob_Conversie,2,FALSE)*K54/100</f>
        <v>1.611E-3</v>
      </c>
      <c r="Z54" s="970">
        <f>VLOOKUP(Z$44,Tbl_Glob_Conversie,2,FALSE)*L54/100</f>
        <v>3</v>
      </c>
      <c r="AA54" s="970">
        <f>VLOOKUP(AA$44,Tbl_Glob_Conversie,2,FALSE)*M54/100</f>
        <v>0.13538879999999998</v>
      </c>
    </row>
    <row r="55" spans="1:27" x14ac:dyDescent="0.25">
      <c r="A55" s="968" t="s">
        <v>37</v>
      </c>
      <c r="B55" s="968">
        <v>466</v>
      </c>
      <c r="C55" s="968">
        <v>11.6</v>
      </c>
      <c r="D55" s="969">
        <v>59</v>
      </c>
      <c r="E55" s="969">
        <v>20</v>
      </c>
      <c r="F55" s="968">
        <v>172</v>
      </c>
      <c r="G55" s="968">
        <v>568</v>
      </c>
      <c r="H55" s="968">
        <v>638</v>
      </c>
      <c r="I55" s="968">
        <v>336</v>
      </c>
      <c r="J55" s="968">
        <v>47</v>
      </c>
      <c r="K55" s="971">
        <v>8.1999999999999993</v>
      </c>
      <c r="L55" s="972">
        <v>7.3</v>
      </c>
      <c r="M55" s="972">
        <v>373</v>
      </c>
      <c r="N55" s="972"/>
      <c r="O55" s="968" t="str">
        <f t="shared" si="1"/>
        <v>Nutramigen 2 LGG pdr</v>
      </c>
      <c r="P55" s="970">
        <f>VLOOKUP(P$44,Tbl_Glob_Conversie,2,FALSE)*B55/100</f>
        <v>4.66</v>
      </c>
      <c r="Q55" s="970">
        <f>VLOOKUP(Q$44,Tbl_Glob_Conversie,2,FALSE)*C55/100</f>
        <v>0.11599999999999999</v>
      </c>
      <c r="R55" s="970">
        <f>VLOOKUP(R$44,Tbl_Glob_Conversie,2,FALSE)*D55/100</f>
        <v>0.59</v>
      </c>
      <c r="S55" s="970">
        <f>VLOOKUP(S$44,Tbl_Glob_Conversie,2,FALSE)*E55/100</f>
        <v>0.2</v>
      </c>
      <c r="T55" s="970">
        <f>VLOOKUP(T$44,Tbl_Glob_Conversie,2,FALSE)*F55/100</f>
        <v>7.478216E-2</v>
      </c>
      <c r="U55" s="970">
        <f>VLOOKUP(U$44,Tbl_Glob_Conversie,2,FALSE)*G55/100</f>
        <v>0.14564088</v>
      </c>
      <c r="V55" s="970">
        <f>VLOOKUP(V$44,Tbl_Glob_Conversie,2,FALSE)*H55/100</f>
        <v>0.15886199999999998</v>
      </c>
      <c r="W55" s="970">
        <f>VLOOKUP(W$44,Tbl_Glob_Conversie,2,FALSE)*I55/100</f>
        <v>0.10849103999999998</v>
      </c>
      <c r="X55" s="970">
        <f>VLOOKUP(X$44,Tbl_Glob_Conversie,2,FALSE)*J55/100</f>
        <v>1.9336269999999999E-2</v>
      </c>
      <c r="Y55" s="970">
        <f>VLOOKUP(Y$44,Tbl_Glob_Conversie,2,FALSE)*K55/100</f>
        <v>1.4678E-3</v>
      </c>
      <c r="Z55" s="970">
        <f>VLOOKUP(Z$44,Tbl_Glob_Conversie,2,FALSE)*L55/100</f>
        <v>2.92</v>
      </c>
      <c r="AA55" s="970">
        <f>VLOOKUP(AA$44,Tbl_Glob_Conversie,2,FALSE)*M55/100</f>
        <v>0.10520837999999999</v>
      </c>
    </row>
    <row r="56" spans="1:27" x14ac:dyDescent="0.25">
      <c r="A56" s="968" t="s">
        <v>965</v>
      </c>
      <c r="B56" s="968">
        <v>402</v>
      </c>
      <c r="C56" s="968">
        <v>14.7</v>
      </c>
      <c r="D56" s="969">
        <v>71</v>
      </c>
      <c r="E56" s="969">
        <v>6.7</v>
      </c>
      <c r="F56" s="968">
        <v>402</v>
      </c>
      <c r="G56" s="968">
        <v>603</v>
      </c>
      <c r="H56" s="968">
        <v>322</v>
      </c>
      <c r="I56" s="968">
        <v>267</v>
      </c>
      <c r="J56" s="968">
        <v>84</v>
      </c>
      <c r="K56" s="971">
        <v>6.4</v>
      </c>
      <c r="L56" s="972">
        <v>2.8</v>
      </c>
      <c r="M56" s="972">
        <v>503</v>
      </c>
      <c r="N56" s="972"/>
      <c r="O56" s="968" t="str">
        <f t="shared" si="1"/>
        <v>Nutrison Advanced Peptisorb Powder</v>
      </c>
      <c r="P56" s="970">
        <f>VLOOKUP(P$44,Tbl_Glob_Conversie,2,FALSE)*B56/100</f>
        <v>4.0199999999999996</v>
      </c>
      <c r="Q56" s="970">
        <f>VLOOKUP(Q$44,Tbl_Glob_Conversie,2,FALSE)*C56/100</f>
        <v>0.14699999999999999</v>
      </c>
      <c r="R56" s="970">
        <f>VLOOKUP(R$44,Tbl_Glob_Conversie,2,FALSE)*D56/100</f>
        <v>0.71</v>
      </c>
      <c r="S56" s="970">
        <f>VLOOKUP(S$44,Tbl_Glob_Conversie,2,FALSE)*E56/100</f>
        <v>6.7000000000000004E-2</v>
      </c>
      <c r="T56" s="970">
        <f>VLOOKUP(T$44,Tbl_Glob_Conversie,2,FALSE)*F56/100</f>
        <v>0.17478156000000003</v>
      </c>
      <c r="U56" s="970">
        <f>VLOOKUP(U$44,Tbl_Glob_Conversie,2,FALSE)*G56/100</f>
        <v>0.15461522999999999</v>
      </c>
      <c r="V56" s="970">
        <f>VLOOKUP(V$44,Tbl_Glob_Conversie,2,FALSE)*H56/100</f>
        <v>8.0177999999999999E-2</v>
      </c>
      <c r="W56" s="970">
        <f>VLOOKUP(W$44,Tbl_Glob_Conversie,2,FALSE)*I56/100</f>
        <v>8.6211629999999997E-2</v>
      </c>
      <c r="X56" s="970">
        <f>VLOOKUP(X$44,Tbl_Glob_Conversie,2,FALSE)*J56/100</f>
        <v>3.4558439999999996E-2</v>
      </c>
      <c r="Y56" s="970">
        <f>VLOOKUP(Y$44,Tbl_Glob_Conversie,2,FALSE)*K56/100</f>
        <v>1.1455999999999999E-3</v>
      </c>
      <c r="Z56" s="970">
        <f>VLOOKUP(Z$44,Tbl_Glob_Conversie,2,FALSE)*L56/100</f>
        <v>1.1200000000000001</v>
      </c>
      <c r="AA56" s="970">
        <f>VLOOKUP(AA$44,Tbl_Glob_Conversie,2,FALSE)*M56/100</f>
        <v>0.14187617999999999</v>
      </c>
    </row>
    <row r="57" spans="1:27" x14ac:dyDescent="0.25">
      <c r="A57" s="968" t="s">
        <v>966</v>
      </c>
      <c r="B57" s="968">
        <v>515</v>
      </c>
      <c r="C57" s="968">
        <v>14</v>
      </c>
      <c r="D57" s="969">
        <v>53.4</v>
      </c>
      <c r="E57" s="969">
        <v>27.3</v>
      </c>
      <c r="F57" s="968">
        <v>140</v>
      </c>
      <c r="G57" s="968">
        <v>507</v>
      </c>
      <c r="H57" s="968">
        <v>390</v>
      </c>
      <c r="I57" s="968">
        <v>218</v>
      </c>
      <c r="J57" s="968">
        <v>40</v>
      </c>
      <c r="K57" s="971">
        <v>6</v>
      </c>
      <c r="L57" s="972">
        <v>9.8000000000000007</v>
      </c>
      <c r="M57" s="972">
        <v>310</v>
      </c>
      <c r="N57" s="972"/>
      <c r="O57" s="968" t="str">
        <f t="shared" si="1"/>
        <v>Nutrilon Pepti Junior pdr</v>
      </c>
      <c r="P57" s="970">
        <f>VLOOKUP(P$44,Tbl_Glob_Conversie,2,FALSE)*B57/100</f>
        <v>5.15</v>
      </c>
      <c r="Q57" s="970">
        <f>VLOOKUP(Q$44,Tbl_Glob_Conversie,2,FALSE)*C57/100</f>
        <v>0.14000000000000001</v>
      </c>
      <c r="R57" s="970">
        <f>VLOOKUP(R$44,Tbl_Glob_Conversie,2,FALSE)*D57/100</f>
        <v>0.53400000000000003</v>
      </c>
      <c r="S57" s="970">
        <f>VLOOKUP(S$44,Tbl_Glob_Conversie,2,FALSE)*E57/100</f>
        <v>0.27300000000000002</v>
      </c>
      <c r="T57" s="970">
        <f>VLOOKUP(T$44,Tbl_Glob_Conversie,2,FALSE)*F57/100</f>
        <v>6.0869199999999998E-2</v>
      </c>
      <c r="U57" s="970">
        <f>VLOOKUP(U$44,Tbl_Glob_Conversie,2,FALSE)*G57/100</f>
        <v>0.12999987000000002</v>
      </c>
      <c r="V57" s="970">
        <f>VLOOKUP(V$44,Tbl_Glob_Conversie,2,FALSE)*H57/100</f>
        <v>9.7110000000000002E-2</v>
      </c>
      <c r="W57" s="970">
        <f>VLOOKUP(W$44,Tbl_Glob_Conversie,2,FALSE)*I57/100</f>
        <v>7.0390019999999998E-2</v>
      </c>
      <c r="X57" s="970">
        <f>VLOOKUP(X$44,Tbl_Glob_Conversie,2,FALSE)*J57/100</f>
        <v>1.6456399999999996E-2</v>
      </c>
      <c r="Y57" s="970">
        <f>VLOOKUP(Y$44,Tbl_Glob_Conversie,2,FALSE)*K57/100</f>
        <v>1.0739999999999999E-3</v>
      </c>
      <c r="Z57" s="970">
        <f>VLOOKUP(Z$44,Tbl_Glob_Conversie,2,FALSE)*L57/100</f>
        <v>3.92</v>
      </c>
      <c r="AA57" s="970">
        <f>VLOOKUP(AA$44,Tbl_Glob_Conversie,2,FALSE)*M57/100</f>
        <v>8.7438599999999991E-2</v>
      </c>
    </row>
    <row r="58" spans="1:27" x14ac:dyDescent="0.25">
      <c r="A58" s="968" t="s">
        <v>967</v>
      </c>
      <c r="B58" s="968">
        <v>474</v>
      </c>
      <c r="C58" s="968">
        <v>15.6</v>
      </c>
      <c r="D58" s="969">
        <v>22.9</v>
      </c>
      <c r="E58" s="969">
        <v>49.8</v>
      </c>
      <c r="F58" s="968">
        <v>415</v>
      </c>
      <c r="G58" s="968">
        <v>474</v>
      </c>
      <c r="H58" s="968">
        <v>593</v>
      </c>
      <c r="I58" s="968">
        <v>332</v>
      </c>
      <c r="J58" s="972">
        <v>47</v>
      </c>
      <c r="K58" s="969">
        <v>9.5</v>
      </c>
      <c r="L58" s="968">
        <v>18</v>
      </c>
      <c r="M58" s="968">
        <v>504</v>
      </c>
      <c r="N58" s="968"/>
      <c r="O58" s="968" t="str">
        <f t="shared" si="1"/>
        <v>Nutrilon Nenatal Start pdr</v>
      </c>
      <c r="P58" s="970">
        <f>VLOOKUP(P$44,Tbl_Glob_Conversie,2,FALSE)*B58/100</f>
        <v>4.74</v>
      </c>
      <c r="Q58" s="970">
        <f>VLOOKUP(Q$44,Tbl_Glob_Conversie,2,FALSE)*C58/100</f>
        <v>0.156</v>
      </c>
      <c r="R58" s="970">
        <f>VLOOKUP(R$44,Tbl_Glob_Conversie,2,FALSE)*D58/100</f>
        <v>0.22899999999999998</v>
      </c>
      <c r="S58" s="970">
        <f>VLOOKUP(S$44,Tbl_Glob_Conversie,2,FALSE)*E58/100</f>
        <v>0.498</v>
      </c>
      <c r="T58" s="970">
        <f>VLOOKUP(T$44,Tbl_Glob_Conversie,2,FALSE)*F58/100</f>
        <v>0.1804337</v>
      </c>
      <c r="U58" s="970">
        <f>VLOOKUP(U$44,Tbl_Glob_Conversie,2,FALSE)*G58/100</f>
        <v>0.12153833999999999</v>
      </c>
      <c r="V58" s="970">
        <f>VLOOKUP(V$44,Tbl_Glob_Conversie,2,FALSE)*H58/100</f>
        <v>0.14765699999999998</v>
      </c>
      <c r="W58" s="970">
        <f>VLOOKUP(W$44,Tbl_Glob_Conversie,2,FALSE)*I58/100</f>
        <v>0.10719947999999999</v>
      </c>
      <c r="X58" s="970">
        <f>VLOOKUP(X$44,Tbl_Glob_Conversie,2,FALSE)*J58/100</f>
        <v>1.9336269999999999E-2</v>
      </c>
      <c r="Y58" s="970">
        <f>VLOOKUP(Y$44,Tbl_Glob_Conversie,2,FALSE)*K58/100</f>
        <v>1.7004999999999998E-3</v>
      </c>
      <c r="Z58" s="970">
        <f>VLOOKUP(Z$44,Tbl_Glob_Conversie,2,FALSE)*L58/100</f>
        <v>7.2</v>
      </c>
      <c r="AA58" s="970">
        <f>VLOOKUP(AA$44,Tbl_Glob_Conversie,2,FALSE)*M58/100</f>
        <v>0.14215823999999999</v>
      </c>
    </row>
    <row r="59" spans="1:27" x14ac:dyDescent="0.25">
      <c r="A59" s="968" t="s">
        <v>954</v>
      </c>
      <c r="B59" s="968">
        <v>491</v>
      </c>
      <c r="C59" s="968">
        <v>13.4</v>
      </c>
      <c r="D59" s="969">
        <v>49.1</v>
      </c>
      <c r="E59" s="969">
        <v>26</v>
      </c>
      <c r="F59" s="968">
        <v>183</v>
      </c>
      <c r="G59" s="968">
        <v>504</v>
      </c>
      <c r="H59" s="968">
        <v>569</v>
      </c>
      <c r="I59" s="968">
        <v>308</v>
      </c>
      <c r="J59" s="972">
        <v>46</v>
      </c>
      <c r="K59" s="969">
        <v>7.9</v>
      </c>
      <c r="L59" s="968">
        <v>11</v>
      </c>
      <c r="M59" s="968">
        <v>360</v>
      </c>
      <c r="N59" s="968"/>
      <c r="O59" s="968" t="str">
        <f t="shared" si="1"/>
        <v>Nutrilon Nenatal 1</v>
      </c>
      <c r="P59" s="970">
        <f>VLOOKUP(P$44,Tbl_Glob_Conversie,2,FALSE)*B59/100</f>
        <v>4.91</v>
      </c>
      <c r="Q59" s="970">
        <f>VLOOKUP(Q$44,Tbl_Glob_Conversie,2,FALSE)*C59/100</f>
        <v>0.13400000000000001</v>
      </c>
      <c r="R59" s="970">
        <f>VLOOKUP(R$44,Tbl_Glob_Conversie,2,FALSE)*D59/100</f>
        <v>0.49099999999999999</v>
      </c>
      <c r="S59" s="970">
        <f>VLOOKUP(S$44,Tbl_Glob_Conversie,2,FALSE)*E59/100</f>
        <v>0.26</v>
      </c>
      <c r="T59" s="970">
        <f>VLOOKUP(T$44,Tbl_Glob_Conversie,2,FALSE)*F59/100</f>
        <v>7.9564740000000009E-2</v>
      </c>
      <c r="U59" s="970">
        <f>VLOOKUP(U$44,Tbl_Glob_Conversie,2,FALSE)*G59/100</f>
        <v>0.12923064000000001</v>
      </c>
      <c r="V59" s="970">
        <f>VLOOKUP(V$44,Tbl_Glob_Conversie,2,FALSE)*H59/100</f>
        <v>0.141681</v>
      </c>
      <c r="W59" s="970">
        <f>VLOOKUP(W$44,Tbl_Glob_Conversie,2,FALSE)*I59/100</f>
        <v>9.9450120000000003E-2</v>
      </c>
      <c r="X59" s="970">
        <f>VLOOKUP(X$44,Tbl_Glob_Conversie,2,FALSE)*J59/100</f>
        <v>1.8924859999999998E-2</v>
      </c>
      <c r="Y59" s="970">
        <f>VLOOKUP(Y$44,Tbl_Glob_Conversie,2,FALSE)*K59/100</f>
        <v>1.4141000000000002E-3</v>
      </c>
      <c r="Z59" s="970">
        <f>VLOOKUP(Z$44,Tbl_Glob_Conversie,2,FALSE)*L59/100</f>
        <v>4.4000000000000004</v>
      </c>
      <c r="AA59" s="970">
        <f>VLOOKUP(AA$44,Tbl_Glob_Conversie,2,FALSE)*M59/100</f>
        <v>0.1015416</v>
      </c>
    </row>
    <row r="60" spans="1:27" x14ac:dyDescent="0.25">
      <c r="A60" s="972" t="s">
        <v>968</v>
      </c>
      <c r="B60" s="968">
        <v>338</v>
      </c>
      <c r="C60" s="968">
        <v>82.1</v>
      </c>
      <c r="D60" s="969">
        <v>2.2000000000000002</v>
      </c>
      <c r="E60" s="969">
        <v>0.1</v>
      </c>
      <c r="F60" s="968">
        <v>776</v>
      </c>
      <c r="G60" s="968">
        <v>1226</v>
      </c>
      <c r="H60" s="968">
        <v>524</v>
      </c>
      <c r="I60" s="968">
        <v>516</v>
      </c>
      <c r="J60" s="968">
        <v>46</v>
      </c>
      <c r="K60" s="969">
        <v>0</v>
      </c>
      <c r="L60" s="968">
        <v>0</v>
      </c>
      <c r="M60" s="968">
        <v>66</v>
      </c>
      <c r="N60" s="968"/>
      <c r="O60" s="968" t="str">
        <f t="shared" si="1"/>
        <v>Nutrilon Nenatal Protein Fortifier</v>
      </c>
      <c r="P60" s="970">
        <f>VLOOKUP(P$44,Tbl_Glob_Conversie,2,FALSE)*B60/100</f>
        <v>3.38</v>
      </c>
      <c r="Q60" s="970">
        <f>VLOOKUP(Q$44,Tbl_Glob_Conversie,2,FALSE)*C60/100</f>
        <v>0.82099999999999995</v>
      </c>
      <c r="R60" s="970">
        <f>VLOOKUP(R$44,Tbl_Glob_Conversie,2,FALSE)*D60/100</f>
        <v>2.2000000000000002E-2</v>
      </c>
      <c r="S60" s="970">
        <f>VLOOKUP(S$44,Tbl_Glob_Conversie,2,FALSE)*E60/100</f>
        <v>1E-3</v>
      </c>
      <c r="T60" s="970">
        <f>VLOOKUP(T$44,Tbl_Glob_Conversie,2,FALSE)*F60/100</f>
        <v>0.33738928000000001</v>
      </c>
      <c r="U60" s="970">
        <f>VLOOKUP(U$44,Tbl_Glob_Conversie,2,FALSE)*G60/100</f>
        <v>0.31435866000000001</v>
      </c>
      <c r="V60" s="970">
        <f>VLOOKUP(V$44,Tbl_Glob_Conversie,2,FALSE)*H60/100</f>
        <v>0.13047599999999998</v>
      </c>
      <c r="W60" s="970">
        <f>VLOOKUP(W$44,Tbl_Glob_Conversie,2,FALSE)*I60/100</f>
        <v>0.16661123999999997</v>
      </c>
      <c r="X60" s="970">
        <f>VLOOKUP(X$44,Tbl_Glob_Conversie,2,FALSE)*J60/100</f>
        <v>1.8924859999999998E-2</v>
      </c>
      <c r="Y60" s="970">
        <f>VLOOKUP(Y$44,Tbl_Glob_Conversie,2,FALSE)*K60/100</f>
        <v>0</v>
      </c>
      <c r="Z60" s="970">
        <f>VLOOKUP(Z$44,Tbl_Glob_Conversie,2,FALSE)*L60/100</f>
        <v>0</v>
      </c>
      <c r="AA60" s="970">
        <f>VLOOKUP(AA$44,Tbl_Glob_Conversie,2,FALSE)*M60/100</f>
        <v>1.8615959999999997E-2</v>
      </c>
    </row>
    <row r="61" spans="1:27" x14ac:dyDescent="0.25">
      <c r="A61" s="972" t="s">
        <v>969</v>
      </c>
      <c r="B61" s="972">
        <v>450</v>
      </c>
      <c r="C61" s="972">
        <v>0</v>
      </c>
      <c r="D61" s="971">
        <v>0</v>
      </c>
      <c r="E61" s="971">
        <v>50</v>
      </c>
      <c r="F61" s="972">
        <v>7</v>
      </c>
      <c r="G61" s="972">
        <v>0</v>
      </c>
      <c r="H61" s="972">
        <v>0</v>
      </c>
      <c r="I61" s="972">
        <v>0</v>
      </c>
      <c r="J61" s="972">
        <v>0</v>
      </c>
      <c r="K61" s="971">
        <v>0</v>
      </c>
      <c r="L61" s="972">
        <v>0</v>
      </c>
      <c r="M61" s="972">
        <v>0.1</v>
      </c>
      <c r="N61" s="972"/>
      <c r="O61" s="968" t="str">
        <f t="shared" si="1"/>
        <v>Calogen neutraal</v>
      </c>
      <c r="P61" s="970">
        <f>VLOOKUP(P$44,Tbl_Glob_Conversie,2,FALSE)*B61/100</f>
        <v>4.5</v>
      </c>
      <c r="Q61" s="970">
        <f>VLOOKUP(Q$44,Tbl_Glob_Conversie,2,FALSE)*C61/100</f>
        <v>0</v>
      </c>
      <c r="R61" s="970">
        <f>VLOOKUP(R$44,Tbl_Glob_Conversie,2,FALSE)*D61/100</f>
        <v>0</v>
      </c>
      <c r="S61" s="970">
        <f>VLOOKUP(S$44,Tbl_Glob_Conversie,2,FALSE)*E61/100</f>
        <v>0.5</v>
      </c>
      <c r="T61" s="970">
        <f>VLOOKUP(T$44,Tbl_Glob_Conversie,2,FALSE)*F61/100</f>
        <v>3.04346E-3</v>
      </c>
      <c r="U61" s="970">
        <f>VLOOKUP(U$44,Tbl_Glob_Conversie,2,FALSE)*G61/100</f>
        <v>0</v>
      </c>
      <c r="V61" s="970">
        <f>VLOOKUP(V$44,Tbl_Glob_Conversie,2,FALSE)*H61/100</f>
        <v>0</v>
      </c>
      <c r="W61" s="970">
        <f>VLOOKUP(W$44,Tbl_Glob_Conversie,2,FALSE)*I61/100</f>
        <v>0</v>
      </c>
      <c r="X61" s="970">
        <f>VLOOKUP(X$44,Tbl_Glob_Conversie,2,FALSE)*J61/100</f>
        <v>0</v>
      </c>
      <c r="Y61" s="970">
        <f>VLOOKUP(Y$44,Tbl_Glob_Conversie,2,FALSE)*K61/100</f>
        <v>0</v>
      </c>
      <c r="Z61" s="970">
        <f>VLOOKUP(Z$44,Tbl_Glob_Conversie,2,FALSE)*L61/100</f>
        <v>0</v>
      </c>
      <c r="AA61" s="970">
        <f>VLOOKUP(AA$44,Tbl_Glob_Conversie,2,FALSE)*M61/100</f>
        <v>2.8206000000000001E-5</v>
      </c>
    </row>
    <row r="62" spans="1:27" x14ac:dyDescent="0.25">
      <c r="A62" s="972" t="s">
        <v>970</v>
      </c>
      <c r="B62" s="972">
        <v>450</v>
      </c>
      <c r="C62" s="972">
        <v>0</v>
      </c>
      <c r="D62" s="971">
        <v>0</v>
      </c>
      <c r="E62" s="971">
        <v>50</v>
      </c>
      <c r="F62" s="972">
        <v>5</v>
      </c>
      <c r="G62" s="972">
        <v>0.1</v>
      </c>
      <c r="H62" s="972">
        <v>0.3</v>
      </c>
      <c r="I62" s="972">
        <v>0</v>
      </c>
      <c r="J62" s="972">
        <v>0</v>
      </c>
      <c r="K62" s="971">
        <v>0</v>
      </c>
      <c r="L62" s="972">
        <v>0</v>
      </c>
      <c r="M62" s="972">
        <v>0.01</v>
      </c>
      <c r="N62" s="972"/>
      <c r="O62" s="968" t="str">
        <f t="shared" si="1"/>
        <v>Liquigen</v>
      </c>
      <c r="P62" s="970">
        <f>VLOOKUP(P$44,Tbl_Glob_Conversie,2,FALSE)*B62/100</f>
        <v>4.5</v>
      </c>
      <c r="Q62" s="970">
        <f>VLOOKUP(Q$44,Tbl_Glob_Conversie,2,FALSE)*C62/100</f>
        <v>0</v>
      </c>
      <c r="R62" s="970">
        <f>VLOOKUP(R$44,Tbl_Glob_Conversie,2,FALSE)*D62/100</f>
        <v>0</v>
      </c>
      <c r="S62" s="970">
        <f>VLOOKUP(S$44,Tbl_Glob_Conversie,2,FALSE)*E62/100</f>
        <v>0.5</v>
      </c>
      <c r="T62" s="970">
        <f>VLOOKUP(T$44,Tbl_Glob_Conversie,2,FALSE)*F62/100</f>
        <v>2.1739000000000003E-3</v>
      </c>
      <c r="U62" s="970">
        <f>VLOOKUP(U$44,Tbl_Glob_Conversie,2,FALSE)*G62/100</f>
        <v>2.5641000000000001E-5</v>
      </c>
      <c r="V62" s="970">
        <f>VLOOKUP(V$44,Tbl_Glob_Conversie,2,FALSE)*H62/100</f>
        <v>7.4699999999999986E-5</v>
      </c>
      <c r="W62" s="970">
        <f>VLOOKUP(W$44,Tbl_Glob_Conversie,2,FALSE)*I62/100</f>
        <v>0</v>
      </c>
      <c r="X62" s="970">
        <f>VLOOKUP(X$44,Tbl_Glob_Conversie,2,FALSE)*J62/100</f>
        <v>0</v>
      </c>
      <c r="Y62" s="970">
        <f>VLOOKUP(Y$44,Tbl_Glob_Conversie,2,FALSE)*K62/100</f>
        <v>0</v>
      </c>
      <c r="Z62" s="970">
        <f>VLOOKUP(Z$44,Tbl_Glob_Conversie,2,FALSE)*L62/100</f>
        <v>0</v>
      </c>
      <c r="AA62" s="970">
        <f>VLOOKUP(AA$44,Tbl_Glob_Conversie,2,FALSE)*M62/100</f>
        <v>2.8205999999999997E-6</v>
      </c>
    </row>
    <row r="63" spans="1:27" x14ac:dyDescent="0.25">
      <c r="A63" s="972" t="s">
        <v>553</v>
      </c>
      <c r="B63" s="972">
        <v>384</v>
      </c>
      <c r="C63" s="972">
        <v>0</v>
      </c>
      <c r="D63" s="971">
        <v>96</v>
      </c>
      <c r="E63" s="971">
        <v>0</v>
      </c>
      <c r="F63" s="972">
        <v>2</v>
      </c>
      <c r="G63" s="972">
        <v>0</v>
      </c>
      <c r="H63" s="972">
        <v>0</v>
      </c>
      <c r="I63" s="972">
        <v>0</v>
      </c>
      <c r="J63" s="972">
        <v>0</v>
      </c>
      <c r="K63" s="971">
        <v>0</v>
      </c>
      <c r="L63" s="972">
        <v>0</v>
      </c>
      <c r="M63" s="972">
        <v>0</v>
      </c>
      <c r="N63" s="972"/>
      <c r="O63" s="968" t="str">
        <f t="shared" si="1"/>
        <v>Fantomalt</v>
      </c>
      <c r="P63" s="970">
        <f>VLOOKUP(P$44,Tbl_Glob_Conversie,2,FALSE)*B63/100</f>
        <v>3.84</v>
      </c>
      <c r="Q63" s="970">
        <f>VLOOKUP(Q$44,Tbl_Glob_Conversie,2,FALSE)*C63/100</f>
        <v>0</v>
      </c>
      <c r="R63" s="970">
        <f>VLOOKUP(R$44,Tbl_Glob_Conversie,2,FALSE)*D63/100</f>
        <v>0.96</v>
      </c>
      <c r="S63" s="970">
        <f>VLOOKUP(S$44,Tbl_Glob_Conversie,2,FALSE)*E63/100</f>
        <v>0</v>
      </c>
      <c r="T63" s="970">
        <f>VLOOKUP(T$44,Tbl_Glob_Conversie,2,FALSE)*F63/100</f>
        <v>8.6956000000000002E-4</v>
      </c>
      <c r="U63" s="970">
        <f>VLOOKUP(U$44,Tbl_Glob_Conversie,2,FALSE)*G63/100</f>
        <v>0</v>
      </c>
      <c r="V63" s="970">
        <f>VLOOKUP(V$44,Tbl_Glob_Conversie,2,FALSE)*H63/100</f>
        <v>0</v>
      </c>
      <c r="W63" s="970">
        <f>VLOOKUP(W$44,Tbl_Glob_Conversie,2,FALSE)*I63/100</f>
        <v>0</v>
      </c>
      <c r="X63" s="970">
        <f>VLOOKUP(X$44,Tbl_Glob_Conversie,2,FALSE)*J63/100</f>
        <v>0</v>
      </c>
      <c r="Y63" s="970">
        <f>VLOOKUP(Y$44,Tbl_Glob_Conversie,2,FALSE)*K63/100</f>
        <v>0</v>
      </c>
      <c r="Z63" s="970">
        <f>VLOOKUP(Z$44,Tbl_Glob_Conversie,2,FALSE)*L63/100</f>
        <v>0</v>
      </c>
      <c r="AA63" s="970">
        <f>VLOOKUP(AA$44,Tbl_Glob_Conversie,2,FALSE)*M63/100</f>
        <v>0</v>
      </c>
    </row>
    <row r="64" spans="1:27" x14ac:dyDescent="0.25">
      <c r="A64" s="972" t="s">
        <v>971</v>
      </c>
      <c r="B64" s="972">
        <v>493</v>
      </c>
      <c r="C64" s="972">
        <v>11.6</v>
      </c>
      <c r="D64" s="971">
        <v>51.8</v>
      </c>
      <c r="E64" s="974">
        <v>25.7</v>
      </c>
      <c r="F64" s="972">
        <v>150</v>
      </c>
      <c r="G64" s="972">
        <v>598</v>
      </c>
      <c r="H64" s="972">
        <v>346</v>
      </c>
      <c r="I64" s="972">
        <v>191</v>
      </c>
      <c r="J64" s="972">
        <v>39</v>
      </c>
      <c r="K64" s="971">
        <v>3.9</v>
      </c>
      <c r="L64" s="975">
        <v>9.4</v>
      </c>
      <c r="M64" s="975">
        <v>290</v>
      </c>
      <c r="N64" s="975"/>
      <c r="O64" s="968" t="str">
        <f t="shared" si="1"/>
        <v>Nutrilon Pepti 1 pdr</v>
      </c>
      <c r="P64" s="970">
        <f>VLOOKUP(P$44,Tbl_Glob_Conversie,2,FALSE)*B64/100</f>
        <v>4.93</v>
      </c>
      <c r="Q64" s="970">
        <f>VLOOKUP(Q$44,Tbl_Glob_Conversie,2,FALSE)*C64/100</f>
        <v>0.11599999999999999</v>
      </c>
      <c r="R64" s="970">
        <f>VLOOKUP(R$44,Tbl_Glob_Conversie,2,FALSE)*D64/100</f>
        <v>0.51800000000000002</v>
      </c>
      <c r="S64" s="970">
        <f>VLOOKUP(S$44,Tbl_Glob_Conversie,2,FALSE)*E64/100</f>
        <v>0.25700000000000001</v>
      </c>
      <c r="T64" s="970">
        <f>VLOOKUP(T$44,Tbl_Glob_Conversie,2,FALSE)*F64/100</f>
        <v>6.5216999999999997E-2</v>
      </c>
      <c r="U64" s="970">
        <f>VLOOKUP(U$44,Tbl_Glob_Conversie,2,FALSE)*G64/100</f>
        <v>0.15333318000000001</v>
      </c>
      <c r="V64" s="970">
        <f>VLOOKUP(V$44,Tbl_Glob_Conversie,2,FALSE)*H64/100</f>
        <v>8.6153999999999994E-2</v>
      </c>
      <c r="W64" s="970">
        <f>VLOOKUP(W$44,Tbl_Glob_Conversie,2,FALSE)*I64/100</f>
        <v>6.1671990000000003E-2</v>
      </c>
      <c r="X64" s="970">
        <f>VLOOKUP(X$44,Tbl_Glob_Conversie,2,FALSE)*J64/100</f>
        <v>1.6044989999999999E-2</v>
      </c>
      <c r="Y64" s="970">
        <f>VLOOKUP(Y$44,Tbl_Glob_Conversie,2,FALSE)*K64/100</f>
        <v>6.981E-4</v>
      </c>
      <c r="Z64" s="970">
        <f>VLOOKUP(Z$44,Tbl_Glob_Conversie,2,FALSE)*L64/100</f>
        <v>3.76</v>
      </c>
      <c r="AA64" s="970">
        <f>VLOOKUP(AA$44,Tbl_Glob_Conversie,2,FALSE)*M64/100</f>
        <v>8.1797399999999992E-2</v>
      </c>
    </row>
    <row r="65" spans="1:27" x14ac:dyDescent="0.25">
      <c r="A65" s="972" t="s">
        <v>972</v>
      </c>
      <c r="B65" s="972">
        <v>483</v>
      </c>
      <c r="C65" s="972">
        <v>11</v>
      </c>
      <c r="D65" s="971">
        <v>52.5</v>
      </c>
      <c r="E65" s="971">
        <v>24.6</v>
      </c>
      <c r="F65" s="972">
        <v>181</v>
      </c>
      <c r="G65" s="972">
        <v>530</v>
      </c>
      <c r="H65" s="972">
        <v>339</v>
      </c>
      <c r="I65" s="972">
        <v>190</v>
      </c>
      <c r="J65" s="972">
        <v>37</v>
      </c>
      <c r="K65" s="971">
        <v>3.9</v>
      </c>
      <c r="L65" s="975">
        <v>8.8000000000000007</v>
      </c>
      <c r="M65" s="975">
        <v>302</v>
      </c>
      <c r="N65" s="975"/>
      <c r="O65" s="968" t="str">
        <f t="shared" si="1"/>
        <v>Nutrilon Hypoallergeen 1 pdr</v>
      </c>
      <c r="P65" s="970">
        <f>VLOOKUP(P$44,Tbl_Glob_Conversie,2,FALSE)*B65/100</f>
        <v>4.83</v>
      </c>
      <c r="Q65" s="970">
        <f>VLOOKUP(Q$44,Tbl_Glob_Conversie,2,FALSE)*C65/100</f>
        <v>0.11</v>
      </c>
      <c r="R65" s="970">
        <f>VLOOKUP(R$44,Tbl_Glob_Conversie,2,FALSE)*D65/100</f>
        <v>0.52500000000000002</v>
      </c>
      <c r="S65" s="970">
        <f>VLOOKUP(S$44,Tbl_Glob_Conversie,2,FALSE)*E65/100</f>
        <v>0.24600000000000002</v>
      </c>
      <c r="T65" s="970">
        <f>VLOOKUP(T$44,Tbl_Glob_Conversie,2,FALSE)*F65/100</f>
        <v>7.8695180000000003E-2</v>
      </c>
      <c r="U65" s="970">
        <f>VLOOKUP(U$44,Tbl_Glob_Conversie,2,FALSE)*G65/100</f>
        <v>0.1358973</v>
      </c>
      <c r="V65" s="970">
        <f>VLOOKUP(V$44,Tbl_Glob_Conversie,2,FALSE)*H65/100</f>
        <v>8.4410999999999986E-2</v>
      </c>
      <c r="W65" s="970">
        <f>VLOOKUP(W$44,Tbl_Glob_Conversie,2,FALSE)*I65/100</f>
        <v>6.1349099999999997E-2</v>
      </c>
      <c r="X65" s="970">
        <f>VLOOKUP(X$44,Tbl_Glob_Conversie,2,FALSE)*J65/100</f>
        <v>1.522217E-2</v>
      </c>
      <c r="Y65" s="970">
        <f>VLOOKUP(Y$44,Tbl_Glob_Conversie,2,FALSE)*K65/100</f>
        <v>6.981E-4</v>
      </c>
      <c r="Z65" s="970">
        <f>VLOOKUP(Z$44,Tbl_Glob_Conversie,2,FALSE)*L65/100</f>
        <v>3.52</v>
      </c>
      <c r="AA65" s="970">
        <f>VLOOKUP(AA$44,Tbl_Glob_Conversie,2,FALSE)*M65/100</f>
        <v>8.518212E-2</v>
      </c>
    </row>
    <row r="66" spans="1:27" x14ac:dyDescent="0.25">
      <c r="A66" s="972" t="s">
        <v>973</v>
      </c>
      <c r="B66" s="972">
        <v>483</v>
      </c>
      <c r="C66" s="972">
        <v>13</v>
      </c>
      <c r="D66" s="971">
        <v>52.5</v>
      </c>
      <c r="E66" s="971">
        <v>24.5</v>
      </c>
      <c r="F66" s="972">
        <v>189</v>
      </c>
      <c r="G66" s="972">
        <v>525</v>
      </c>
      <c r="H66" s="972">
        <v>475</v>
      </c>
      <c r="I66" s="972">
        <v>341</v>
      </c>
      <c r="J66" s="972">
        <v>51</v>
      </c>
      <c r="K66" s="971">
        <v>7.25</v>
      </c>
      <c r="L66" s="975">
        <v>8.8000000000000007</v>
      </c>
      <c r="M66" s="975">
        <v>386</v>
      </c>
      <c r="N66" s="975"/>
      <c r="O66" s="968" t="str">
        <f t="shared" si="1"/>
        <v>Neocate LCP</v>
      </c>
      <c r="P66" s="970">
        <f>VLOOKUP(P$44,Tbl_Glob_Conversie,2,FALSE)*B66/100</f>
        <v>4.83</v>
      </c>
      <c r="Q66" s="970">
        <f>VLOOKUP(Q$44,Tbl_Glob_Conversie,2,FALSE)*C66/100</f>
        <v>0.13</v>
      </c>
      <c r="R66" s="970">
        <f>VLOOKUP(R$44,Tbl_Glob_Conversie,2,FALSE)*D66/100</f>
        <v>0.52500000000000002</v>
      </c>
      <c r="S66" s="970">
        <f>VLOOKUP(S$44,Tbl_Glob_Conversie,2,FALSE)*E66/100</f>
        <v>0.245</v>
      </c>
      <c r="T66" s="970">
        <f>VLOOKUP(T$44,Tbl_Glob_Conversie,2,FALSE)*F66/100</f>
        <v>8.2173419999999997E-2</v>
      </c>
      <c r="U66" s="970">
        <f>VLOOKUP(U$44,Tbl_Glob_Conversie,2,FALSE)*G66/100</f>
        <v>0.13461524999999999</v>
      </c>
      <c r="V66" s="970">
        <f>VLOOKUP(V$44,Tbl_Glob_Conversie,2,FALSE)*H66/100</f>
        <v>0.11827499999999999</v>
      </c>
      <c r="W66" s="970">
        <f>VLOOKUP(W$44,Tbl_Glob_Conversie,2,FALSE)*I66/100</f>
        <v>0.11010548999999999</v>
      </c>
      <c r="X66" s="970">
        <f>VLOOKUP(X$44,Tbl_Glob_Conversie,2,FALSE)*J66/100</f>
        <v>2.0981909999999999E-2</v>
      </c>
      <c r="Y66" s="970">
        <f>VLOOKUP(Y$44,Tbl_Glob_Conversie,2,FALSE)*K66/100</f>
        <v>1.2977500000000001E-3</v>
      </c>
      <c r="Z66" s="970">
        <f>VLOOKUP(Z$44,Tbl_Glob_Conversie,2,FALSE)*L66/100</f>
        <v>3.52</v>
      </c>
      <c r="AA66" s="970">
        <f>VLOOKUP(AA$44,Tbl_Glob_Conversie,2,FALSE)*M66/100</f>
        <v>0.10887516</v>
      </c>
    </row>
    <row r="67" spans="1:27" x14ac:dyDescent="0.25">
      <c r="A67" s="972" t="s">
        <v>974</v>
      </c>
      <c r="B67" s="972">
        <v>475</v>
      </c>
      <c r="C67" s="972">
        <v>13.3</v>
      </c>
      <c r="D67" s="971">
        <v>56</v>
      </c>
      <c r="E67" s="971">
        <v>22</v>
      </c>
      <c r="F67" s="972">
        <v>285</v>
      </c>
      <c r="G67" s="972">
        <v>546</v>
      </c>
      <c r="H67" s="972">
        <v>428</v>
      </c>
      <c r="I67" s="972">
        <v>309</v>
      </c>
      <c r="J67" s="972">
        <v>66.5</v>
      </c>
      <c r="K67" s="971">
        <v>5.7</v>
      </c>
      <c r="L67" s="972">
        <v>6.2</v>
      </c>
      <c r="M67" s="972">
        <v>437</v>
      </c>
      <c r="N67" s="972"/>
      <c r="O67" s="968" t="str">
        <f t="shared" si="1"/>
        <v>Neocate Junior</v>
      </c>
      <c r="P67" s="970">
        <f>VLOOKUP(P$44,Tbl_Glob_Conversie,2,FALSE)*B67/100</f>
        <v>4.75</v>
      </c>
      <c r="Q67" s="970">
        <f>VLOOKUP(Q$44,Tbl_Glob_Conversie,2,FALSE)*C67/100</f>
        <v>0.13300000000000001</v>
      </c>
      <c r="R67" s="970">
        <f>VLOOKUP(R$44,Tbl_Glob_Conversie,2,FALSE)*D67/100</f>
        <v>0.56000000000000005</v>
      </c>
      <c r="S67" s="970">
        <f>VLOOKUP(S$44,Tbl_Glob_Conversie,2,FALSE)*E67/100</f>
        <v>0.22</v>
      </c>
      <c r="T67" s="970">
        <f>VLOOKUP(T$44,Tbl_Glob_Conversie,2,FALSE)*F67/100</f>
        <v>0.1239123</v>
      </c>
      <c r="U67" s="970">
        <f>VLOOKUP(U$44,Tbl_Glob_Conversie,2,FALSE)*G67/100</f>
        <v>0.13999986</v>
      </c>
      <c r="V67" s="970">
        <f>VLOOKUP(V$44,Tbl_Glob_Conversie,2,FALSE)*H67/100</f>
        <v>0.106572</v>
      </c>
      <c r="W67" s="970">
        <f>VLOOKUP(W$44,Tbl_Glob_Conversie,2,FALSE)*I67/100</f>
        <v>9.9773009999999995E-2</v>
      </c>
      <c r="X67" s="970">
        <f>VLOOKUP(X$44,Tbl_Glob_Conversie,2,FALSE)*J67/100</f>
        <v>2.7358764999999997E-2</v>
      </c>
      <c r="Y67" s="970">
        <f>VLOOKUP(Y$44,Tbl_Glob_Conversie,2,FALSE)*K67/100</f>
        <v>1.0203E-3</v>
      </c>
      <c r="Z67" s="970">
        <f>VLOOKUP(Z$44,Tbl_Glob_Conversie,2,FALSE)*L67/100</f>
        <v>2.48</v>
      </c>
      <c r="AA67" s="970">
        <f>VLOOKUP(AA$44,Tbl_Glob_Conversie,2,FALSE)*M67/100</f>
        <v>0.12326022</v>
      </c>
    </row>
    <row r="68" spans="1:27" x14ac:dyDescent="0.25">
      <c r="A68" s="972" t="s">
        <v>1055</v>
      </c>
      <c r="B68" s="970">
        <v>484</v>
      </c>
      <c r="C68" s="970">
        <v>9.6999999999999993</v>
      </c>
      <c r="D68" s="970">
        <v>53.8</v>
      </c>
      <c r="E68" s="970">
        <v>24.7</v>
      </c>
      <c r="F68" s="970">
        <v>125</v>
      </c>
      <c r="G68" s="970">
        <v>501</v>
      </c>
      <c r="H68" s="970">
        <v>418</v>
      </c>
      <c r="I68" s="970">
        <v>237</v>
      </c>
      <c r="J68" s="970">
        <v>37</v>
      </c>
      <c r="K68" s="970">
        <v>3.9</v>
      </c>
      <c r="L68" s="970">
        <v>8.6999999999999993</v>
      </c>
      <c r="M68" s="970">
        <v>304</v>
      </c>
      <c r="O68" s="968" t="str">
        <f t="shared" si="1"/>
        <v>Nutrilon 1</v>
      </c>
      <c r="P68" s="970">
        <f>VLOOKUP(P$44,Tbl_Glob_Conversie,2,FALSE)*B68/100</f>
        <v>4.84</v>
      </c>
      <c r="Q68" s="970">
        <f>VLOOKUP(Q$44,Tbl_Glob_Conversie,2,FALSE)*C68/100</f>
        <v>9.6999999999999989E-2</v>
      </c>
      <c r="R68" s="970">
        <f>VLOOKUP(R$44,Tbl_Glob_Conversie,2,FALSE)*D68/100</f>
        <v>0.53799999999999992</v>
      </c>
      <c r="S68" s="970">
        <f>VLOOKUP(S$44,Tbl_Glob_Conversie,2,FALSE)*E68/100</f>
        <v>0.247</v>
      </c>
      <c r="T68" s="970">
        <f>VLOOKUP(T$44,Tbl_Glob_Conversie,2,FALSE)*F68/100</f>
        <v>5.43475E-2</v>
      </c>
      <c r="U68" s="970">
        <f>VLOOKUP(U$44,Tbl_Glob_Conversie,2,FALSE)*G68/100</f>
        <v>0.12846141</v>
      </c>
      <c r="V68" s="970">
        <f>VLOOKUP(V$44,Tbl_Glob_Conversie,2,FALSE)*H68/100</f>
        <v>0.10408199999999999</v>
      </c>
      <c r="W68" s="970">
        <f>VLOOKUP(W$44,Tbl_Glob_Conversie,2,FALSE)*I68/100</f>
        <v>7.6524929999999991E-2</v>
      </c>
      <c r="X68" s="970">
        <f>VLOOKUP(X$44,Tbl_Glob_Conversie,2,FALSE)*J68/100</f>
        <v>1.522217E-2</v>
      </c>
      <c r="Y68" s="970">
        <f>VLOOKUP(Y$44,Tbl_Glob_Conversie,2,FALSE)*K68/100</f>
        <v>6.981E-4</v>
      </c>
      <c r="Z68" s="970">
        <f>VLOOKUP(Z$44,Tbl_Glob_Conversie,2,FALSE)*L68/100</f>
        <v>3.48</v>
      </c>
      <c r="AA68" s="970">
        <f>VLOOKUP(AA$44,Tbl_Glob_Conversie,2,FALSE)*M68/100</f>
        <v>8.5746240000000001E-2</v>
      </c>
    </row>
    <row r="69" spans="1:27" x14ac:dyDescent="0.25">
      <c r="A69" s="972" t="s">
        <v>1027</v>
      </c>
      <c r="B69" s="970">
        <v>318</v>
      </c>
      <c r="C69" s="970">
        <v>0</v>
      </c>
      <c r="D69" s="970">
        <v>66.2</v>
      </c>
      <c r="E69" s="970">
        <v>0.3</v>
      </c>
      <c r="F69" s="970">
        <v>6</v>
      </c>
      <c r="G69" s="970">
        <v>91</v>
      </c>
      <c r="H69" s="970">
        <v>335</v>
      </c>
      <c r="I69" s="970">
        <v>12</v>
      </c>
      <c r="J69" s="970">
        <v>9.1</v>
      </c>
      <c r="K69" s="970">
        <v>8.8000000000000007</v>
      </c>
      <c r="L69" s="970">
        <v>0</v>
      </c>
      <c r="M69" s="970">
        <v>109</v>
      </c>
      <c r="O69" s="968" t="str">
        <f t="shared" si="1"/>
        <v>Nutriton</v>
      </c>
      <c r="P69" s="970">
        <f>VLOOKUP(P$44,Tbl_Glob_Conversie,2,FALSE)*B69/100</f>
        <v>3.18</v>
      </c>
      <c r="Q69" s="970">
        <f>VLOOKUP(Q$44,Tbl_Glob_Conversie,2,FALSE)*C69/100</f>
        <v>0</v>
      </c>
      <c r="R69" s="970">
        <f>VLOOKUP(R$44,Tbl_Glob_Conversie,2,FALSE)*D69/100</f>
        <v>0.66200000000000003</v>
      </c>
      <c r="S69" s="970">
        <f>VLOOKUP(S$44,Tbl_Glob_Conversie,2,FALSE)*E69/100</f>
        <v>3.0000000000000001E-3</v>
      </c>
      <c r="T69" s="970">
        <f>VLOOKUP(T$44,Tbl_Glob_Conversie,2,FALSE)*F69/100</f>
        <v>2.6086799999999999E-3</v>
      </c>
      <c r="U69" s="970">
        <f>VLOOKUP(U$44,Tbl_Glob_Conversie,2,FALSE)*G69/100</f>
        <v>2.3333310000000003E-2</v>
      </c>
      <c r="V69" s="970">
        <f>VLOOKUP(V$44,Tbl_Glob_Conversie,2,FALSE)*H69/100</f>
        <v>8.3415000000000003E-2</v>
      </c>
      <c r="W69" s="970">
        <f>VLOOKUP(W$44,Tbl_Glob_Conversie,2,FALSE)*I69/100</f>
        <v>3.8746799999999997E-3</v>
      </c>
      <c r="X69" s="970">
        <f>VLOOKUP(X$44,Tbl_Glob_Conversie,2,FALSE)*J69/100</f>
        <v>3.7438309999999995E-3</v>
      </c>
      <c r="Y69" s="970">
        <f>VLOOKUP(Y$44,Tbl_Glob_Conversie,2,FALSE)*K69/100</f>
        <v>1.5751999999999999E-3</v>
      </c>
      <c r="Z69" s="970">
        <f>VLOOKUP(Z$44,Tbl_Glob_Conversie,2,FALSE)*L69/100</f>
        <v>0</v>
      </c>
      <c r="AA69" s="970">
        <f>VLOOKUP(AA$44,Tbl_Glob_Conversie,2,FALSE)*M69/100</f>
        <v>3.0744539999999997E-2</v>
      </c>
    </row>
    <row r="70" spans="1:27" x14ac:dyDescent="0.25">
      <c r="A70" s="972"/>
    </row>
  </sheetData>
  <sortState ref="B14:B46">
    <sortCondition ref="B13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Norm">
    <tabColor rgb="FF92D050"/>
  </sheetPr>
  <dimension ref="A1:F21"/>
  <sheetViews>
    <sheetView workbookViewId="0">
      <selection activeCell="A21" sqref="A21"/>
    </sheetView>
  </sheetViews>
  <sheetFormatPr defaultRowHeight="12.75" x14ac:dyDescent="0.2"/>
  <sheetData>
    <row r="1" spans="1:2" x14ac:dyDescent="0.2">
      <c r="A1" s="356">
        <v>1</v>
      </c>
      <c r="B1">
        <v>30</v>
      </c>
    </row>
    <row r="2" spans="1:2" x14ac:dyDescent="0.2">
      <c r="A2">
        <v>2</v>
      </c>
      <c r="B2">
        <v>60</v>
      </c>
    </row>
    <row r="3" spans="1:2" x14ac:dyDescent="0.2">
      <c r="A3">
        <v>3</v>
      </c>
      <c r="B3">
        <v>90</v>
      </c>
    </row>
    <row r="4" spans="1:2" x14ac:dyDescent="0.2">
      <c r="A4">
        <v>4</v>
      </c>
      <c r="B4">
        <v>110</v>
      </c>
    </row>
    <row r="5" spans="1:2" x14ac:dyDescent="0.2">
      <c r="A5">
        <v>5</v>
      </c>
      <c r="B5">
        <v>150</v>
      </c>
    </row>
    <row r="6" spans="1:2" x14ac:dyDescent="0.2">
      <c r="A6" s="356"/>
    </row>
    <row r="7" spans="1:2" x14ac:dyDescent="0.2">
      <c r="A7">
        <v>2</v>
      </c>
      <c r="B7">
        <v>150</v>
      </c>
    </row>
    <row r="8" spans="1:2" x14ac:dyDescent="0.2">
      <c r="A8">
        <v>3</v>
      </c>
      <c r="B8">
        <v>150</v>
      </c>
    </row>
    <row r="9" spans="1:2" x14ac:dyDescent="0.2">
      <c r="A9">
        <v>4</v>
      </c>
      <c r="B9">
        <v>150</v>
      </c>
    </row>
    <row r="10" spans="1:2" x14ac:dyDescent="0.2">
      <c r="A10">
        <v>5</v>
      </c>
      <c r="B10">
        <v>125</v>
      </c>
    </row>
    <row r="11" spans="1:2" x14ac:dyDescent="0.2">
      <c r="A11">
        <v>6</v>
      </c>
      <c r="B11">
        <v>125</v>
      </c>
    </row>
    <row r="12" spans="1:2" x14ac:dyDescent="0.2">
      <c r="A12">
        <v>7</v>
      </c>
      <c r="B12">
        <v>125</v>
      </c>
    </row>
    <row r="13" spans="1:2" x14ac:dyDescent="0.2">
      <c r="A13">
        <v>8</v>
      </c>
      <c r="B13">
        <v>100</v>
      </c>
    </row>
    <row r="14" spans="1:2" x14ac:dyDescent="0.2">
      <c r="A14">
        <v>9</v>
      </c>
      <c r="B14">
        <v>100</v>
      </c>
    </row>
    <row r="15" spans="1:2" x14ac:dyDescent="0.2">
      <c r="A15">
        <v>10</v>
      </c>
      <c r="B15">
        <v>100</v>
      </c>
    </row>
    <row r="17" spans="1:6" x14ac:dyDescent="0.2">
      <c r="A17" t="s">
        <v>348</v>
      </c>
      <c r="E17" t="s">
        <v>349</v>
      </c>
      <c r="F17" s="15">
        <f ca="1">TODAY()-__4_GebDatum+1</f>
        <v>41289</v>
      </c>
    </row>
    <row r="18" spans="1:6" x14ac:dyDescent="0.2">
      <c r="A18" s="16">
        <f ca="1">IF(F17&lt;6,VLOOKUP(F17,A1:B5,2),IF(F18&lt;6,150,IF(F18&lt;8,125,IF(F18&lt;10,100,IF(F18&lt;20,(1000+(F18-10)*50)/F18,IF(F18&lt;30,(1500+(F18-20)*20)/F18,(1700+(F18-30)*10)/F18))))))</f>
        <v>150</v>
      </c>
      <c r="E18" t="s">
        <v>350</v>
      </c>
      <c r="F18">
        <f>_Pat_Gewicht/10</f>
        <v>0</v>
      </c>
    </row>
    <row r="20" spans="1:6" x14ac:dyDescent="0.2">
      <c r="A20" t="s">
        <v>111</v>
      </c>
    </row>
    <row r="21" spans="1:6" x14ac:dyDescent="0.2">
      <c r="A21">
        <f ca="1">IF(AND(_Pat_Gewicht&gt; 0,F17&lt;365*100),ROUND((100-F17/365*(60/17))/5,0)*5, 0)</f>
        <v>0</v>
      </c>
    </row>
  </sheetData>
  <customSheetViews>
    <customSheetView guid="{33CCADFA-0D48-46A6-8927-2B2144029216}" state="veryHidden">
      <selection activeCell="A21" sqref="A21"/>
      <pageMargins left="0.75" right="0.75" top="1" bottom="1" header="0.5" footer="0.5"/>
      <headerFooter alignWithMargins="0"/>
    </customSheetView>
  </customSheetViews>
  <phoneticPr fontId="28" type="noConversion"/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emp">
    <tabColor rgb="FFFF3399"/>
  </sheetPr>
  <dimension ref="A1:B1567"/>
  <sheetViews>
    <sheetView workbookViewId="0">
      <selection sqref="A1:B1567"/>
    </sheetView>
  </sheetViews>
  <sheetFormatPr defaultRowHeight="12.75" x14ac:dyDescent="0.2"/>
  <cols>
    <col min="1" max="1" width="27.42578125" customWidth="1"/>
    <col min="2" max="2" width="28.5703125" customWidth="1"/>
    <col min="3" max="3" width="34.140625" customWidth="1"/>
  </cols>
  <sheetData>
    <row r="1" spans="1:2" x14ac:dyDescent="0.2">
      <c r="A1" t="s">
        <v>158</v>
      </c>
      <c r="B1" t="s">
        <v>159</v>
      </c>
    </row>
    <row r="2" spans="1:2" x14ac:dyDescent="0.2">
      <c r="A2" t="s">
        <v>1152</v>
      </c>
      <c r="B2" t="s">
        <v>4694</v>
      </c>
    </row>
    <row r="3" spans="1:2" x14ac:dyDescent="0.2">
      <c r="A3" t="s">
        <v>1153</v>
      </c>
      <c r="B3" t="s">
        <v>3543</v>
      </c>
    </row>
    <row r="4" spans="1:2" x14ac:dyDescent="0.2">
      <c r="A4" t="s">
        <v>1154</v>
      </c>
      <c r="B4" t="s">
        <v>4694</v>
      </c>
    </row>
    <row r="5" spans="1:2" x14ac:dyDescent="0.2">
      <c r="A5" t="s">
        <v>1155</v>
      </c>
      <c r="B5" t="s">
        <v>4694</v>
      </c>
    </row>
    <row r="6" spans="1:2" x14ac:dyDescent="0.2">
      <c r="A6" t="s">
        <v>1156</v>
      </c>
      <c r="B6">
        <v>2</v>
      </c>
    </row>
    <row r="7" spans="1:2" x14ac:dyDescent="0.2">
      <c r="A7" t="s">
        <v>2252</v>
      </c>
      <c r="B7" t="s">
        <v>4694</v>
      </c>
    </row>
    <row r="8" spans="1:2" x14ac:dyDescent="0.2">
      <c r="A8" t="s">
        <v>2253</v>
      </c>
      <c r="B8" t="s">
        <v>4694</v>
      </c>
    </row>
    <row r="9" spans="1:2" x14ac:dyDescent="0.2">
      <c r="A9" t="s">
        <v>2254</v>
      </c>
      <c r="B9" t="s">
        <v>4694</v>
      </c>
    </row>
    <row r="10" spans="1:2" x14ac:dyDescent="0.2">
      <c r="A10" t="s">
        <v>2255</v>
      </c>
      <c r="B10" t="s">
        <v>4694</v>
      </c>
    </row>
    <row r="11" spans="1:2" x14ac:dyDescent="0.2">
      <c r="A11" t="s">
        <v>2256</v>
      </c>
      <c r="B11" t="s">
        <v>4694</v>
      </c>
    </row>
    <row r="12" spans="1:2" x14ac:dyDescent="0.2">
      <c r="A12" t="s">
        <v>2257</v>
      </c>
      <c r="B12" t="s">
        <v>4694</v>
      </c>
    </row>
    <row r="13" spans="1:2" x14ac:dyDescent="0.2">
      <c r="A13" t="s">
        <v>2258</v>
      </c>
      <c r="B13" t="s">
        <v>4694</v>
      </c>
    </row>
    <row r="14" spans="1:2" x14ac:dyDescent="0.2">
      <c r="A14" t="s">
        <v>2259</v>
      </c>
      <c r="B14" t="s">
        <v>4694</v>
      </c>
    </row>
    <row r="15" spans="1:2" x14ac:dyDescent="0.2">
      <c r="A15" t="s">
        <v>2260</v>
      </c>
      <c r="B15" t="s">
        <v>4694</v>
      </c>
    </row>
    <row r="16" spans="1:2" x14ac:dyDescent="0.2">
      <c r="A16" t="s">
        <v>2261</v>
      </c>
      <c r="B16" t="s">
        <v>4694</v>
      </c>
    </row>
    <row r="17" spans="1:2" x14ac:dyDescent="0.2">
      <c r="A17" t="s">
        <v>2262</v>
      </c>
      <c r="B17" t="s">
        <v>4694</v>
      </c>
    </row>
    <row r="18" spans="1:2" x14ac:dyDescent="0.2">
      <c r="A18" t="s">
        <v>2263</v>
      </c>
      <c r="B18" t="s">
        <v>4694</v>
      </c>
    </row>
    <row r="19" spans="1:2" x14ac:dyDescent="0.2">
      <c r="A19" t="s">
        <v>2264</v>
      </c>
      <c r="B19" t="s">
        <v>4694</v>
      </c>
    </row>
    <row r="20" spans="1:2" x14ac:dyDescent="0.2">
      <c r="A20" t="s">
        <v>2265</v>
      </c>
      <c r="B20" t="s">
        <v>4694</v>
      </c>
    </row>
    <row r="21" spans="1:2" x14ac:dyDescent="0.2">
      <c r="A21" t="s">
        <v>2266</v>
      </c>
      <c r="B21" t="s">
        <v>4694</v>
      </c>
    </row>
    <row r="22" spans="1:2" x14ac:dyDescent="0.2">
      <c r="A22" t="s">
        <v>2267</v>
      </c>
      <c r="B22" t="s">
        <v>4694</v>
      </c>
    </row>
    <row r="23" spans="1:2" x14ac:dyDescent="0.2">
      <c r="A23" t="s">
        <v>2268</v>
      </c>
      <c r="B23" t="s">
        <v>4694</v>
      </c>
    </row>
    <row r="24" spans="1:2" x14ac:dyDescent="0.2">
      <c r="A24" t="s">
        <v>2269</v>
      </c>
      <c r="B24" t="s">
        <v>4694</v>
      </c>
    </row>
    <row r="25" spans="1:2" x14ac:dyDescent="0.2">
      <c r="A25" t="s">
        <v>2270</v>
      </c>
      <c r="B25" t="s">
        <v>4694</v>
      </c>
    </row>
    <row r="26" spans="1:2" x14ac:dyDescent="0.2">
      <c r="A26" t="s">
        <v>2271</v>
      </c>
      <c r="B26" t="s">
        <v>4694</v>
      </c>
    </row>
    <row r="27" spans="1:2" x14ac:dyDescent="0.2">
      <c r="A27" t="s">
        <v>2272</v>
      </c>
      <c r="B27" t="s">
        <v>4694</v>
      </c>
    </row>
    <row r="28" spans="1:2" x14ac:dyDescent="0.2">
      <c r="A28" t="s">
        <v>2273</v>
      </c>
      <c r="B28" t="s">
        <v>4694</v>
      </c>
    </row>
    <row r="29" spans="1:2" x14ac:dyDescent="0.2">
      <c r="A29" t="s">
        <v>2274</v>
      </c>
      <c r="B29" t="s">
        <v>4694</v>
      </c>
    </row>
    <row r="30" spans="1:2" x14ac:dyDescent="0.2">
      <c r="A30" t="s">
        <v>2275</v>
      </c>
      <c r="B30" t="s">
        <v>4694</v>
      </c>
    </row>
    <row r="31" spans="1:2" x14ac:dyDescent="0.2">
      <c r="A31" t="s">
        <v>2276</v>
      </c>
      <c r="B31" t="s">
        <v>4694</v>
      </c>
    </row>
    <row r="32" spans="1:2" x14ac:dyDescent="0.2">
      <c r="A32" t="s">
        <v>2277</v>
      </c>
      <c r="B32" t="s">
        <v>4694</v>
      </c>
    </row>
    <row r="33" spans="1:2" x14ac:dyDescent="0.2">
      <c r="A33" t="s">
        <v>2278</v>
      </c>
      <c r="B33" t="s">
        <v>4694</v>
      </c>
    </row>
    <row r="34" spans="1:2" x14ac:dyDescent="0.2">
      <c r="A34" t="s">
        <v>2279</v>
      </c>
      <c r="B34" t="s">
        <v>4694</v>
      </c>
    </row>
    <row r="35" spans="1:2" x14ac:dyDescent="0.2">
      <c r="A35" t="s">
        <v>2280</v>
      </c>
      <c r="B35" t="s">
        <v>4694</v>
      </c>
    </row>
    <row r="36" spans="1:2" x14ac:dyDescent="0.2">
      <c r="A36" t="s">
        <v>2281</v>
      </c>
      <c r="B36" t="s">
        <v>4694</v>
      </c>
    </row>
    <row r="37" spans="1:2" x14ac:dyDescent="0.2">
      <c r="A37" t="s">
        <v>2282</v>
      </c>
      <c r="B37" t="s">
        <v>4694</v>
      </c>
    </row>
    <row r="38" spans="1:2" x14ac:dyDescent="0.2">
      <c r="A38" t="s">
        <v>2283</v>
      </c>
      <c r="B38" t="s">
        <v>4694</v>
      </c>
    </row>
    <row r="39" spans="1:2" x14ac:dyDescent="0.2">
      <c r="A39" t="s">
        <v>2284</v>
      </c>
      <c r="B39" t="s">
        <v>4694</v>
      </c>
    </row>
    <row r="40" spans="1:2" x14ac:dyDescent="0.2">
      <c r="A40" t="s">
        <v>2285</v>
      </c>
      <c r="B40" t="s">
        <v>4694</v>
      </c>
    </row>
    <row r="41" spans="1:2" x14ac:dyDescent="0.2">
      <c r="A41" t="s">
        <v>2286</v>
      </c>
      <c r="B41" t="s">
        <v>4694</v>
      </c>
    </row>
    <row r="42" spans="1:2" x14ac:dyDescent="0.2">
      <c r="A42" t="s">
        <v>2287</v>
      </c>
      <c r="B42" t="s">
        <v>4694</v>
      </c>
    </row>
    <row r="43" spans="1:2" x14ac:dyDescent="0.2">
      <c r="A43" t="s">
        <v>2288</v>
      </c>
      <c r="B43" t="s">
        <v>4694</v>
      </c>
    </row>
    <row r="44" spans="1:2" x14ac:dyDescent="0.2">
      <c r="A44" t="s">
        <v>2289</v>
      </c>
      <c r="B44" t="s">
        <v>4694</v>
      </c>
    </row>
    <row r="45" spans="1:2" x14ac:dyDescent="0.2">
      <c r="A45" t="s">
        <v>2290</v>
      </c>
      <c r="B45" t="s">
        <v>4694</v>
      </c>
    </row>
    <row r="46" spans="1:2" x14ac:dyDescent="0.2">
      <c r="A46" t="s">
        <v>2291</v>
      </c>
      <c r="B46" t="s">
        <v>4694</v>
      </c>
    </row>
    <row r="47" spans="1:2" x14ac:dyDescent="0.2">
      <c r="A47" t="s">
        <v>2292</v>
      </c>
      <c r="B47" t="s">
        <v>4694</v>
      </c>
    </row>
    <row r="48" spans="1:2" x14ac:dyDescent="0.2">
      <c r="A48" t="s">
        <v>2293</v>
      </c>
      <c r="B48" t="s">
        <v>4694</v>
      </c>
    </row>
    <row r="49" spans="1:2" x14ac:dyDescent="0.2">
      <c r="A49" t="s">
        <v>2294</v>
      </c>
      <c r="B49" t="s">
        <v>4694</v>
      </c>
    </row>
    <row r="50" spans="1:2" x14ac:dyDescent="0.2">
      <c r="A50" t="s">
        <v>2295</v>
      </c>
      <c r="B50" t="s">
        <v>4694</v>
      </c>
    </row>
    <row r="51" spans="1:2" x14ac:dyDescent="0.2">
      <c r="A51" t="s">
        <v>2296</v>
      </c>
      <c r="B51" t="s">
        <v>4694</v>
      </c>
    </row>
    <row r="52" spans="1:2" x14ac:dyDescent="0.2">
      <c r="A52" t="s">
        <v>2297</v>
      </c>
      <c r="B52" t="s">
        <v>4694</v>
      </c>
    </row>
    <row r="53" spans="1:2" x14ac:dyDescent="0.2">
      <c r="A53" t="s">
        <v>2298</v>
      </c>
      <c r="B53" t="s">
        <v>4694</v>
      </c>
    </row>
    <row r="54" spans="1:2" x14ac:dyDescent="0.2">
      <c r="A54" t="s">
        <v>2299</v>
      </c>
      <c r="B54" t="s">
        <v>4694</v>
      </c>
    </row>
    <row r="55" spans="1:2" x14ac:dyDescent="0.2">
      <c r="A55" t="s">
        <v>2300</v>
      </c>
      <c r="B55" t="s">
        <v>4694</v>
      </c>
    </row>
    <row r="56" spans="1:2" x14ac:dyDescent="0.2">
      <c r="A56" t="s">
        <v>2301</v>
      </c>
      <c r="B56" t="s">
        <v>4694</v>
      </c>
    </row>
    <row r="57" spans="1:2" x14ac:dyDescent="0.2">
      <c r="A57" t="s">
        <v>2302</v>
      </c>
      <c r="B57" t="s">
        <v>4694</v>
      </c>
    </row>
    <row r="58" spans="1:2" x14ac:dyDescent="0.2">
      <c r="A58" t="s">
        <v>2303</v>
      </c>
      <c r="B58" t="s">
        <v>4694</v>
      </c>
    </row>
    <row r="59" spans="1:2" x14ac:dyDescent="0.2">
      <c r="A59" t="s">
        <v>2304</v>
      </c>
      <c r="B59" t="s">
        <v>4694</v>
      </c>
    </row>
    <row r="60" spans="1:2" x14ac:dyDescent="0.2">
      <c r="A60" t="s">
        <v>2305</v>
      </c>
      <c r="B60" t="s">
        <v>4694</v>
      </c>
    </row>
    <row r="61" spans="1:2" x14ac:dyDescent="0.2">
      <c r="A61" t="s">
        <v>2306</v>
      </c>
      <c r="B61" t="s">
        <v>4694</v>
      </c>
    </row>
    <row r="62" spans="1:2" x14ac:dyDescent="0.2">
      <c r="A62" t="s">
        <v>2307</v>
      </c>
      <c r="B62" t="s">
        <v>4694</v>
      </c>
    </row>
    <row r="63" spans="1:2" x14ac:dyDescent="0.2">
      <c r="A63" t="s">
        <v>2308</v>
      </c>
      <c r="B63" t="s">
        <v>4694</v>
      </c>
    </row>
    <row r="64" spans="1:2" x14ac:dyDescent="0.2">
      <c r="A64" t="s">
        <v>2309</v>
      </c>
      <c r="B64" t="s">
        <v>4694</v>
      </c>
    </row>
    <row r="65" spans="1:2" x14ac:dyDescent="0.2">
      <c r="A65" t="s">
        <v>2310</v>
      </c>
      <c r="B65" t="s">
        <v>4694</v>
      </c>
    </row>
    <row r="66" spans="1:2" x14ac:dyDescent="0.2">
      <c r="A66" t="s">
        <v>2311</v>
      </c>
      <c r="B66" t="s">
        <v>4694</v>
      </c>
    </row>
    <row r="67" spans="1:2" x14ac:dyDescent="0.2">
      <c r="A67" t="s">
        <v>2312</v>
      </c>
      <c r="B67">
        <v>0</v>
      </c>
    </row>
    <row r="68" spans="1:2" x14ac:dyDescent="0.2">
      <c r="A68" t="s">
        <v>2313</v>
      </c>
      <c r="B68">
        <v>0</v>
      </c>
    </row>
    <row r="69" spans="1:2" x14ac:dyDescent="0.2">
      <c r="A69" t="s">
        <v>2314</v>
      </c>
      <c r="B69">
        <v>0</v>
      </c>
    </row>
    <row r="70" spans="1:2" x14ac:dyDescent="0.2">
      <c r="A70" t="s">
        <v>2315</v>
      </c>
      <c r="B70">
        <v>0</v>
      </c>
    </row>
    <row r="71" spans="1:2" x14ac:dyDescent="0.2">
      <c r="A71" t="s">
        <v>2316</v>
      </c>
      <c r="B71">
        <v>0</v>
      </c>
    </row>
    <row r="72" spans="1:2" x14ac:dyDescent="0.2">
      <c r="A72" t="s">
        <v>2317</v>
      </c>
      <c r="B72">
        <v>0</v>
      </c>
    </row>
    <row r="73" spans="1:2" x14ac:dyDescent="0.2">
      <c r="A73" t="s">
        <v>2318</v>
      </c>
      <c r="B73">
        <v>0</v>
      </c>
    </row>
    <row r="74" spans="1:2" x14ac:dyDescent="0.2">
      <c r="A74" t="s">
        <v>2319</v>
      </c>
      <c r="B74">
        <v>0</v>
      </c>
    </row>
    <row r="75" spans="1:2" x14ac:dyDescent="0.2">
      <c r="A75" t="s">
        <v>2320</v>
      </c>
      <c r="B75">
        <v>0</v>
      </c>
    </row>
    <row r="76" spans="1:2" x14ac:dyDescent="0.2">
      <c r="A76" t="s">
        <v>2321</v>
      </c>
      <c r="B76">
        <v>0</v>
      </c>
    </row>
    <row r="77" spans="1:2" x14ac:dyDescent="0.2">
      <c r="A77" t="s">
        <v>2322</v>
      </c>
      <c r="B77">
        <v>0</v>
      </c>
    </row>
    <row r="78" spans="1:2" x14ac:dyDescent="0.2">
      <c r="A78" t="s">
        <v>2323</v>
      </c>
      <c r="B78">
        <v>0</v>
      </c>
    </row>
    <row r="79" spans="1:2" x14ac:dyDescent="0.2">
      <c r="A79" t="s">
        <v>2324</v>
      </c>
      <c r="B79">
        <v>0</v>
      </c>
    </row>
    <row r="80" spans="1:2" x14ac:dyDescent="0.2">
      <c r="A80" t="s">
        <v>2325</v>
      </c>
      <c r="B80">
        <v>0</v>
      </c>
    </row>
    <row r="81" spans="1:2" x14ac:dyDescent="0.2">
      <c r="A81" t="s">
        <v>2326</v>
      </c>
      <c r="B81">
        <v>0</v>
      </c>
    </row>
    <row r="82" spans="1:2" x14ac:dyDescent="0.2">
      <c r="A82" t="s">
        <v>2327</v>
      </c>
      <c r="B82">
        <v>0</v>
      </c>
    </row>
    <row r="83" spans="1:2" x14ac:dyDescent="0.2">
      <c r="A83" t="s">
        <v>2328</v>
      </c>
      <c r="B83">
        <v>0</v>
      </c>
    </row>
    <row r="84" spans="1:2" x14ac:dyDescent="0.2">
      <c r="A84" t="s">
        <v>2329</v>
      </c>
      <c r="B84">
        <v>0</v>
      </c>
    </row>
    <row r="85" spans="1:2" x14ac:dyDescent="0.2">
      <c r="A85" t="s">
        <v>2330</v>
      </c>
      <c r="B85">
        <v>0</v>
      </c>
    </row>
    <row r="86" spans="1:2" x14ac:dyDescent="0.2">
      <c r="A86" t="s">
        <v>2331</v>
      </c>
      <c r="B86">
        <v>0</v>
      </c>
    </row>
    <row r="87" spans="1:2" x14ac:dyDescent="0.2">
      <c r="A87" t="s">
        <v>2332</v>
      </c>
      <c r="B87">
        <v>0</v>
      </c>
    </row>
    <row r="88" spans="1:2" x14ac:dyDescent="0.2">
      <c r="A88" t="s">
        <v>2333</v>
      </c>
      <c r="B88">
        <v>0</v>
      </c>
    </row>
    <row r="89" spans="1:2" x14ac:dyDescent="0.2">
      <c r="A89" t="s">
        <v>2334</v>
      </c>
      <c r="B89">
        <v>0</v>
      </c>
    </row>
    <row r="90" spans="1:2" x14ac:dyDescent="0.2">
      <c r="A90" t="s">
        <v>2335</v>
      </c>
      <c r="B90">
        <v>0</v>
      </c>
    </row>
    <row r="91" spans="1:2" x14ac:dyDescent="0.2">
      <c r="A91" t="s">
        <v>2336</v>
      </c>
      <c r="B91">
        <v>0</v>
      </c>
    </row>
    <row r="92" spans="1:2" x14ac:dyDescent="0.2">
      <c r="A92" t="s">
        <v>2337</v>
      </c>
      <c r="B92">
        <v>0</v>
      </c>
    </row>
    <row r="93" spans="1:2" x14ac:dyDescent="0.2">
      <c r="A93" t="s">
        <v>2338</v>
      </c>
      <c r="B93">
        <v>0</v>
      </c>
    </row>
    <row r="94" spans="1:2" x14ac:dyDescent="0.2">
      <c r="A94" t="s">
        <v>2339</v>
      </c>
      <c r="B94">
        <v>0</v>
      </c>
    </row>
    <row r="95" spans="1:2" x14ac:dyDescent="0.2">
      <c r="A95" t="s">
        <v>2340</v>
      </c>
      <c r="B95">
        <v>0</v>
      </c>
    </row>
    <row r="96" spans="1:2" x14ac:dyDescent="0.2">
      <c r="A96" t="s">
        <v>2341</v>
      </c>
      <c r="B96">
        <v>0</v>
      </c>
    </row>
    <row r="97" spans="1:2" x14ac:dyDescent="0.2">
      <c r="A97" t="s">
        <v>2342</v>
      </c>
      <c r="B97" t="s">
        <v>4694</v>
      </c>
    </row>
    <row r="98" spans="1:2" x14ac:dyDescent="0.2">
      <c r="A98" t="s">
        <v>2343</v>
      </c>
      <c r="B98" t="s">
        <v>4694</v>
      </c>
    </row>
    <row r="99" spans="1:2" x14ac:dyDescent="0.2">
      <c r="A99" t="s">
        <v>2344</v>
      </c>
      <c r="B99" t="s">
        <v>4694</v>
      </c>
    </row>
    <row r="100" spans="1:2" x14ac:dyDescent="0.2">
      <c r="A100" t="s">
        <v>2345</v>
      </c>
      <c r="B100" t="s">
        <v>4694</v>
      </c>
    </row>
    <row r="101" spans="1:2" x14ac:dyDescent="0.2">
      <c r="A101" t="s">
        <v>2346</v>
      </c>
      <c r="B101" t="s">
        <v>4694</v>
      </c>
    </row>
    <row r="102" spans="1:2" x14ac:dyDescent="0.2">
      <c r="A102" t="s">
        <v>2347</v>
      </c>
      <c r="B102" t="s">
        <v>4694</v>
      </c>
    </row>
    <row r="103" spans="1:2" x14ac:dyDescent="0.2">
      <c r="A103" t="s">
        <v>2348</v>
      </c>
      <c r="B103" t="s">
        <v>4694</v>
      </c>
    </row>
    <row r="104" spans="1:2" x14ac:dyDescent="0.2">
      <c r="A104" t="s">
        <v>2349</v>
      </c>
      <c r="B104" t="s">
        <v>4694</v>
      </c>
    </row>
    <row r="105" spans="1:2" x14ac:dyDescent="0.2">
      <c r="A105" t="s">
        <v>2350</v>
      </c>
      <c r="B105" t="s">
        <v>4694</v>
      </c>
    </row>
    <row r="106" spans="1:2" x14ac:dyDescent="0.2">
      <c r="A106" t="s">
        <v>2351</v>
      </c>
      <c r="B106" t="s">
        <v>4694</v>
      </c>
    </row>
    <row r="107" spans="1:2" x14ac:dyDescent="0.2">
      <c r="A107" t="s">
        <v>2352</v>
      </c>
      <c r="B107" t="s">
        <v>4694</v>
      </c>
    </row>
    <row r="108" spans="1:2" x14ac:dyDescent="0.2">
      <c r="A108" t="s">
        <v>2353</v>
      </c>
      <c r="B108" t="s">
        <v>4694</v>
      </c>
    </row>
    <row r="109" spans="1:2" x14ac:dyDescent="0.2">
      <c r="A109" t="s">
        <v>2354</v>
      </c>
      <c r="B109" t="s">
        <v>4694</v>
      </c>
    </row>
    <row r="110" spans="1:2" x14ac:dyDescent="0.2">
      <c r="A110" t="s">
        <v>2355</v>
      </c>
      <c r="B110" t="s">
        <v>4694</v>
      </c>
    </row>
    <row r="111" spans="1:2" x14ac:dyDescent="0.2">
      <c r="A111" t="s">
        <v>2356</v>
      </c>
      <c r="B111" t="s">
        <v>4694</v>
      </c>
    </row>
    <row r="112" spans="1:2" x14ac:dyDescent="0.2">
      <c r="A112" t="s">
        <v>2357</v>
      </c>
      <c r="B112" t="s">
        <v>4694</v>
      </c>
    </row>
    <row r="113" spans="1:2" x14ac:dyDescent="0.2">
      <c r="A113" t="s">
        <v>2358</v>
      </c>
      <c r="B113" t="s">
        <v>4694</v>
      </c>
    </row>
    <row r="114" spans="1:2" x14ac:dyDescent="0.2">
      <c r="A114" t="s">
        <v>2359</v>
      </c>
      <c r="B114" t="s">
        <v>4694</v>
      </c>
    </row>
    <row r="115" spans="1:2" x14ac:dyDescent="0.2">
      <c r="A115" t="s">
        <v>2360</v>
      </c>
      <c r="B115" t="s">
        <v>4694</v>
      </c>
    </row>
    <row r="116" spans="1:2" x14ac:dyDescent="0.2">
      <c r="A116" t="s">
        <v>2361</v>
      </c>
      <c r="B116" t="s">
        <v>4694</v>
      </c>
    </row>
    <row r="117" spans="1:2" x14ac:dyDescent="0.2">
      <c r="A117" t="s">
        <v>2362</v>
      </c>
      <c r="B117" t="s">
        <v>4694</v>
      </c>
    </row>
    <row r="118" spans="1:2" x14ac:dyDescent="0.2">
      <c r="A118" t="s">
        <v>2363</v>
      </c>
      <c r="B118" t="s">
        <v>4694</v>
      </c>
    </row>
    <row r="119" spans="1:2" x14ac:dyDescent="0.2">
      <c r="A119" t="s">
        <v>2364</v>
      </c>
      <c r="B119" t="s">
        <v>4694</v>
      </c>
    </row>
    <row r="120" spans="1:2" x14ac:dyDescent="0.2">
      <c r="A120" t="s">
        <v>2365</v>
      </c>
      <c r="B120" t="s">
        <v>4694</v>
      </c>
    </row>
    <row r="121" spans="1:2" x14ac:dyDescent="0.2">
      <c r="A121" t="s">
        <v>2366</v>
      </c>
      <c r="B121" t="s">
        <v>4694</v>
      </c>
    </row>
    <row r="122" spans="1:2" x14ac:dyDescent="0.2">
      <c r="A122" t="s">
        <v>2367</v>
      </c>
      <c r="B122" t="s">
        <v>4694</v>
      </c>
    </row>
    <row r="123" spans="1:2" x14ac:dyDescent="0.2">
      <c r="A123" t="s">
        <v>2368</v>
      </c>
      <c r="B123" t="s">
        <v>4694</v>
      </c>
    </row>
    <row r="124" spans="1:2" x14ac:dyDescent="0.2">
      <c r="A124" t="s">
        <v>2369</v>
      </c>
      <c r="B124" t="s">
        <v>4694</v>
      </c>
    </row>
    <row r="125" spans="1:2" x14ac:dyDescent="0.2">
      <c r="A125" t="s">
        <v>2370</v>
      </c>
      <c r="B125" t="s">
        <v>4694</v>
      </c>
    </row>
    <row r="126" spans="1:2" x14ac:dyDescent="0.2">
      <c r="A126" t="s">
        <v>2371</v>
      </c>
      <c r="B126" t="s">
        <v>4694</v>
      </c>
    </row>
    <row r="127" spans="1:2" x14ac:dyDescent="0.2">
      <c r="A127" t="s">
        <v>2372</v>
      </c>
      <c r="B127" t="s">
        <v>4694</v>
      </c>
    </row>
    <row r="128" spans="1:2" x14ac:dyDescent="0.2">
      <c r="A128" t="s">
        <v>2373</v>
      </c>
      <c r="B128" t="s">
        <v>4694</v>
      </c>
    </row>
    <row r="129" spans="1:2" x14ac:dyDescent="0.2">
      <c r="A129" t="s">
        <v>2374</v>
      </c>
      <c r="B129" t="s">
        <v>4694</v>
      </c>
    </row>
    <row r="130" spans="1:2" x14ac:dyDescent="0.2">
      <c r="A130" t="s">
        <v>2375</v>
      </c>
      <c r="B130" t="s">
        <v>4694</v>
      </c>
    </row>
    <row r="131" spans="1:2" x14ac:dyDescent="0.2">
      <c r="A131" t="s">
        <v>2376</v>
      </c>
      <c r="B131" t="s">
        <v>4694</v>
      </c>
    </row>
    <row r="132" spans="1:2" x14ac:dyDescent="0.2">
      <c r="A132" t="s">
        <v>2377</v>
      </c>
      <c r="B132" t="s">
        <v>4694</v>
      </c>
    </row>
    <row r="133" spans="1:2" x14ac:dyDescent="0.2">
      <c r="A133" t="s">
        <v>2378</v>
      </c>
      <c r="B133" t="s">
        <v>4694</v>
      </c>
    </row>
    <row r="134" spans="1:2" x14ac:dyDescent="0.2">
      <c r="A134" t="s">
        <v>2379</v>
      </c>
      <c r="B134" t="s">
        <v>4694</v>
      </c>
    </row>
    <row r="135" spans="1:2" x14ac:dyDescent="0.2">
      <c r="A135" t="s">
        <v>2380</v>
      </c>
      <c r="B135" t="s">
        <v>4694</v>
      </c>
    </row>
    <row r="136" spans="1:2" x14ac:dyDescent="0.2">
      <c r="A136" t="s">
        <v>2381</v>
      </c>
      <c r="B136" t="s">
        <v>4694</v>
      </c>
    </row>
    <row r="137" spans="1:2" x14ac:dyDescent="0.2">
      <c r="A137" t="s">
        <v>2382</v>
      </c>
      <c r="B137" t="s">
        <v>4694</v>
      </c>
    </row>
    <row r="138" spans="1:2" x14ac:dyDescent="0.2">
      <c r="A138" t="s">
        <v>2383</v>
      </c>
      <c r="B138" t="s">
        <v>4694</v>
      </c>
    </row>
    <row r="139" spans="1:2" x14ac:dyDescent="0.2">
      <c r="A139" t="s">
        <v>2384</v>
      </c>
      <c r="B139" t="s">
        <v>4694</v>
      </c>
    </row>
    <row r="140" spans="1:2" x14ac:dyDescent="0.2">
      <c r="A140" t="s">
        <v>2385</v>
      </c>
      <c r="B140" t="s">
        <v>4694</v>
      </c>
    </row>
    <row r="141" spans="1:2" x14ac:dyDescent="0.2">
      <c r="A141" t="s">
        <v>2386</v>
      </c>
      <c r="B141" t="s">
        <v>4694</v>
      </c>
    </row>
    <row r="142" spans="1:2" x14ac:dyDescent="0.2">
      <c r="A142" t="s">
        <v>2387</v>
      </c>
      <c r="B142" t="s">
        <v>4694</v>
      </c>
    </row>
    <row r="143" spans="1:2" x14ac:dyDescent="0.2">
      <c r="A143" t="s">
        <v>2388</v>
      </c>
      <c r="B143" t="s">
        <v>4694</v>
      </c>
    </row>
    <row r="144" spans="1:2" x14ac:dyDescent="0.2">
      <c r="A144" t="s">
        <v>2389</v>
      </c>
      <c r="B144" t="s">
        <v>4694</v>
      </c>
    </row>
    <row r="145" spans="1:2" x14ac:dyDescent="0.2">
      <c r="A145" t="s">
        <v>2390</v>
      </c>
      <c r="B145" t="s">
        <v>4694</v>
      </c>
    </row>
    <row r="146" spans="1:2" x14ac:dyDescent="0.2">
      <c r="A146" t="s">
        <v>2391</v>
      </c>
      <c r="B146" t="s">
        <v>4694</v>
      </c>
    </row>
    <row r="147" spans="1:2" x14ac:dyDescent="0.2">
      <c r="A147" t="s">
        <v>2392</v>
      </c>
      <c r="B147" t="s">
        <v>4694</v>
      </c>
    </row>
    <row r="148" spans="1:2" x14ac:dyDescent="0.2">
      <c r="A148" t="s">
        <v>2393</v>
      </c>
      <c r="B148" t="s">
        <v>4694</v>
      </c>
    </row>
    <row r="149" spans="1:2" x14ac:dyDescent="0.2">
      <c r="A149" t="s">
        <v>2394</v>
      </c>
      <c r="B149" t="s">
        <v>4694</v>
      </c>
    </row>
    <row r="150" spans="1:2" x14ac:dyDescent="0.2">
      <c r="A150" t="s">
        <v>2395</v>
      </c>
      <c r="B150" t="s">
        <v>4694</v>
      </c>
    </row>
    <row r="151" spans="1:2" x14ac:dyDescent="0.2">
      <c r="A151" t="s">
        <v>2396</v>
      </c>
      <c r="B151" t="s">
        <v>4694</v>
      </c>
    </row>
    <row r="152" spans="1:2" x14ac:dyDescent="0.2">
      <c r="A152" t="s">
        <v>2397</v>
      </c>
      <c r="B152" t="s">
        <v>4694</v>
      </c>
    </row>
    <row r="153" spans="1:2" x14ac:dyDescent="0.2">
      <c r="A153" t="s">
        <v>2398</v>
      </c>
      <c r="B153" t="s">
        <v>4694</v>
      </c>
    </row>
    <row r="154" spans="1:2" x14ac:dyDescent="0.2">
      <c r="A154" t="s">
        <v>2399</v>
      </c>
      <c r="B154" t="s">
        <v>4694</v>
      </c>
    </row>
    <row r="155" spans="1:2" x14ac:dyDescent="0.2">
      <c r="A155" t="s">
        <v>2400</v>
      </c>
      <c r="B155" t="s">
        <v>4694</v>
      </c>
    </row>
    <row r="156" spans="1:2" x14ac:dyDescent="0.2">
      <c r="A156" t="s">
        <v>2401</v>
      </c>
      <c r="B156" t="s">
        <v>4694</v>
      </c>
    </row>
    <row r="157" spans="1:2" x14ac:dyDescent="0.2">
      <c r="A157" t="s">
        <v>2402</v>
      </c>
      <c r="B157" t="s">
        <v>4694</v>
      </c>
    </row>
    <row r="158" spans="1:2" x14ac:dyDescent="0.2">
      <c r="A158" t="s">
        <v>2403</v>
      </c>
      <c r="B158" t="s">
        <v>4694</v>
      </c>
    </row>
    <row r="159" spans="1:2" x14ac:dyDescent="0.2">
      <c r="A159" t="s">
        <v>2404</v>
      </c>
      <c r="B159" t="s">
        <v>4694</v>
      </c>
    </row>
    <row r="160" spans="1:2" x14ac:dyDescent="0.2">
      <c r="A160" t="s">
        <v>2405</v>
      </c>
      <c r="B160" t="s">
        <v>4694</v>
      </c>
    </row>
    <row r="161" spans="1:2" x14ac:dyDescent="0.2">
      <c r="A161" t="s">
        <v>2406</v>
      </c>
      <c r="B161" t="s">
        <v>4694</v>
      </c>
    </row>
    <row r="162" spans="1:2" x14ac:dyDescent="0.2">
      <c r="A162" t="s">
        <v>2407</v>
      </c>
      <c r="B162" t="s">
        <v>4694</v>
      </c>
    </row>
    <row r="163" spans="1:2" x14ac:dyDescent="0.2">
      <c r="A163" t="s">
        <v>2408</v>
      </c>
      <c r="B163" t="s">
        <v>4694</v>
      </c>
    </row>
    <row r="164" spans="1:2" x14ac:dyDescent="0.2">
      <c r="A164" t="s">
        <v>2409</v>
      </c>
      <c r="B164" t="s">
        <v>4694</v>
      </c>
    </row>
    <row r="165" spans="1:2" x14ac:dyDescent="0.2">
      <c r="A165" t="s">
        <v>2410</v>
      </c>
      <c r="B165" t="s">
        <v>4694</v>
      </c>
    </row>
    <row r="166" spans="1:2" x14ac:dyDescent="0.2">
      <c r="A166" t="s">
        <v>2411</v>
      </c>
      <c r="B166" t="s">
        <v>4694</v>
      </c>
    </row>
    <row r="167" spans="1:2" x14ac:dyDescent="0.2">
      <c r="A167" t="s">
        <v>2412</v>
      </c>
      <c r="B167" t="s">
        <v>4694</v>
      </c>
    </row>
    <row r="168" spans="1:2" x14ac:dyDescent="0.2">
      <c r="A168" t="s">
        <v>2413</v>
      </c>
      <c r="B168" t="s">
        <v>4694</v>
      </c>
    </row>
    <row r="169" spans="1:2" x14ac:dyDescent="0.2">
      <c r="A169" t="s">
        <v>2414</v>
      </c>
      <c r="B169" t="s">
        <v>4694</v>
      </c>
    </row>
    <row r="170" spans="1:2" x14ac:dyDescent="0.2">
      <c r="A170" t="s">
        <v>2415</v>
      </c>
      <c r="B170" t="s">
        <v>4694</v>
      </c>
    </row>
    <row r="171" spans="1:2" x14ac:dyDescent="0.2">
      <c r="A171" t="s">
        <v>2416</v>
      </c>
      <c r="B171" t="s">
        <v>4694</v>
      </c>
    </row>
    <row r="172" spans="1:2" x14ac:dyDescent="0.2">
      <c r="A172" t="s">
        <v>2417</v>
      </c>
      <c r="B172" t="s">
        <v>4694</v>
      </c>
    </row>
    <row r="173" spans="1:2" x14ac:dyDescent="0.2">
      <c r="A173" t="s">
        <v>2418</v>
      </c>
      <c r="B173" t="s">
        <v>4694</v>
      </c>
    </row>
    <row r="174" spans="1:2" x14ac:dyDescent="0.2">
      <c r="A174" t="s">
        <v>2419</v>
      </c>
      <c r="B174" t="s">
        <v>4694</v>
      </c>
    </row>
    <row r="175" spans="1:2" x14ac:dyDescent="0.2">
      <c r="A175" t="s">
        <v>2420</v>
      </c>
      <c r="B175" t="s">
        <v>4694</v>
      </c>
    </row>
    <row r="176" spans="1:2" x14ac:dyDescent="0.2">
      <c r="A176" t="s">
        <v>2421</v>
      </c>
      <c r="B176" t="s">
        <v>4694</v>
      </c>
    </row>
    <row r="177" spans="1:2" x14ac:dyDescent="0.2">
      <c r="A177" t="s">
        <v>2422</v>
      </c>
      <c r="B177" t="s">
        <v>4694</v>
      </c>
    </row>
    <row r="178" spans="1:2" x14ac:dyDescent="0.2">
      <c r="A178" t="s">
        <v>2423</v>
      </c>
      <c r="B178" t="s">
        <v>4694</v>
      </c>
    </row>
    <row r="179" spans="1:2" x14ac:dyDescent="0.2">
      <c r="A179" t="s">
        <v>2424</v>
      </c>
      <c r="B179" t="s">
        <v>4694</v>
      </c>
    </row>
    <row r="180" spans="1:2" x14ac:dyDescent="0.2">
      <c r="A180" t="s">
        <v>2425</v>
      </c>
      <c r="B180" t="s">
        <v>4694</v>
      </c>
    </row>
    <row r="181" spans="1:2" x14ac:dyDescent="0.2">
      <c r="A181" t="s">
        <v>2426</v>
      </c>
      <c r="B181" t="s">
        <v>4694</v>
      </c>
    </row>
    <row r="182" spans="1:2" x14ac:dyDescent="0.2">
      <c r="A182" t="s">
        <v>2427</v>
      </c>
      <c r="B182" t="s">
        <v>4694</v>
      </c>
    </row>
    <row r="183" spans="1:2" x14ac:dyDescent="0.2">
      <c r="A183" t="s">
        <v>2428</v>
      </c>
      <c r="B183" t="s">
        <v>4694</v>
      </c>
    </row>
    <row r="184" spans="1:2" x14ac:dyDescent="0.2">
      <c r="A184" t="s">
        <v>2429</v>
      </c>
      <c r="B184" t="s">
        <v>4694</v>
      </c>
    </row>
    <row r="185" spans="1:2" x14ac:dyDescent="0.2">
      <c r="A185" t="s">
        <v>2430</v>
      </c>
      <c r="B185" t="s">
        <v>4694</v>
      </c>
    </row>
    <row r="186" spans="1:2" x14ac:dyDescent="0.2">
      <c r="A186" t="s">
        <v>2431</v>
      </c>
      <c r="B186" t="s">
        <v>4694</v>
      </c>
    </row>
    <row r="187" spans="1:2" x14ac:dyDescent="0.2">
      <c r="A187" t="s">
        <v>2432</v>
      </c>
      <c r="B187" t="s">
        <v>4694</v>
      </c>
    </row>
    <row r="188" spans="1:2" x14ac:dyDescent="0.2">
      <c r="A188" t="s">
        <v>2433</v>
      </c>
      <c r="B188" t="s">
        <v>4694</v>
      </c>
    </row>
    <row r="189" spans="1:2" x14ac:dyDescent="0.2">
      <c r="A189" t="s">
        <v>2434</v>
      </c>
      <c r="B189" t="s">
        <v>4694</v>
      </c>
    </row>
    <row r="190" spans="1:2" x14ac:dyDescent="0.2">
      <c r="A190" t="s">
        <v>2435</v>
      </c>
      <c r="B190" t="s">
        <v>4694</v>
      </c>
    </row>
    <row r="191" spans="1:2" x14ac:dyDescent="0.2">
      <c r="A191" t="s">
        <v>2436</v>
      </c>
      <c r="B191" t="s">
        <v>4694</v>
      </c>
    </row>
    <row r="192" spans="1:2" x14ac:dyDescent="0.2">
      <c r="A192" t="s">
        <v>2437</v>
      </c>
      <c r="B192" t="s">
        <v>4694</v>
      </c>
    </row>
    <row r="193" spans="1:2" x14ac:dyDescent="0.2">
      <c r="A193" t="s">
        <v>2438</v>
      </c>
      <c r="B193" t="s">
        <v>4694</v>
      </c>
    </row>
    <row r="194" spans="1:2" x14ac:dyDescent="0.2">
      <c r="A194" t="s">
        <v>2439</v>
      </c>
      <c r="B194" t="s">
        <v>4694</v>
      </c>
    </row>
    <row r="195" spans="1:2" x14ac:dyDescent="0.2">
      <c r="A195" t="s">
        <v>2440</v>
      </c>
      <c r="B195" t="s">
        <v>4694</v>
      </c>
    </row>
    <row r="196" spans="1:2" x14ac:dyDescent="0.2">
      <c r="A196" t="s">
        <v>2441</v>
      </c>
      <c r="B196" t="s">
        <v>4694</v>
      </c>
    </row>
    <row r="197" spans="1:2" x14ac:dyDescent="0.2">
      <c r="A197" t="s">
        <v>2442</v>
      </c>
      <c r="B197" t="s">
        <v>4694</v>
      </c>
    </row>
    <row r="198" spans="1:2" x14ac:dyDescent="0.2">
      <c r="A198" t="s">
        <v>2443</v>
      </c>
      <c r="B198" t="s">
        <v>4694</v>
      </c>
    </row>
    <row r="199" spans="1:2" x14ac:dyDescent="0.2">
      <c r="A199" t="s">
        <v>2444</v>
      </c>
      <c r="B199" t="s">
        <v>4694</v>
      </c>
    </row>
    <row r="200" spans="1:2" x14ac:dyDescent="0.2">
      <c r="A200" t="s">
        <v>2445</v>
      </c>
      <c r="B200" t="s">
        <v>4694</v>
      </c>
    </row>
    <row r="201" spans="1:2" x14ac:dyDescent="0.2">
      <c r="A201" t="s">
        <v>2446</v>
      </c>
      <c r="B201" t="s">
        <v>4694</v>
      </c>
    </row>
    <row r="202" spans="1:2" x14ac:dyDescent="0.2">
      <c r="A202" t="s">
        <v>2447</v>
      </c>
      <c r="B202" t="s">
        <v>4694</v>
      </c>
    </row>
    <row r="203" spans="1:2" x14ac:dyDescent="0.2">
      <c r="A203" t="s">
        <v>2448</v>
      </c>
      <c r="B203" t="s">
        <v>4694</v>
      </c>
    </row>
    <row r="204" spans="1:2" x14ac:dyDescent="0.2">
      <c r="A204" t="s">
        <v>2449</v>
      </c>
      <c r="B204" t="s">
        <v>4694</v>
      </c>
    </row>
    <row r="205" spans="1:2" x14ac:dyDescent="0.2">
      <c r="A205" t="s">
        <v>2450</v>
      </c>
      <c r="B205" t="s">
        <v>4694</v>
      </c>
    </row>
    <row r="206" spans="1:2" x14ac:dyDescent="0.2">
      <c r="A206" t="s">
        <v>2451</v>
      </c>
      <c r="B206" t="s">
        <v>4694</v>
      </c>
    </row>
    <row r="207" spans="1:2" x14ac:dyDescent="0.2">
      <c r="A207" t="s">
        <v>2452</v>
      </c>
      <c r="B207" t="s">
        <v>4694</v>
      </c>
    </row>
    <row r="208" spans="1:2" x14ac:dyDescent="0.2">
      <c r="A208" t="s">
        <v>2453</v>
      </c>
      <c r="B208" t="s">
        <v>4694</v>
      </c>
    </row>
    <row r="209" spans="1:2" x14ac:dyDescent="0.2">
      <c r="A209" t="s">
        <v>2454</v>
      </c>
      <c r="B209" t="s">
        <v>4694</v>
      </c>
    </row>
    <row r="210" spans="1:2" x14ac:dyDescent="0.2">
      <c r="A210" t="s">
        <v>2455</v>
      </c>
      <c r="B210" t="s">
        <v>4694</v>
      </c>
    </row>
    <row r="211" spans="1:2" x14ac:dyDescent="0.2">
      <c r="A211" t="s">
        <v>2456</v>
      </c>
      <c r="B211" t="s">
        <v>4694</v>
      </c>
    </row>
    <row r="212" spans="1:2" x14ac:dyDescent="0.2">
      <c r="A212" t="s">
        <v>2457</v>
      </c>
      <c r="B212" t="s">
        <v>4694</v>
      </c>
    </row>
    <row r="213" spans="1:2" x14ac:dyDescent="0.2">
      <c r="A213" t="s">
        <v>2458</v>
      </c>
      <c r="B213" t="s">
        <v>4694</v>
      </c>
    </row>
    <row r="214" spans="1:2" x14ac:dyDescent="0.2">
      <c r="A214" t="s">
        <v>2459</v>
      </c>
      <c r="B214" t="s">
        <v>4694</v>
      </c>
    </row>
    <row r="215" spans="1:2" x14ac:dyDescent="0.2">
      <c r="A215" t="s">
        <v>2460</v>
      </c>
      <c r="B215" t="s">
        <v>4694</v>
      </c>
    </row>
    <row r="216" spans="1:2" x14ac:dyDescent="0.2">
      <c r="A216" t="s">
        <v>2461</v>
      </c>
      <c r="B216" t="s">
        <v>4694</v>
      </c>
    </row>
    <row r="217" spans="1:2" x14ac:dyDescent="0.2">
      <c r="A217" t="s">
        <v>2462</v>
      </c>
      <c r="B217">
        <v>0</v>
      </c>
    </row>
    <row r="218" spans="1:2" x14ac:dyDescent="0.2">
      <c r="A218" t="s">
        <v>2463</v>
      </c>
      <c r="B218">
        <v>0</v>
      </c>
    </row>
    <row r="219" spans="1:2" x14ac:dyDescent="0.2">
      <c r="A219" t="s">
        <v>2464</v>
      </c>
      <c r="B219">
        <v>0</v>
      </c>
    </row>
    <row r="220" spans="1:2" x14ac:dyDescent="0.2">
      <c r="A220" t="s">
        <v>2465</v>
      </c>
      <c r="B220">
        <v>0</v>
      </c>
    </row>
    <row r="221" spans="1:2" x14ac:dyDescent="0.2">
      <c r="A221" t="s">
        <v>2466</v>
      </c>
      <c r="B221">
        <v>0</v>
      </c>
    </row>
    <row r="222" spans="1:2" x14ac:dyDescent="0.2">
      <c r="A222" t="s">
        <v>2467</v>
      </c>
      <c r="B222">
        <v>0</v>
      </c>
    </row>
    <row r="223" spans="1:2" x14ac:dyDescent="0.2">
      <c r="A223" t="s">
        <v>2468</v>
      </c>
      <c r="B223">
        <v>0</v>
      </c>
    </row>
    <row r="224" spans="1:2" x14ac:dyDescent="0.2">
      <c r="A224" t="s">
        <v>2469</v>
      </c>
      <c r="B224">
        <v>0</v>
      </c>
    </row>
    <row r="225" spans="1:2" x14ac:dyDescent="0.2">
      <c r="A225" t="s">
        <v>2470</v>
      </c>
      <c r="B225">
        <v>0</v>
      </c>
    </row>
    <row r="226" spans="1:2" x14ac:dyDescent="0.2">
      <c r="A226" t="s">
        <v>2471</v>
      </c>
      <c r="B226">
        <v>0</v>
      </c>
    </row>
    <row r="227" spans="1:2" x14ac:dyDescent="0.2">
      <c r="A227" t="s">
        <v>2472</v>
      </c>
      <c r="B227">
        <v>0</v>
      </c>
    </row>
    <row r="228" spans="1:2" x14ac:dyDescent="0.2">
      <c r="A228" t="s">
        <v>2473</v>
      </c>
      <c r="B228">
        <v>0</v>
      </c>
    </row>
    <row r="229" spans="1:2" x14ac:dyDescent="0.2">
      <c r="A229" t="s">
        <v>2474</v>
      </c>
      <c r="B229">
        <v>0</v>
      </c>
    </row>
    <row r="230" spans="1:2" x14ac:dyDescent="0.2">
      <c r="A230" t="s">
        <v>2475</v>
      </c>
      <c r="B230">
        <v>0</v>
      </c>
    </row>
    <row r="231" spans="1:2" x14ac:dyDescent="0.2">
      <c r="A231" t="s">
        <v>2476</v>
      </c>
      <c r="B231">
        <v>0</v>
      </c>
    </row>
    <row r="232" spans="1:2" x14ac:dyDescent="0.2">
      <c r="A232" t="s">
        <v>2477</v>
      </c>
      <c r="B232">
        <v>0</v>
      </c>
    </row>
    <row r="233" spans="1:2" x14ac:dyDescent="0.2">
      <c r="A233" t="s">
        <v>2478</v>
      </c>
      <c r="B233">
        <v>0</v>
      </c>
    </row>
    <row r="234" spans="1:2" x14ac:dyDescent="0.2">
      <c r="A234" t="s">
        <v>2479</v>
      </c>
      <c r="B234">
        <v>0</v>
      </c>
    </row>
    <row r="235" spans="1:2" x14ac:dyDescent="0.2">
      <c r="A235" t="s">
        <v>2480</v>
      </c>
      <c r="B235">
        <v>0</v>
      </c>
    </row>
    <row r="236" spans="1:2" x14ac:dyDescent="0.2">
      <c r="A236" t="s">
        <v>2481</v>
      </c>
      <c r="B236">
        <v>0</v>
      </c>
    </row>
    <row r="237" spans="1:2" x14ac:dyDescent="0.2">
      <c r="A237" t="s">
        <v>2482</v>
      </c>
      <c r="B237">
        <v>0</v>
      </c>
    </row>
    <row r="238" spans="1:2" x14ac:dyDescent="0.2">
      <c r="A238" t="s">
        <v>2483</v>
      </c>
      <c r="B238">
        <v>0</v>
      </c>
    </row>
    <row r="239" spans="1:2" x14ac:dyDescent="0.2">
      <c r="A239" t="s">
        <v>2484</v>
      </c>
      <c r="B239">
        <v>0</v>
      </c>
    </row>
    <row r="240" spans="1:2" x14ac:dyDescent="0.2">
      <c r="A240" t="s">
        <v>2485</v>
      </c>
      <c r="B240">
        <v>0</v>
      </c>
    </row>
    <row r="241" spans="1:2" x14ac:dyDescent="0.2">
      <c r="A241" t="s">
        <v>2486</v>
      </c>
      <c r="B241">
        <v>0</v>
      </c>
    </row>
    <row r="242" spans="1:2" x14ac:dyDescent="0.2">
      <c r="A242" t="s">
        <v>2487</v>
      </c>
      <c r="B242">
        <v>0</v>
      </c>
    </row>
    <row r="243" spans="1:2" x14ac:dyDescent="0.2">
      <c r="A243" t="s">
        <v>2488</v>
      </c>
      <c r="B243">
        <v>0</v>
      </c>
    </row>
    <row r="244" spans="1:2" x14ac:dyDescent="0.2">
      <c r="A244" t="s">
        <v>2489</v>
      </c>
      <c r="B244">
        <v>0</v>
      </c>
    </row>
    <row r="245" spans="1:2" x14ac:dyDescent="0.2">
      <c r="A245" t="s">
        <v>2490</v>
      </c>
      <c r="B245">
        <v>0</v>
      </c>
    </row>
    <row r="246" spans="1:2" x14ac:dyDescent="0.2">
      <c r="A246" t="s">
        <v>2491</v>
      </c>
      <c r="B246">
        <v>0</v>
      </c>
    </row>
    <row r="247" spans="1:2" x14ac:dyDescent="0.2">
      <c r="A247" t="s">
        <v>2522</v>
      </c>
      <c r="B247">
        <v>0</v>
      </c>
    </row>
    <row r="248" spans="1:2" x14ac:dyDescent="0.2">
      <c r="A248" t="s">
        <v>2523</v>
      </c>
      <c r="B248">
        <v>0</v>
      </c>
    </row>
    <row r="249" spans="1:2" x14ac:dyDescent="0.2">
      <c r="A249" t="s">
        <v>2524</v>
      </c>
      <c r="B249">
        <v>0</v>
      </c>
    </row>
    <row r="250" spans="1:2" x14ac:dyDescent="0.2">
      <c r="A250" t="s">
        <v>2525</v>
      </c>
      <c r="B250">
        <v>0</v>
      </c>
    </row>
    <row r="251" spans="1:2" x14ac:dyDescent="0.2">
      <c r="A251" t="s">
        <v>2526</v>
      </c>
      <c r="B251">
        <v>0</v>
      </c>
    </row>
    <row r="252" spans="1:2" x14ac:dyDescent="0.2">
      <c r="A252" t="s">
        <v>2527</v>
      </c>
      <c r="B252">
        <v>0</v>
      </c>
    </row>
    <row r="253" spans="1:2" x14ac:dyDescent="0.2">
      <c r="A253" t="s">
        <v>2528</v>
      </c>
      <c r="B253">
        <v>0</v>
      </c>
    </row>
    <row r="254" spans="1:2" x14ac:dyDescent="0.2">
      <c r="A254" t="s">
        <v>2529</v>
      </c>
      <c r="B254">
        <v>0</v>
      </c>
    </row>
    <row r="255" spans="1:2" x14ac:dyDescent="0.2">
      <c r="A255" t="s">
        <v>2530</v>
      </c>
      <c r="B255">
        <v>0</v>
      </c>
    </row>
    <row r="256" spans="1:2" x14ac:dyDescent="0.2">
      <c r="A256" t="s">
        <v>2531</v>
      </c>
      <c r="B256">
        <v>0</v>
      </c>
    </row>
    <row r="257" spans="1:2" x14ac:dyDescent="0.2">
      <c r="A257" t="s">
        <v>2532</v>
      </c>
      <c r="B257">
        <v>0</v>
      </c>
    </row>
    <row r="258" spans="1:2" x14ac:dyDescent="0.2">
      <c r="A258" t="s">
        <v>2533</v>
      </c>
      <c r="B258">
        <v>0</v>
      </c>
    </row>
    <row r="259" spans="1:2" x14ac:dyDescent="0.2">
      <c r="A259" t="s">
        <v>2534</v>
      </c>
      <c r="B259">
        <v>0</v>
      </c>
    </row>
    <row r="260" spans="1:2" x14ac:dyDescent="0.2">
      <c r="A260" t="s">
        <v>2535</v>
      </c>
      <c r="B260">
        <v>0</v>
      </c>
    </row>
    <row r="261" spans="1:2" x14ac:dyDescent="0.2">
      <c r="A261" t="s">
        <v>2536</v>
      </c>
      <c r="B261">
        <v>0</v>
      </c>
    </row>
    <row r="262" spans="1:2" x14ac:dyDescent="0.2">
      <c r="A262" t="s">
        <v>2537</v>
      </c>
      <c r="B262">
        <v>0</v>
      </c>
    </row>
    <row r="263" spans="1:2" x14ac:dyDescent="0.2">
      <c r="A263" t="s">
        <v>2538</v>
      </c>
      <c r="B263">
        <v>0</v>
      </c>
    </row>
    <row r="264" spans="1:2" x14ac:dyDescent="0.2">
      <c r="A264" t="s">
        <v>2539</v>
      </c>
      <c r="B264">
        <v>0</v>
      </c>
    </row>
    <row r="265" spans="1:2" x14ac:dyDescent="0.2">
      <c r="A265" t="s">
        <v>2540</v>
      </c>
      <c r="B265">
        <v>0</v>
      </c>
    </row>
    <row r="266" spans="1:2" x14ac:dyDescent="0.2">
      <c r="A266" t="s">
        <v>2541</v>
      </c>
      <c r="B266">
        <v>0</v>
      </c>
    </row>
    <row r="267" spans="1:2" x14ac:dyDescent="0.2">
      <c r="A267" t="s">
        <v>2542</v>
      </c>
      <c r="B267">
        <v>0</v>
      </c>
    </row>
    <row r="268" spans="1:2" x14ac:dyDescent="0.2">
      <c r="A268" t="s">
        <v>2543</v>
      </c>
      <c r="B268">
        <v>0</v>
      </c>
    </row>
    <row r="269" spans="1:2" x14ac:dyDescent="0.2">
      <c r="A269" t="s">
        <v>2544</v>
      </c>
      <c r="B269">
        <v>0</v>
      </c>
    </row>
    <row r="270" spans="1:2" x14ac:dyDescent="0.2">
      <c r="A270" t="s">
        <v>2545</v>
      </c>
      <c r="B270">
        <v>0</v>
      </c>
    </row>
    <row r="271" spans="1:2" x14ac:dyDescent="0.2">
      <c r="A271" t="s">
        <v>2546</v>
      </c>
      <c r="B271">
        <v>0</v>
      </c>
    </row>
    <row r="272" spans="1:2" x14ac:dyDescent="0.2">
      <c r="A272" t="s">
        <v>2547</v>
      </c>
      <c r="B272">
        <v>0</v>
      </c>
    </row>
    <row r="273" spans="1:2" x14ac:dyDescent="0.2">
      <c r="A273" t="s">
        <v>2548</v>
      </c>
      <c r="B273">
        <v>0</v>
      </c>
    </row>
    <row r="274" spans="1:2" x14ac:dyDescent="0.2">
      <c r="A274" t="s">
        <v>2549</v>
      </c>
      <c r="B274">
        <v>0</v>
      </c>
    </row>
    <row r="275" spans="1:2" x14ac:dyDescent="0.2">
      <c r="A275" t="s">
        <v>2550</v>
      </c>
      <c r="B275">
        <v>0</v>
      </c>
    </row>
    <row r="276" spans="1:2" x14ac:dyDescent="0.2">
      <c r="A276" t="s">
        <v>2551</v>
      </c>
      <c r="B276">
        <v>0</v>
      </c>
    </row>
    <row r="277" spans="1:2" x14ac:dyDescent="0.2">
      <c r="A277" t="s">
        <v>2552</v>
      </c>
      <c r="B277" t="s">
        <v>4694</v>
      </c>
    </row>
    <row r="278" spans="1:2" x14ac:dyDescent="0.2">
      <c r="A278" t="s">
        <v>2553</v>
      </c>
      <c r="B278" t="s">
        <v>4694</v>
      </c>
    </row>
    <row r="279" spans="1:2" x14ac:dyDescent="0.2">
      <c r="A279" t="s">
        <v>2554</v>
      </c>
      <c r="B279" t="s">
        <v>4694</v>
      </c>
    </row>
    <row r="280" spans="1:2" x14ac:dyDescent="0.2">
      <c r="A280" t="s">
        <v>2555</v>
      </c>
      <c r="B280" t="s">
        <v>4694</v>
      </c>
    </row>
    <row r="281" spans="1:2" x14ac:dyDescent="0.2">
      <c r="A281" t="s">
        <v>2556</v>
      </c>
      <c r="B281" t="s">
        <v>4694</v>
      </c>
    </row>
    <row r="282" spans="1:2" x14ac:dyDescent="0.2">
      <c r="A282" t="s">
        <v>2557</v>
      </c>
      <c r="B282" t="s">
        <v>4694</v>
      </c>
    </row>
    <row r="283" spans="1:2" x14ac:dyDescent="0.2">
      <c r="A283" t="s">
        <v>2558</v>
      </c>
      <c r="B283" t="s">
        <v>4694</v>
      </c>
    </row>
    <row r="284" spans="1:2" x14ac:dyDescent="0.2">
      <c r="A284" t="s">
        <v>2559</v>
      </c>
      <c r="B284" t="s">
        <v>4694</v>
      </c>
    </row>
    <row r="285" spans="1:2" x14ac:dyDescent="0.2">
      <c r="A285" t="s">
        <v>2560</v>
      </c>
      <c r="B285" t="s">
        <v>4694</v>
      </c>
    </row>
    <row r="286" spans="1:2" x14ac:dyDescent="0.2">
      <c r="A286" t="s">
        <v>2561</v>
      </c>
      <c r="B286" t="s">
        <v>4694</v>
      </c>
    </row>
    <row r="287" spans="1:2" x14ac:dyDescent="0.2">
      <c r="A287" t="s">
        <v>2562</v>
      </c>
      <c r="B287" t="s">
        <v>4694</v>
      </c>
    </row>
    <row r="288" spans="1:2" x14ac:dyDescent="0.2">
      <c r="A288" t="s">
        <v>2563</v>
      </c>
      <c r="B288" t="s">
        <v>4694</v>
      </c>
    </row>
    <row r="289" spans="1:2" x14ac:dyDescent="0.2">
      <c r="A289" t="s">
        <v>2564</v>
      </c>
      <c r="B289" t="s">
        <v>4694</v>
      </c>
    </row>
    <row r="290" spans="1:2" x14ac:dyDescent="0.2">
      <c r="A290" t="s">
        <v>2565</v>
      </c>
      <c r="B290" t="s">
        <v>4694</v>
      </c>
    </row>
    <row r="291" spans="1:2" x14ac:dyDescent="0.2">
      <c r="A291" t="s">
        <v>2566</v>
      </c>
      <c r="B291" t="s">
        <v>4694</v>
      </c>
    </row>
    <row r="292" spans="1:2" x14ac:dyDescent="0.2">
      <c r="A292" t="s">
        <v>2567</v>
      </c>
      <c r="B292" t="s">
        <v>4694</v>
      </c>
    </row>
    <row r="293" spans="1:2" x14ac:dyDescent="0.2">
      <c r="A293" t="s">
        <v>2568</v>
      </c>
      <c r="B293" t="s">
        <v>4694</v>
      </c>
    </row>
    <row r="294" spans="1:2" x14ac:dyDescent="0.2">
      <c r="A294" t="s">
        <v>2569</v>
      </c>
      <c r="B294" t="s">
        <v>4694</v>
      </c>
    </row>
    <row r="295" spans="1:2" x14ac:dyDescent="0.2">
      <c r="A295" t="s">
        <v>2570</v>
      </c>
      <c r="B295" t="s">
        <v>4694</v>
      </c>
    </row>
    <row r="296" spans="1:2" x14ac:dyDescent="0.2">
      <c r="A296" t="s">
        <v>2571</v>
      </c>
      <c r="B296" t="s">
        <v>4694</v>
      </c>
    </row>
    <row r="297" spans="1:2" x14ac:dyDescent="0.2">
      <c r="A297" t="s">
        <v>2572</v>
      </c>
      <c r="B297" t="s">
        <v>4694</v>
      </c>
    </row>
    <row r="298" spans="1:2" x14ac:dyDescent="0.2">
      <c r="A298" t="s">
        <v>2573</v>
      </c>
      <c r="B298" t="s">
        <v>4694</v>
      </c>
    </row>
    <row r="299" spans="1:2" x14ac:dyDescent="0.2">
      <c r="A299" t="s">
        <v>2574</v>
      </c>
      <c r="B299" t="s">
        <v>4694</v>
      </c>
    </row>
    <row r="300" spans="1:2" x14ac:dyDescent="0.2">
      <c r="A300" t="s">
        <v>2575</v>
      </c>
      <c r="B300" t="s">
        <v>4694</v>
      </c>
    </row>
    <row r="301" spans="1:2" x14ac:dyDescent="0.2">
      <c r="A301" t="s">
        <v>2576</v>
      </c>
      <c r="B301" t="s">
        <v>4694</v>
      </c>
    </row>
    <row r="302" spans="1:2" x14ac:dyDescent="0.2">
      <c r="A302" t="s">
        <v>2577</v>
      </c>
      <c r="B302" t="s">
        <v>4694</v>
      </c>
    </row>
    <row r="303" spans="1:2" x14ac:dyDescent="0.2">
      <c r="A303" t="s">
        <v>2578</v>
      </c>
      <c r="B303" t="s">
        <v>4694</v>
      </c>
    </row>
    <row r="304" spans="1:2" x14ac:dyDescent="0.2">
      <c r="A304" t="s">
        <v>2579</v>
      </c>
      <c r="B304" t="s">
        <v>4694</v>
      </c>
    </row>
    <row r="305" spans="1:2" x14ac:dyDescent="0.2">
      <c r="A305" t="s">
        <v>2580</v>
      </c>
      <c r="B305" t="s">
        <v>4694</v>
      </c>
    </row>
    <row r="306" spans="1:2" x14ac:dyDescent="0.2">
      <c r="A306" t="s">
        <v>2581</v>
      </c>
      <c r="B306" t="s">
        <v>4694</v>
      </c>
    </row>
    <row r="307" spans="1:2" x14ac:dyDescent="0.2">
      <c r="A307" t="s">
        <v>4541</v>
      </c>
      <c r="B307" t="b">
        <v>0</v>
      </c>
    </row>
    <row r="308" spans="1:2" x14ac:dyDescent="0.2">
      <c r="A308" t="s">
        <v>4542</v>
      </c>
      <c r="B308" t="b">
        <v>0</v>
      </c>
    </row>
    <row r="309" spans="1:2" x14ac:dyDescent="0.2">
      <c r="A309" t="s">
        <v>4543</v>
      </c>
      <c r="B309" t="b">
        <v>0</v>
      </c>
    </row>
    <row r="310" spans="1:2" x14ac:dyDescent="0.2">
      <c r="A310" t="s">
        <v>4544</v>
      </c>
      <c r="B310" t="b">
        <v>0</v>
      </c>
    </row>
    <row r="311" spans="1:2" x14ac:dyDescent="0.2">
      <c r="A311" t="s">
        <v>4545</v>
      </c>
      <c r="B311" t="b">
        <v>0</v>
      </c>
    </row>
    <row r="312" spans="1:2" x14ac:dyDescent="0.2">
      <c r="A312" t="s">
        <v>4546</v>
      </c>
      <c r="B312" t="b">
        <v>0</v>
      </c>
    </row>
    <row r="313" spans="1:2" x14ac:dyDescent="0.2">
      <c r="A313" t="s">
        <v>4547</v>
      </c>
      <c r="B313" t="b">
        <v>0</v>
      </c>
    </row>
    <row r="314" spans="1:2" x14ac:dyDescent="0.2">
      <c r="A314" t="s">
        <v>4548</v>
      </c>
      <c r="B314" t="b">
        <v>0</v>
      </c>
    </row>
    <row r="315" spans="1:2" x14ac:dyDescent="0.2">
      <c r="A315" t="s">
        <v>4549</v>
      </c>
      <c r="B315" t="b">
        <v>0</v>
      </c>
    </row>
    <row r="316" spans="1:2" x14ac:dyDescent="0.2">
      <c r="A316" t="s">
        <v>4550</v>
      </c>
      <c r="B316" t="b">
        <v>0</v>
      </c>
    </row>
    <row r="317" spans="1:2" x14ac:dyDescent="0.2">
      <c r="A317" t="s">
        <v>4551</v>
      </c>
      <c r="B317" t="b">
        <v>0</v>
      </c>
    </row>
    <row r="318" spans="1:2" x14ac:dyDescent="0.2">
      <c r="A318" t="s">
        <v>4552</v>
      </c>
      <c r="B318" t="b">
        <v>0</v>
      </c>
    </row>
    <row r="319" spans="1:2" x14ac:dyDescent="0.2">
      <c r="A319" t="s">
        <v>4553</v>
      </c>
      <c r="B319" t="b">
        <v>0</v>
      </c>
    </row>
    <row r="320" spans="1:2" x14ac:dyDescent="0.2">
      <c r="A320" t="s">
        <v>4554</v>
      </c>
      <c r="B320" t="b">
        <v>0</v>
      </c>
    </row>
    <row r="321" spans="1:2" x14ac:dyDescent="0.2">
      <c r="A321" t="s">
        <v>4555</v>
      </c>
      <c r="B321" t="b">
        <v>0</v>
      </c>
    </row>
    <row r="322" spans="1:2" x14ac:dyDescent="0.2">
      <c r="A322" t="s">
        <v>4556</v>
      </c>
      <c r="B322" t="b">
        <v>0</v>
      </c>
    </row>
    <row r="323" spans="1:2" x14ac:dyDescent="0.2">
      <c r="A323" t="s">
        <v>4557</v>
      </c>
      <c r="B323" t="b">
        <v>0</v>
      </c>
    </row>
    <row r="324" spans="1:2" x14ac:dyDescent="0.2">
      <c r="A324" t="s">
        <v>4558</v>
      </c>
      <c r="B324" t="b">
        <v>0</v>
      </c>
    </row>
    <row r="325" spans="1:2" x14ac:dyDescent="0.2">
      <c r="A325" t="s">
        <v>4559</v>
      </c>
      <c r="B325" t="b">
        <v>0</v>
      </c>
    </row>
    <row r="326" spans="1:2" x14ac:dyDescent="0.2">
      <c r="A326" t="s">
        <v>4560</v>
      </c>
      <c r="B326" t="b">
        <v>0</v>
      </c>
    </row>
    <row r="327" spans="1:2" x14ac:dyDescent="0.2">
      <c r="A327" t="s">
        <v>4561</v>
      </c>
      <c r="B327" t="b">
        <v>0</v>
      </c>
    </row>
    <row r="328" spans="1:2" x14ac:dyDescent="0.2">
      <c r="A328" t="s">
        <v>4562</v>
      </c>
      <c r="B328" t="b">
        <v>0</v>
      </c>
    </row>
    <row r="329" spans="1:2" x14ac:dyDescent="0.2">
      <c r="A329" t="s">
        <v>4563</v>
      </c>
      <c r="B329" t="b">
        <v>0</v>
      </c>
    </row>
    <row r="330" spans="1:2" x14ac:dyDescent="0.2">
      <c r="A330" t="s">
        <v>4564</v>
      </c>
      <c r="B330" t="b">
        <v>0</v>
      </c>
    </row>
    <row r="331" spans="1:2" x14ac:dyDescent="0.2">
      <c r="A331" t="s">
        <v>4565</v>
      </c>
      <c r="B331" t="b">
        <v>0</v>
      </c>
    </row>
    <row r="332" spans="1:2" x14ac:dyDescent="0.2">
      <c r="A332" t="s">
        <v>4566</v>
      </c>
      <c r="B332" t="b">
        <v>0</v>
      </c>
    </row>
    <row r="333" spans="1:2" x14ac:dyDescent="0.2">
      <c r="A333" t="s">
        <v>4567</v>
      </c>
      <c r="B333" t="b">
        <v>0</v>
      </c>
    </row>
    <row r="334" spans="1:2" x14ac:dyDescent="0.2">
      <c r="A334" t="s">
        <v>4568</v>
      </c>
      <c r="B334" t="b">
        <v>0</v>
      </c>
    </row>
    <row r="335" spans="1:2" x14ac:dyDescent="0.2">
      <c r="A335" t="s">
        <v>4569</v>
      </c>
      <c r="B335" t="b">
        <v>0</v>
      </c>
    </row>
    <row r="336" spans="1:2" x14ac:dyDescent="0.2">
      <c r="A336" t="s">
        <v>4570</v>
      </c>
      <c r="B336" t="b">
        <v>0</v>
      </c>
    </row>
    <row r="337" spans="1:2" x14ac:dyDescent="0.2">
      <c r="A337" t="s">
        <v>4571</v>
      </c>
      <c r="B337" t="s">
        <v>4694</v>
      </c>
    </row>
    <row r="338" spans="1:2" x14ac:dyDescent="0.2">
      <c r="A338" t="s">
        <v>4572</v>
      </c>
      <c r="B338" t="s">
        <v>4694</v>
      </c>
    </row>
    <row r="339" spans="1:2" x14ac:dyDescent="0.2">
      <c r="A339" t="s">
        <v>4573</v>
      </c>
      <c r="B339" t="s">
        <v>4694</v>
      </c>
    </row>
    <row r="340" spans="1:2" x14ac:dyDescent="0.2">
      <c r="A340" t="s">
        <v>4574</v>
      </c>
      <c r="B340" t="s">
        <v>4694</v>
      </c>
    </row>
    <row r="341" spans="1:2" x14ac:dyDescent="0.2">
      <c r="A341" t="s">
        <v>4575</v>
      </c>
      <c r="B341" t="s">
        <v>4694</v>
      </c>
    </row>
    <row r="342" spans="1:2" x14ac:dyDescent="0.2">
      <c r="A342" t="s">
        <v>4576</v>
      </c>
      <c r="B342" t="s">
        <v>4694</v>
      </c>
    </row>
    <row r="343" spans="1:2" x14ac:dyDescent="0.2">
      <c r="A343" t="s">
        <v>4577</v>
      </c>
      <c r="B343" t="s">
        <v>4694</v>
      </c>
    </row>
    <row r="344" spans="1:2" x14ac:dyDescent="0.2">
      <c r="A344" t="s">
        <v>4578</v>
      </c>
      <c r="B344" t="s">
        <v>4694</v>
      </c>
    </row>
    <row r="345" spans="1:2" x14ac:dyDescent="0.2">
      <c r="A345" t="s">
        <v>4579</v>
      </c>
      <c r="B345" t="s">
        <v>4694</v>
      </c>
    </row>
    <row r="346" spans="1:2" x14ac:dyDescent="0.2">
      <c r="A346" t="s">
        <v>4580</v>
      </c>
      <c r="B346" t="s">
        <v>4694</v>
      </c>
    </row>
    <row r="347" spans="1:2" x14ac:dyDescent="0.2">
      <c r="A347" t="s">
        <v>4581</v>
      </c>
      <c r="B347" t="s">
        <v>4694</v>
      </c>
    </row>
    <row r="348" spans="1:2" x14ac:dyDescent="0.2">
      <c r="A348" t="s">
        <v>4582</v>
      </c>
      <c r="B348" t="s">
        <v>4694</v>
      </c>
    </row>
    <row r="349" spans="1:2" x14ac:dyDescent="0.2">
      <c r="A349" t="s">
        <v>4583</v>
      </c>
      <c r="B349" t="s">
        <v>4694</v>
      </c>
    </row>
    <row r="350" spans="1:2" x14ac:dyDescent="0.2">
      <c r="A350" t="s">
        <v>4584</v>
      </c>
      <c r="B350" t="s">
        <v>4694</v>
      </c>
    </row>
    <row r="351" spans="1:2" x14ac:dyDescent="0.2">
      <c r="A351" t="s">
        <v>4585</v>
      </c>
      <c r="B351" t="s">
        <v>4694</v>
      </c>
    </row>
    <row r="352" spans="1:2" x14ac:dyDescent="0.2">
      <c r="A352" t="s">
        <v>4586</v>
      </c>
      <c r="B352" t="s">
        <v>4694</v>
      </c>
    </row>
    <row r="353" spans="1:2" x14ac:dyDescent="0.2">
      <c r="A353" t="s">
        <v>4587</v>
      </c>
      <c r="B353" t="s">
        <v>4694</v>
      </c>
    </row>
    <row r="354" spans="1:2" x14ac:dyDescent="0.2">
      <c r="A354" t="s">
        <v>4588</v>
      </c>
      <c r="B354" t="s">
        <v>4694</v>
      </c>
    </row>
    <row r="355" spans="1:2" x14ac:dyDescent="0.2">
      <c r="A355" t="s">
        <v>4589</v>
      </c>
      <c r="B355" t="s">
        <v>4694</v>
      </c>
    </row>
    <row r="356" spans="1:2" x14ac:dyDescent="0.2">
      <c r="A356" t="s">
        <v>4590</v>
      </c>
      <c r="B356" t="s">
        <v>4694</v>
      </c>
    </row>
    <row r="357" spans="1:2" x14ac:dyDescent="0.2">
      <c r="A357" t="s">
        <v>4591</v>
      </c>
      <c r="B357" t="s">
        <v>4694</v>
      </c>
    </row>
    <row r="358" spans="1:2" x14ac:dyDescent="0.2">
      <c r="A358" t="s">
        <v>4592</v>
      </c>
      <c r="B358" t="s">
        <v>4694</v>
      </c>
    </row>
    <row r="359" spans="1:2" x14ac:dyDescent="0.2">
      <c r="A359" t="s">
        <v>4593</v>
      </c>
      <c r="B359" t="s">
        <v>4694</v>
      </c>
    </row>
    <row r="360" spans="1:2" x14ac:dyDescent="0.2">
      <c r="A360" t="s">
        <v>4594</v>
      </c>
      <c r="B360" t="s">
        <v>4694</v>
      </c>
    </row>
    <row r="361" spans="1:2" x14ac:dyDescent="0.2">
      <c r="A361" t="s">
        <v>4595</v>
      </c>
      <c r="B361" t="s">
        <v>4694</v>
      </c>
    </row>
    <row r="362" spans="1:2" x14ac:dyDescent="0.2">
      <c r="A362" t="s">
        <v>4596</v>
      </c>
      <c r="B362" t="s">
        <v>4694</v>
      </c>
    </row>
    <row r="363" spans="1:2" x14ac:dyDescent="0.2">
      <c r="A363" t="s">
        <v>4597</v>
      </c>
      <c r="B363" t="s">
        <v>4694</v>
      </c>
    </row>
    <row r="364" spans="1:2" x14ac:dyDescent="0.2">
      <c r="A364" t="s">
        <v>4598</v>
      </c>
      <c r="B364" t="s">
        <v>4694</v>
      </c>
    </row>
    <row r="365" spans="1:2" x14ac:dyDescent="0.2">
      <c r="A365" t="s">
        <v>4599</v>
      </c>
      <c r="B365" t="s">
        <v>4694</v>
      </c>
    </row>
    <row r="366" spans="1:2" x14ac:dyDescent="0.2">
      <c r="A366" t="s">
        <v>4600</v>
      </c>
      <c r="B366" t="s">
        <v>4694</v>
      </c>
    </row>
    <row r="367" spans="1:2" x14ac:dyDescent="0.2">
      <c r="A367" t="s">
        <v>2582</v>
      </c>
      <c r="B367">
        <v>0</v>
      </c>
    </row>
    <row r="368" spans="1:2" x14ac:dyDescent="0.2">
      <c r="A368" t="s">
        <v>2583</v>
      </c>
      <c r="B368">
        <v>0</v>
      </c>
    </row>
    <row r="369" spans="1:2" x14ac:dyDescent="0.2">
      <c r="A369" t="s">
        <v>2584</v>
      </c>
      <c r="B369">
        <v>0</v>
      </c>
    </row>
    <row r="370" spans="1:2" x14ac:dyDescent="0.2">
      <c r="A370" t="s">
        <v>2585</v>
      </c>
      <c r="B370">
        <v>0</v>
      </c>
    </row>
    <row r="371" spans="1:2" x14ac:dyDescent="0.2">
      <c r="A371" t="s">
        <v>2586</v>
      </c>
      <c r="B371">
        <v>0</v>
      </c>
    </row>
    <row r="372" spans="1:2" x14ac:dyDescent="0.2">
      <c r="A372" t="s">
        <v>2587</v>
      </c>
      <c r="B372">
        <v>0</v>
      </c>
    </row>
    <row r="373" spans="1:2" x14ac:dyDescent="0.2">
      <c r="A373" t="s">
        <v>2588</v>
      </c>
      <c r="B373">
        <v>0</v>
      </c>
    </row>
    <row r="374" spans="1:2" x14ac:dyDescent="0.2">
      <c r="A374" t="s">
        <v>2589</v>
      </c>
      <c r="B374">
        <v>0</v>
      </c>
    </row>
    <row r="375" spans="1:2" x14ac:dyDescent="0.2">
      <c r="A375" t="s">
        <v>2590</v>
      </c>
      <c r="B375">
        <v>0</v>
      </c>
    </row>
    <row r="376" spans="1:2" x14ac:dyDescent="0.2">
      <c r="A376" t="s">
        <v>2591</v>
      </c>
      <c r="B376">
        <v>0</v>
      </c>
    </row>
    <row r="377" spans="1:2" x14ac:dyDescent="0.2">
      <c r="A377" t="s">
        <v>2592</v>
      </c>
      <c r="B377">
        <v>0</v>
      </c>
    </row>
    <row r="378" spans="1:2" x14ac:dyDescent="0.2">
      <c r="A378" t="s">
        <v>2593</v>
      </c>
      <c r="B378">
        <v>0</v>
      </c>
    </row>
    <row r="379" spans="1:2" x14ac:dyDescent="0.2">
      <c r="A379" t="s">
        <v>2594</v>
      </c>
      <c r="B379">
        <v>0</v>
      </c>
    </row>
    <row r="380" spans="1:2" x14ac:dyDescent="0.2">
      <c r="A380" t="s">
        <v>2595</v>
      </c>
      <c r="B380">
        <v>0</v>
      </c>
    </row>
    <row r="381" spans="1:2" x14ac:dyDescent="0.2">
      <c r="A381" t="s">
        <v>2596</v>
      </c>
      <c r="B381">
        <v>0</v>
      </c>
    </row>
    <row r="382" spans="1:2" x14ac:dyDescent="0.2">
      <c r="A382" t="s">
        <v>2597</v>
      </c>
      <c r="B382">
        <v>0</v>
      </c>
    </row>
    <row r="383" spans="1:2" x14ac:dyDescent="0.2">
      <c r="A383" t="s">
        <v>2598</v>
      </c>
      <c r="B383">
        <v>0</v>
      </c>
    </row>
    <row r="384" spans="1:2" x14ac:dyDescent="0.2">
      <c r="A384" t="s">
        <v>2599</v>
      </c>
      <c r="B384">
        <v>0</v>
      </c>
    </row>
    <row r="385" spans="1:2" x14ac:dyDescent="0.2">
      <c r="A385" t="s">
        <v>2600</v>
      </c>
      <c r="B385">
        <v>0</v>
      </c>
    </row>
    <row r="386" spans="1:2" x14ac:dyDescent="0.2">
      <c r="A386" t="s">
        <v>2601</v>
      </c>
      <c r="B386">
        <v>0</v>
      </c>
    </row>
    <row r="387" spans="1:2" x14ac:dyDescent="0.2">
      <c r="A387" t="s">
        <v>2602</v>
      </c>
      <c r="B387">
        <v>0</v>
      </c>
    </row>
    <row r="388" spans="1:2" x14ac:dyDescent="0.2">
      <c r="A388" t="s">
        <v>2603</v>
      </c>
      <c r="B388">
        <v>0</v>
      </c>
    </row>
    <row r="389" spans="1:2" x14ac:dyDescent="0.2">
      <c r="A389" t="s">
        <v>2604</v>
      </c>
      <c r="B389">
        <v>0</v>
      </c>
    </row>
    <row r="390" spans="1:2" x14ac:dyDescent="0.2">
      <c r="A390" t="s">
        <v>2605</v>
      </c>
      <c r="B390">
        <v>0</v>
      </c>
    </row>
    <row r="391" spans="1:2" x14ac:dyDescent="0.2">
      <c r="A391" t="s">
        <v>2606</v>
      </c>
      <c r="B391">
        <v>0</v>
      </c>
    </row>
    <row r="392" spans="1:2" x14ac:dyDescent="0.2">
      <c r="A392" t="s">
        <v>2607</v>
      </c>
      <c r="B392">
        <v>0</v>
      </c>
    </row>
    <row r="393" spans="1:2" x14ac:dyDescent="0.2">
      <c r="A393" t="s">
        <v>2608</v>
      </c>
      <c r="B393">
        <v>0</v>
      </c>
    </row>
    <row r="394" spans="1:2" x14ac:dyDescent="0.2">
      <c r="A394" t="s">
        <v>2609</v>
      </c>
      <c r="B394">
        <v>0</v>
      </c>
    </row>
    <row r="395" spans="1:2" x14ac:dyDescent="0.2">
      <c r="A395" t="s">
        <v>2610</v>
      </c>
      <c r="B395">
        <v>0</v>
      </c>
    </row>
    <row r="396" spans="1:2" x14ac:dyDescent="0.2">
      <c r="A396" t="s">
        <v>2611</v>
      </c>
      <c r="B396">
        <v>0</v>
      </c>
    </row>
    <row r="397" spans="1:2" x14ac:dyDescent="0.2">
      <c r="A397" t="s">
        <v>2612</v>
      </c>
      <c r="B397">
        <v>0</v>
      </c>
    </row>
    <row r="398" spans="1:2" x14ac:dyDescent="0.2">
      <c r="A398" t="s">
        <v>2613</v>
      </c>
      <c r="B398">
        <v>0</v>
      </c>
    </row>
    <row r="399" spans="1:2" x14ac:dyDescent="0.2">
      <c r="A399" t="s">
        <v>2614</v>
      </c>
      <c r="B399">
        <v>0</v>
      </c>
    </row>
    <row r="400" spans="1:2" x14ac:dyDescent="0.2">
      <c r="A400" t="s">
        <v>2615</v>
      </c>
      <c r="B400">
        <v>0</v>
      </c>
    </row>
    <row r="401" spans="1:2" x14ac:dyDescent="0.2">
      <c r="A401" t="s">
        <v>2616</v>
      </c>
      <c r="B401">
        <v>0</v>
      </c>
    </row>
    <row r="402" spans="1:2" x14ac:dyDescent="0.2">
      <c r="A402" t="s">
        <v>2617</v>
      </c>
      <c r="B402">
        <v>0</v>
      </c>
    </row>
    <row r="403" spans="1:2" x14ac:dyDescent="0.2">
      <c r="A403" t="s">
        <v>2618</v>
      </c>
      <c r="B403">
        <v>0</v>
      </c>
    </row>
    <row r="404" spans="1:2" x14ac:dyDescent="0.2">
      <c r="A404" t="s">
        <v>2619</v>
      </c>
      <c r="B404">
        <v>0</v>
      </c>
    </row>
    <row r="405" spans="1:2" x14ac:dyDescent="0.2">
      <c r="A405" t="s">
        <v>2620</v>
      </c>
      <c r="B405">
        <v>0</v>
      </c>
    </row>
    <row r="406" spans="1:2" x14ac:dyDescent="0.2">
      <c r="A406" t="s">
        <v>2621</v>
      </c>
      <c r="B406">
        <v>0</v>
      </c>
    </row>
    <row r="407" spans="1:2" x14ac:dyDescent="0.2">
      <c r="A407" t="s">
        <v>2622</v>
      </c>
      <c r="B407">
        <v>0</v>
      </c>
    </row>
    <row r="408" spans="1:2" x14ac:dyDescent="0.2">
      <c r="A408" t="s">
        <v>2623</v>
      </c>
      <c r="B408">
        <v>0</v>
      </c>
    </row>
    <row r="409" spans="1:2" x14ac:dyDescent="0.2">
      <c r="A409" t="s">
        <v>2624</v>
      </c>
      <c r="B409">
        <v>0</v>
      </c>
    </row>
    <row r="410" spans="1:2" x14ac:dyDescent="0.2">
      <c r="A410" t="s">
        <v>2625</v>
      </c>
      <c r="B410">
        <v>0</v>
      </c>
    </row>
    <row r="411" spans="1:2" x14ac:dyDescent="0.2">
      <c r="A411" t="s">
        <v>2626</v>
      </c>
      <c r="B411">
        <v>0</v>
      </c>
    </row>
    <row r="412" spans="1:2" x14ac:dyDescent="0.2">
      <c r="A412" t="s">
        <v>2627</v>
      </c>
      <c r="B412">
        <v>0</v>
      </c>
    </row>
    <row r="413" spans="1:2" x14ac:dyDescent="0.2">
      <c r="A413" t="s">
        <v>2628</v>
      </c>
      <c r="B413">
        <v>0</v>
      </c>
    </row>
    <row r="414" spans="1:2" x14ac:dyDescent="0.2">
      <c r="A414" t="s">
        <v>2629</v>
      </c>
      <c r="B414">
        <v>0</v>
      </c>
    </row>
    <row r="415" spans="1:2" x14ac:dyDescent="0.2">
      <c r="A415" t="s">
        <v>2630</v>
      </c>
      <c r="B415">
        <v>0</v>
      </c>
    </row>
    <row r="416" spans="1:2" x14ac:dyDescent="0.2">
      <c r="A416" t="s">
        <v>2631</v>
      </c>
      <c r="B416">
        <v>0</v>
      </c>
    </row>
    <row r="417" spans="1:2" x14ac:dyDescent="0.2">
      <c r="A417" t="s">
        <v>2632</v>
      </c>
      <c r="B417">
        <v>0</v>
      </c>
    </row>
    <row r="418" spans="1:2" x14ac:dyDescent="0.2">
      <c r="A418" t="s">
        <v>2633</v>
      </c>
      <c r="B418">
        <v>0</v>
      </c>
    </row>
    <row r="419" spans="1:2" x14ac:dyDescent="0.2">
      <c r="A419" t="s">
        <v>2634</v>
      </c>
      <c r="B419">
        <v>0</v>
      </c>
    </row>
    <row r="420" spans="1:2" x14ac:dyDescent="0.2">
      <c r="A420" t="s">
        <v>2635</v>
      </c>
      <c r="B420">
        <v>0</v>
      </c>
    </row>
    <row r="421" spans="1:2" x14ac:dyDescent="0.2">
      <c r="A421" t="s">
        <v>2636</v>
      </c>
      <c r="B421">
        <v>0</v>
      </c>
    </row>
    <row r="422" spans="1:2" x14ac:dyDescent="0.2">
      <c r="A422" t="s">
        <v>2637</v>
      </c>
      <c r="B422">
        <v>0</v>
      </c>
    </row>
    <row r="423" spans="1:2" x14ac:dyDescent="0.2">
      <c r="A423" t="s">
        <v>2638</v>
      </c>
      <c r="B423">
        <v>0</v>
      </c>
    </row>
    <row r="424" spans="1:2" x14ac:dyDescent="0.2">
      <c r="A424" t="s">
        <v>2639</v>
      </c>
      <c r="B424">
        <v>0</v>
      </c>
    </row>
    <row r="425" spans="1:2" x14ac:dyDescent="0.2">
      <c r="A425" t="s">
        <v>2640</v>
      </c>
      <c r="B425">
        <v>0</v>
      </c>
    </row>
    <row r="426" spans="1:2" x14ac:dyDescent="0.2">
      <c r="A426" t="s">
        <v>2641</v>
      </c>
      <c r="B426">
        <v>0</v>
      </c>
    </row>
    <row r="427" spans="1:2" x14ac:dyDescent="0.2">
      <c r="A427" t="s">
        <v>2642</v>
      </c>
      <c r="B427" t="s">
        <v>4694</v>
      </c>
    </row>
    <row r="428" spans="1:2" x14ac:dyDescent="0.2">
      <c r="A428" t="s">
        <v>2643</v>
      </c>
      <c r="B428" t="s">
        <v>4694</v>
      </c>
    </row>
    <row r="429" spans="1:2" x14ac:dyDescent="0.2">
      <c r="A429" t="s">
        <v>2644</v>
      </c>
      <c r="B429" t="s">
        <v>4694</v>
      </c>
    </row>
    <row r="430" spans="1:2" x14ac:dyDescent="0.2">
      <c r="A430" t="s">
        <v>2645</v>
      </c>
      <c r="B430" t="s">
        <v>4694</v>
      </c>
    </row>
    <row r="431" spans="1:2" x14ac:dyDescent="0.2">
      <c r="A431" t="s">
        <v>2646</v>
      </c>
      <c r="B431" t="s">
        <v>4694</v>
      </c>
    </row>
    <row r="432" spans="1:2" x14ac:dyDescent="0.2">
      <c r="A432" t="s">
        <v>2647</v>
      </c>
      <c r="B432" t="s">
        <v>4694</v>
      </c>
    </row>
    <row r="433" spans="1:2" x14ac:dyDescent="0.2">
      <c r="A433" t="s">
        <v>2648</v>
      </c>
      <c r="B433" t="s">
        <v>4694</v>
      </c>
    </row>
    <row r="434" spans="1:2" x14ac:dyDescent="0.2">
      <c r="A434" t="s">
        <v>2649</v>
      </c>
      <c r="B434" t="s">
        <v>4694</v>
      </c>
    </row>
    <row r="435" spans="1:2" x14ac:dyDescent="0.2">
      <c r="A435" t="s">
        <v>2650</v>
      </c>
      <c r="B435" t="s">
        <v>4694</v>
      </c>
    </row>
    <row r="436" spans="1:2" x14ac:dyDescent="0.2">
      <c r="A436" t="s">
        <v>2651</v>
      </c>
      <c r="B436" t="s">
        <v>4694</v>
      </c>
    </row>
    <row r="437" spans="1:2" x14ac:dyDescent="0.2">
      <c r="A437" t="s">
        <v>2652</v>
      </c>
      <c r="B437" t="s">
        <v>4694</v>
      </c>
    </row>
    <row r="438" spans="1:2" x14ac:dyDescent="0.2">
      <c r="A438" t="s">
        <v>2653</v>
      </c>
      <c r="B438" t="s">
        <v>4694</v>
      </c>
    </row>
    <row r="439" spans="1:2" x14ac:dyDescent="0.2">
      <c r="A439" t="s">
        <v>2654</v>
      </c>
      <c r="B439" t="s">
        <v>4694</v>
      </c>
    </row>
    <row r="440" spans="1:2" x14ac:dyDescent="0.2">
      <c r="A440" t="s">
        <v>2655</v>
      </c>
      <c r="B440" t="s">
        <v>4694</v>
      </c>
    </row>
    <row r="441" spans="1:2" x14ac:dyDescent="0.2">
      <c r="A441" t="s">
        <v>2656</v>
      </c>
      <c r="B441" t="s">
        <v>4694</v>
      </c>
    </row>
    <row r="442" spans="1:2" x14ac:dyDescent="0.2">
      <c r="A442" t="s">
        <v>2657</v>
      </c>
      <c r="B442" t="s">
        <v>4694</v>
      </c>
    </row>
    <row r="443" spans="1:2" x14ac:dyDescent="0.2">
      <c r="A443" t="s">
        <v>2658</v>
      </c>
      <c r="B443" t="s">
        <v>4694</v>
      </c>
    </row>
    <row r="444" spans="1:2" x14ac:dyDescent="0.2">
      <c r="A444" t="s">
        <v>2659</v>
      </c>
      <c r="B444" t="s">
        <v>4694</v>
      </c>
    </row>
    <row r="445" spans="1:2" x14ac:dyDescent="0.2">
      <c r="A445" t="s">
        <v>2660</v>
      </c>
      <c r="B445" t="s">
        <v>4694</v>
      </c>
    </row>
    <row r="446" spans="1:2" x14ac:dyDescent="0.2">
      <c r="A446" t="s">
        <v>2661</v>
      </c>
      <c r="B446" t="s">
        <v>4694</v>
      </c>
    </row>
    <row r="447" spans="1:2" x14ac:dyDescent="0.2">
      <c r="A447" t="s">
        <v>2662</v>
      </c>
      <c r="B447" t="s">
        <v>4694</v>
      </c>
    </row>
    <row r="448" spans="1:2" x14ac:dyDescent="0.2">
      <c r="A448" t="s">
        <v>2663</v>
      </c>
      <c r="B448" t="s">
        <v>4694</v>
      </c>
    </row>
    <row r="449" spans="1:2" x14ac:dyDescent="0.2">
      <c r="A449" t="s">
        <v>2664</v>
      </c>
      <c r="B449" t="s">
        <v>4694</v>
      </c>
    </row>
    <row r="450" spans="1:2" x14ac:dyDescent="0.2">
      <c r="A450" t="s">
        <v>2665</v>
      </c>
      <c r="B450" t="s">
        <v>4694</v>
      </c>
    </row>
    <row r="451" spans="1:2" x14ac:dyDescent="0.2">
      <c r="A451" t="s">
        <v>2666</v>
      </c>
      <c r="B451" t="s">
        <v>4694</v>
      </c>
    </row>
    <row r="452" spans="1:2" x14ac:dyDescent="0.2">
      <c r="A452" t="s">
        <v>2667</v>
      </c>
      <c r="B452" t="s">
        <v>4694</v>
      </c>
    </row>
    <row r="453" spans="1:2" x14ac:dyDescent="0.2">
      <c r="A453" t="s">
        <v>2668</v>
      </c>
      <c r="B453" t="s">
        <v>4694</v>
      </c>
    </row>
    <row r="454" spans="1:2" x14ac:dyDescent="0.2">
      <c r="A454" t="s">
        <v>2669</v>
      </c>
      <c r="B454" t="s">
        <v>4694</v>
      </c>
    </row>
    <row r="455" spans="1:2" x14ac:dyDescent="0.2">
      <c r="A455" t="s">
        <v>2670</v>
      </c>
      <c r="B455" t="s">
        <v>4694</v>
      </c>
    </row>
    <row r="456" spans="1:2" x14ac:dyDescent="0.2">
      <c r="A456" t="s">
        <v>2671</v>
      </c>
      <c r="B456" t="s">
        <v>4694</v>
      </c>
    </row>
    <row r="457" spans="1:2" x14ac:dyDescent="0.2">
      <c r="A457" t="s">
        <v>2672</v>
      </c>
      <c r="B457">
        <v>1</v>
      </c>
    </row>
    <row r="458" spans="1:2" x14ac:dyDescent="0.2">
      <c r="A458" t="s">
        <v>2673</v>
      </c>
      <c r="B458">
        <v>1</v>
      </c>
    </row>
    <row r="459" spans="1:2" x14ac:dyDescent="0.2">
      <c r="A459" t="s">
        <v>2674</v>
      </c>
      <c r="B459">
        <v>1</v>
      </c>
    </row>
    <row r="460" spans="1:2" x14ac:dyDescent="0.2">
      <c r="A460" t="s">
        <v>2675</v>
      </c>
      <c r="B460">
        <v>1</v>
      </c>
    </row>
    <row r="461" spans="1:2" x14ac:dyDescent="0.2">
      <c r="A461" t="s">
        <v>2676</v>
      </c>
      <c r="B461">
        <v>1</v>
      </c>
    </row>
    <row r="462" spans="1:2" x14ac:dyDescent="0.2">
      <c r="A462" t="s">
        <v>2677</v>
      </c>
      <c r="B462">
        <v>1</v>
      </c>
    </row>
    <row r="463" spans="1:2" x14ac:dyDescent="0.2">
      <c r="A463" t="s">
        <v>2678</v>
      </c>
      <c r="B463">
        <v>1</v>
      </c>
    </row>
    <row r="464" spans="1:2" x14ac:dyDescent="0.2">
      <c r="A464" t="s">
        <v>2679</v>
      </c>
      <c r="B464">
        <v>1</v>
      </c>
    </row>
    <row r="465" spans="1:2" x14ac:dyDescent="0.2">
      <c r="A465" t="s">
        <v>2680</v>
      </c>
      <c r="B465">
        <v>1</v>
      </c>
    </row>
    <row r="466" spans="1:2" x14ac:dyDescent="0.2">
      <c r="A466" t="s">
        <v>2681</v>
      </c>
      <c r="B466">
        <v>1</v>
      </c>
    </row>
    <row r="467" spans="1:2" x14ac:dyDescent="0.2">
      <c r="A467" t="s">
        <v>2682</v>
      </c>
      <c r="B467">
        <v>1</v>
      </c>
    </row>
    <row r="468" spans="1:2" x14ac:dyDescent="0.2">
      <c r="A468" t="s">
        <v>2683</v>
      </c>
      <c r="B468">
        <v>1</v>
      </c>
    </row>
    <row r="469" spans="1:2" x14ac:dyDescent="0.2">
      <c r="A469" t="s">
        <v>2684</v>
      </c>
      <c r="B469">
        <v>1</v>
      </c>
    </row>
    <row r="470" spans="1:2" x14ac:dyDescent="0.2">
      <c r="A470" t="s">
        <v>2685</v>
      </c>
      <c r="B470">
        <v>1</v>
      </c>
    </row>
    <row r="471" spans="1:2" x14ac:dyDescent="0.2">
      <c r="A471" t="s">
        <v>2686</v>
      </c>
      <c r="B471">
        <v>1</v>
      </c>
    </row>
    <row r="472" spans="1:2" x14ac:dyDescent="0.2">
      <c r="A472" t="s">
        <v>2687</v>
      </c>
      <c r="B472">
        <v>1</v>
      </c>
    </row>
    <row r="473" spans="1:2" x14ac:dyDescent="0.2">
      <c r="A473" t="s">
        <v>2688</v>
      </c>
      <c r="B473">
        <v>1</v>
      </c>
    </row>
    <row r="474" spans="1:2" x14ac:dyDescent="0.2">
      <c r="A474" t="s">
        <v>2689</v>
      </c>
      <c r="B474">
        <v>1</v>
      </c>
    </row>
    <row r="475" spans="1:2" x14ac:dyDescent="0.2">
      <c r="A475" t="s">
        <v>2690</v>
      </c>
      <c r="B475">
        <v>1</v>
      </c>
    </row>
    <row r="476" spans="1:2" x14ac:dyDescent="0.2">
      <c r="A476" t="s">
        <v>2691</v>
      </c>
      <c r="B476">
        <v>1</v>
      </c>
    </row>
    <row r="477" spans="1:2" x14ac:dyDescent="0.2">
      <c r="A477" t="s">
        <v>2692</v>
      </c>
      <c r="B477">
        <v>1</v>
      </c>
    </row>
    <row r="478" spans="1:2" x14ac:dyDescent="0.2">
      <c r="A478" t="s">
        <v>2693</v>
      </c>
      <c r="B478">
        <v>1</v>
      </c>
    </row>
    <row r="479" spans="1:2" x14ac:dyDescent="0.2">
      <c r="A479" t="s">
        <v>2694</v>
      </c>
      <c r="B479">
        <v>1</v>
      </c>
    </row>
    <row r="480" spans="1:2" x14ac:dyDescent="0.2">
      <c r="A480" t="s">
        <v>2695</v>
      </c>
      <c r="B480">
        <v>1</v>
      </c>
    </row>
    <row r="481" spans="1:2" x14ac:dyDescent="0.2">
      <c r="A481" t="s">
        <v>2696</v>
      </c>
      <c r="B481">
        <v>1</v>
      </c>
    </row>
    <row r="482" spans="1:2" x14ac:dyDescent="0.2">
      <c r="A482" t="s">
        <v>2697</v>
      </c>
      <c r="B482">
        <v>1</v>
      </c>
    </row>
    <row r="483" spans="1:2" x14ac:dyDescent="0.2">
      <c r="A483" t="s">
        <v>2698</v>
      </c>
      <c r="B483">
        <v>1</v>
      </c>
    </row>
    <row r="484" spans="1:2" x14ac:dyDescent="0.2">
      <c r="A484" t="s">
        <v>2699</v>
      </c>
      <c r="B484">
        <v>1</v>
      </c>
    </row>
    <row r="485" spans="1:2" x14ac:dyDescent="0.2">
      <c r="A485" t="s">
        <v>2700</v>
      </c>
      <c r="B485">
        <v>1</v>
      </c>
    </row>
    <row r="486" spans="1:2" x14ac:dyDescent="0.2">
      <c r="A486" t="s">
        <v>2701</v>
      </c>
      <c r="B486">
        <v>1</v>
      </c>
    </row>
    <row r="487" spans="1:2" x14ac:dyDescent="0.2">
      <c r="A487" t="s">
        <v>2702</v>
      </c>
      <c r="B487" t="s">
        <v>4694</v>
      </c>
    </row>
    <row r="488" spans="1:2" x14ac:dyDescent="0.2">
      <c r="A488" t="s">
        <v>2703</v>
      </c>
      <c r="B488" t="s">
        <v>4694</v>
      </c>
    </row>
    <row r="489" spans="1:2" x14ac:dyDescent="0.2">
      <c r="A489" t="s">
        <v>2704</v>
      </c>
      <c r="B489" t="s">
        <v>4694</v>
      </c>
    </row>
    <row r="490" spans="1:2" x14ac:dyDescent="0.2">
      <c r="A490" t="s">
        <v>2705</v>
      </c>
      <c r="B490" t="s">
        <v>4694</v>
      </c>
    </row>
    <row r="491" spans="1:2" x14ac:dyDescent="0.2">
      <c r="A491" t="s">
        <v>2706</v>
      </c>
      <c r="B491" t="s">
        <v>4694</v>
      </c>
    </row>
    <row r="492" spans="1:2" x14ac:dyDescent="0.2">
      <c r="A492" t="s">
        <v>2707</v>
      </c>
      <c r="B492" t="s">
        <v>4694</v>
      </c>
    </row>
    <row r="493" spans="1:2" x14ac:dyDescent="0.2">
      <c r="A493" t="s">
        <v>2708</v>
      </c>
      <c r="B493" t="s">
        <v>4694</v>
      </c>
    </row>
    <row r="494" spans="1:2" x14ac:dyDescent="0.2">
      <c r="A494" t="s">
        <v>2709</v>
      </c>
      <c r="B494" t="s">
        <v>4694</v>
      </c>
    </row>
    <row r="495" spans="1:2" x14ac:dyDescent="0.2">
      <c r="A495" t="s">
        <v>2710</v>
      </c>
      <c r="B495" t="s">
        <v>4694</v>
      </c>
    </row>
    <row r="496" spans="1:2" x14ac:dyDescent="0.2">
      <c r="A496" t="s">
        <v>2711</v>
      </c>
      <c r="B496" t="s">
        <v>4694</v>
      </c>
    </row>
    <row r="497" spans="1:2" x14ac:dyDescent="0.2">
      <c r="A497" t="s">
        <v>2712</v>
      </c>
      <c r="B497" t="s">
        <v>4694</v>
      </c>
    </row>
    <row r="498" spans="1:2" x14ac:dyDescent="0.2">
      <c r="A498" t="s">
        <v>2713</v>
      </c>
      <c r="B498" t="s">
        <v>4694</v>
      </c>
    </row>
    <row r="499" spans="1:2" x14ac:dyDescent="0.2">
      <c r="A499" t="s">
        <v>2714</v>
      </c>
      <c r="B499" t="s">
        <v>4694</v>
      </c>
    </row>
    <row r="500" spans="1:2" x14ac:dyDescent="0.2">
      <c r="A500" t="s">
        <v>2715</v>
      </c>
      <c r="B500" t="s">
        <v>4694</v>
      </c>
    </row>
    <row r="501" spans="1:2" x14ac:dyDescent="0.2">
      <c r="A501" t="s">
        <v>2716</v>
      </c>
      <c r="B501" t="s">
        <v>4694</v>
      </c>
    </row>
    <row r="502" spans="1:2" x14ac:dyDescent="0.2">
      <c r="A502" t="s">
        <v>2717</v>
      </c>
      <c r="B502" t="s">
        <v>4694</v>
      </c>
    </row>
    <row r="503" spans="1:2" x14ac:dyDescent="0.2">
      <c r="A503" t="s">
        <v>2718</v>
      </c>
      <c r="B503" t="s">
        <v>4694</v>
      </c>
    </row>
    <row r="504" spans="1:2" x14ac:dyDescent="0.2">
      <c r="A504" t="s">
        <v>2719</v>
      </c>
      <c r="B504" t="s">
        <v>4694</v>
      </c>
    </row>
    <row r="505" spans="1:2" x14ac:dyDescent="0.2">
      <c r="A505" t="s">
        <v>2720</v>
      </c>
      <c r="B505" t="s">
        <v>4694</v>
      </c>
    </row>
    <row r="506" spans="1:2" x14ac:dyDescent="0.2">
      <c r="A506" t="s">
        <v>2721</v>
      </c>
      <c r="B506" t="s">
        <v>4694</v>
      </c>
    </row>
    <row r="507" spans="1:2" x14ac:dyDescent="0.2">
      <c r="A507" t="s">
        <v>2722</v>
      </c>
      <c r="B507" t="s">
        <v>4694</v>
      </c>
    </row>
    <row r="508" spans="1:2" x14ac:dyDescent="0.2">
      <c r="A508" t="s">
        <v>2723</v>
      </c>
      <c r="B508" t="s">
        <v>4694</v>
      </c>
    </row>
    <row r="509" spans="1:2" x14ac:dyDescent="0.2">
      <c r="A509" t="s">
        <v>2724</v>
      </c>
      <c r="B509" t="s">
        <v>4694</v>
      </c>
    </row>
    <row r="510" spans="1:2" x14ac:dyDescent="0.2">
      <c r="A510" t="s">
        <v>2725</v>
      </c>
      <c r="B510" t="s">
        <v>4694</v>
      </c>
    </row>
    <row r="511" spans="1:2" x14ac:dyDescent="0.2">
      <c r="A511" t="s">
        <v>2726</v>
      </c>
      <c r="B511" t="s">
        <v>4694</v>
      </c>
    </row>
    <row r="512" spans="1:2" x14ac:dyDescent="0.2">
      <c r="A512" t="s">
        <v>2727</v>
      </c>
      <c r="B512" t="s">
        <v>4694</v>
      </c>
    </row>
    <row r="513" spans="1:2" x14ac:dyDescent="0.2">
      <c r="A513" t="s">
        <v>2728</v>
      </c>
      <c r="B513" t="s">
        <v>4694</v>
      </c>
    </row>
    <row r="514" spans="1:2" x14ac:dyDescent="0.2">
      <c r="A514" t="s">
        <v>2729</v>
      </c>
      <c r="B514" t="s">
        <v>4694</v>
      </c>
    </row>
    <row r="515" spans="1:2" x14ac:dyDescent="0.2">
      <c r="A515" t="s">
        <v>2730</v>
      </c>
      <c r="B515" t="s">
        <v>4694</v>
      </c>
    </row>
    <row r="516" spans="1:2" x14ac:dyDescent="0.2">
      <c r="A516" t="s">
        <v>2731</v>
      </c>
      <c r="B516" t="s">
        <v>4694</v>
      </c>
    </row>
    <row r="517" spans="1:2" x14ac:dyDescent="0.2">
      <c r="A517" t="s">
        <v>4638</v>
      </c>
      <c r="B517" t="s">
        <v>4694</v>
      </c>
    </row>
    <row r="518" spans="1:2" x14ac:dyDescent="0.2">
      <c r="A518" t="s">
        <v>4639</v>
      </c>
      <c r="B518" t="s">
        <v>4694</v>
      </c>
    </row>
    <row r="519" spans="1:2" x14ac:dyDescent="0.2">
      <c r="A519" t="s">
        <v>4640</v>
      </c>
      <c r="B519" t="s">
        <v>4694</v>
      </c>
    </row>
    <row r="520" spans="1:2" x14ac:dyDescent="0.2">
      <c r="A520" t="s">
        <v>4641</v>
      </c>
      <c r="B520" t="s">
        <v>4694</v>
      </c>
    </row>
    <row r="521" spans="1:2" x14ac:dyDescent="0.2">
      <c r="A521" t="s">
        <v>4642</v>
      </c>
      <c r="B521" t="s">
        <v>4694</v>
      </c>
    </row>
    <row r="522" spans="1:2" x14ac:dyDescent="0.2">
      <c r="A522" t="s">
        <v>4643</v>
      </c>
      <c r="B522" t="s">
        <v>4694</v>
      </c>
    </row>
    <row r="523" spans="1:2" x14ac:dyDescent="0.2">
      <c r="A523" t="s">
        <v>4644</v>
      </c>
      <c r="B523" t="s">
        <v>4694</v>
      </c>
    </row>
    <row r="524" spans="1:2" x14ac:dyDescent="0.2">
      <c r="A524" t="s">
        <v>4645</v>
      </c>
      <c r="B524" t="s">
        <v>4694</v>
      </c>
    </row>
    <row r="525" spans="1:2" x14ac:dyDescent="0.2">
      <c r="A525" t="s">
        <v>4646</v>
      </c>
      <c r="B525" t="s">
        <v>4694</v>
      </c>
    </row>
    <row r="526" spans="1:2" x14ac:dyDescent="0.2">
      <c r="A526" t="s">
        <v>4647</v>
      </c>
      <c r="B526" t="s">
        <v>4694</v>
      </c>
    </row>
    <row r="527" spans="1:2" x14ac:dyDescent="0.2">
      <c r="A527" t="s">
        <v>4648</v>
      </c>
      <c r="B527" t="s">
        <v>4694</v>
      </c>
    </row>
    <row r="528" spans="1:2" x14ac:dyDescent="0.2">
      <c r="A528" t="s">
        <v>4649</v>
      </c>
      <c r="B528" t="s">
        <v>4694</v>
      </c>
    </row>
    <row r="529" spans="1:2" x14ac:dyDescent="0.2">
      <c r="A529" t="s">
        <v>4650</v>
      </c>
      <c r="B529" t="s">
        <v>4694</v>
      </c>
    </row>
    <row r="530" spans="1:2" x14ac:dyDescent="0.2">
      <c r="A530" t="s">
        <v>4651</v>
      </c>
      <c r="B530" t="s">
        <v>4694</v>
      </c>
    </row>
    <row r="531" spans="1:2" x14ac:dyDescent="0.2">
      <c r="A531" t="s">
        <v>4652</v>
      </c>
      <c r="B531" t="s">
        <v>4694</v>
      </c>
    </row>
    <row r="532" spans="1:2" x14ac:dyDescent="0.2">
      <c r="A532" t="s">
        <v>4653</v>
      </c>
      <c r="B532" t="s">
        <v>4694</v>
      </c>
    </row>
    <row r="533" spans="1:2" x14ac:dyDescent="0.2">
      <c r="A533" t="s">
        <v>4654</v>
      </c>
      <c r="B533" t="s">
        <v>4694</v>
      </c>
    </row>
    <row r="534" spans="1:2" x14ac:dyDescent="0.2">
      <c r="A534" t="s">
        <v>4655</v>
      </c>
      <c r="B534" t="s">
        <v>4694</v>
      </c>
    </row>
    <row r="535" spans="1:2" x14ac:dyDescent="0.2">
      <c r="A535" t="s">
        <v>4656</v>
      </c>
      <c r="B535" t="s">
        <v>4694</v>
      </c>
    </row>
    <row r="536" spans="1:2" x14ac:dyDescent="0.2">
      <c r="A536" t="s">
        <v>4657</v>
      </c>
      <c r="B536" t="s">
        <v>4694</v>
      </c>
    </row>
    <row r="537" spans="1:2" x14ac:dyDescent="0.2">
      <c r="A537" t="s">
        <v>4658</v>
      </c>
      <c r="B537" t="s">
        <v>4694</v>
      </c>
    </row>
    <row r="538" spans="1:2" x14ac:dyDescent="0.2">
      <c r="A538" t="s">
        <v>4659</v>
      </c>
      <c r="B538" t="s">
        <v>4694</v>
      </c>
    </row>
    <row r="539" spans="1:2" x14ac:dyDescent="0.2">
      <c r="A539" t="s">
        <v>4660</v>
      </c>
      <c r="B539" t="s">
        <v>4694</v>
      </c>
    </row>
    <row r="540" spans="1:2" x14ac:dyDescent="0.2">
      <c r="A540" t="s">
        <v>4661</v>
      </c>
      <c r="B540" t="s">
        <v>4694</v>
      </c>
    </row>
    <row r="541" spans="1:2" x14ac:dyDescent="0.2">
      <c r="A541" t="s">
        <v>4662</v>
      </c>
      <c r="B541" t="s">
        <v>4694</v>
      </c>
    </row>
    <row r="542" spans="1:2" x14ac:dyDescent="0.2">
      <c r="A542" t="s">
        <v>4663</v>
      </c>
      <c r="B542" t="s">
        <v>4694</v>
      </c>
    </row>
    <row r="543" spans="1:2" x14ac:dyDescent="0.2">
      <c r="A543" t="s">
        <v>4664</v>
      </c>
      <c r="B543" t="s">
        <v>4694</v>
      </c>
    </row>
    <row r="544" spans="1:2" x14ac:dyDescent="0.2">
      <c r="A544" t="s">
        <v>4665</v>
      </c>
      <c r="B544" t="s">
        <v>4694</v>
      </c>
    </row>
    <row r="545" spans="1:2" x14ac:dyDescent="0.2">
      <c r="A545" t="s">
        <v>4666</v>
      </c>
      <c r="B545" t="s">
        <v>4694</v>
      </c>
    </row>
    <row r="546" spans="1:2" x14ac:dyDescent="0.2">
      <c r="A546" t="s">
        <v>4667</v>
      </c>
      <c r="B546" t="s">
        <v>4694</v>
      </c>
    </row>
    <row r="547" spans="1:2" x14ac:dyDescent="0.2">
      <c r="A547" t="s">
        <v>2761</v>
      </c>
      <c r="B547">
        <v>0</v>
      </c>
    </row>
    <row r="548" spans="1:2" x14ac:dyDescent="0.2">
      <c r="A548" t="s">
        <v>2763</v>
      </c>
      <c r="B548" t="s">
        <v>4694</v>
      </c>
    </row>
    <row r="549" spans="1:2" x14ac:dyDescent="0.2">
      <c r="A549" t="s">
        <v>2765</v>
      </c>
      <c r="B549">
        <v>5000</v>
      </c>
    </row>
    <row r="550" spans="1:2" x14ac:dyDescent="0.2">
      <c r="A550" t="s">
        <v>2766</v>
      </c>
      <c r="B550">
        <v>1</v>
      </c>
    </row>
    <row r="551" spans="1:2" x14ac:dyDescent="0.2">
      <c r="A551" t="s">
        <v>2768</v>
      </c>
      <c r="B551">
        <v>0</v>
      </c>
    </row>
    <row r="552" spans="1:2" x14ac:dyDescent="0.2">
      <c r="A552" t="s">
        <v>2771</v>
      </c>
      <c r="B552">
        <v>0</v>
      </c>
    </row>
    <row r="553" spans="1:2" x14ac:dyDescent="0.2">
      <c r="A553" t="s">
        <v>2772</v>
      </c>
      <c r="B553">
        <v>0</v>
      </c>
    </row>
    <row r="554" spans="1:2" x14ac:dyDescent="0.2">
      <c r="A554" t="s">
        <v>2774</v>
      </c>
      <c r="B554">
        <v>0</v>
      </c>
    </row>
    <row r="555" spans="1:2" x14ac:dyDescent="0.2">
      <c r="A555" t="s">
        <v>2777</v>
      </c>
      <c r="B555">
        <v>0</v>
      </c>
    </row>
    <row r="556" spans="1:2" x14ac:dyDescent="0.2">
      <c r="A556" t="s">
        <v>2778</v>
      </c>
      <c r="B556">
        <v>0</v>
      </c>
    </row>
    <row r="557" spans="1:2" x14ac:dyDescent="0.2">
      <c r="A557" t="s">
        <v>2780</v>
      </c>
      <c r="B557">
        <v>5000</v>
      </c>
    </row>
    <row r="558" spans="1:2" x14ac:dyDescent="0.2">
      <c r="A558" t="s">
        <v>2782</v>
      </c>
      <c r="B558">
        <v>5000</v>
      </c>
    </row>
    <row r="559" spans="1:2" x14ac:dyDescent="0.2">
      <c r="A559" t="s">
        <v>2895</v>
      </c>
      <c r="B559">
        <v>0</v>
      </c>
    </row>
    <row r="560" spans="1:2" x14ac:dyDescent="0.2">
      <c r="A560" t="s">
        <v>2784</v>
      </c>
      <c r="B560">
        <v>5000</v>
      </c>
    </row>
    <row r="561" spans="1:2" x14ac:dyDescent="0.2">
      <c r="A561" t="s">
        <v>2794</v>
      </c>
      <c r="B561">
        <v>1</v>
      </c>
    </row>
    <row r="562" spans="1:2" x14ac:dyDescent="0.2">
      <c r="A562" t="s">
        <v>2795</v>
      </c>
      <c r="B562">
        <v>1</v>
      </c>
    </row>
    <row r="563" spans="1:2" x14ac:dyDescent="0.2">
      <c r="A563" t="s">
        <v>2796</v>
      </c>
      <c r="B563">
        <v>1</v>
      </c>
    </row>
    <row r="564" spans="1:2" x14ac:dyDescent="0.2">
      <c r="A564" t="s">
        <v>2797</v>
      </c>
      <c r="B564">
        <v>1</v>
      </c>
    </row>
    <row r="565" spans="1:2" x14ac:dyDescent="0.2">
      <c r="A565" t="s">
        <v>2798</v>
      </c>
      <c r="B565">
        <v>1</v>
      </c>
    </row>
    <row r="566" spans="1:2" x14ac:dyDescent="0.2">
      <c r="A566" t="s">
        <v>2799</v>
      </c>
      <c r="B566">
        <v>1</v>
      </c>
    </row>
    <row r="567" spans="1:2" x14ac:dyDescent="0.2">
      <c r="A567" t="s">
        <v>2800</v>
      </c>
      <c r="B567">
        <v>1</v>
      </c>
    </row>
    <row r="568" spans="1:2" x14ac:dyDescent="0.2">
      <c r="A568" t="s">
        <v>2801</v>
      </c>
      <c r="B568">
        <v>1</v>
      </c>
    </row>
    <row r="569" spans="1:2" x14ac:dyDescent="0.2">
      <c r="A569" t="s">
        <v>2802</v>
      </c>
      <c r="B569">
        <v>1</v>
      </c>
    </row>
    <row r="570" spans="1:2" x14ac:dyDescent="0.2">
      <c r="A570" t="s">
        <v>2812</v>
      </c>
      <c r="B570">
        <v>0</v>
      </c>
    </row>
    <row r="571" spans="1:2" x14ac:dyDescent="0.2">
      <c r="A571" t="s">
        <v>2813</v>
      </c>
      <c r="B571">
        <v>0</v>
      </c>
    </row>
    <row r="572" spans="1:2" x14ac:dyDescent="0.2">
      <c r="A572" t="s">
        <v>2814</v>
      </c>
      <c r="B572">
        <v>0</v>
      </c>
    </row>
    <row r="573" spans="1:2" x14ac:dyDescent="0.2">
      <c r="A573" t="s">
        <v>2815</v>
      </c>
      <c r="B573">
        <v>0</v>
      </c>
    </row>
    <row r="574" spans="1:2" x14ac:dyDescent="0.2">
      <c r="A574" t="s">
        <v>2816</v>
      </c>
      <c r="B574">
        <v>0</v>
      </c>
    </row>
    <row r="575" spans="1:2" x14ac:dyDescent="0.2">
      <c r="A575" t="s">
        <v>2817</v>
      </c>
      <c r="B575">
        <v>0</v>
      </c>
    </row>
    <row r="576" spans="1:2" x14ac:dyDescent="0.2">
      <c r="A576" t="s">
        <v>2818</v>
      </c>
      <c r="B576">
        <v>0</v>
      </c>
    </row>
    <row r="577" spans="1:2" x14ac:dyDescent="0.2">
      <c r="A577" t="s">
        <v>2819</v>
      </c>
      <c r="B577">
        <v>0</v>
      </c>
    </row>
    <row r="578" spans="1:2" x14ac:dyDescent="0.2">
      <c r="A578" t="s">
        <v>2820</v>
      </c>
      <c r="B578">
        <v>0</v>
      </c>
    </row>
    <row r="579" spans="1:2" x14ac:dyDescent="0.2">
      <c r="A579" t="s">
        <v>2823</v>
      </c>
      <c r="B579" t="s">
        <v>4694</v>
      </c>
    </row>
    <row r="580" spans="1:2" x14ac:dyDescent="0.2">
      <c r="A580" t="s">
        <v>2824</v>
      </c>
      <c r="B580" t="s">
        <v>4694</v>
      </c>
    </row>
    <row r="581" spans="1:2" x14ac:dyDescent="0.2">
      <c r="A581" t="s">
        <v>2826</v>
      </c>
      <c r="B581">
        <v>5000</v>
      </c>
    </row>
    <row r="582" spans="1:2" x14ac:dyDescent="0.2">
      <c r="A582" t="s">
        <v>2827</v>
      </c>
      <c r="B582">
        <v>5000</v>
      </c>
    </row>
    <row r="583" spans="1:2" x14ac:dyDescent="0.2">
      <c r="A583" t="s">
        <v>2829</v>
      </c>
      <c r="B583">
        <v>5000</v>
      </c>
    </row>
    <row r="584" spans="1:2" x14ac:dyDescent="0.2">
      <c r="A584" t="s">
        <v>2839</v>
      </c>
      <c r="B584">
        <v>0</v>
      </c>
    </row>
    <row r="585" spans="1:2" x14ac:dyDescent="0.2">
      <c r="A585" t="s">
        <v>2840</v>
      </c>
      <c r="B585">
        <v>0</v>
      </c>
    </row>
    <row r="586" spans="1:2" x14ac:dyDescent="0.2">
      <c r="A586" t="s">
        <v>2841</v>
      </c>
      <c r="B586">
        <v>0</v>
      </c>
    </row>
    <row r="587" spans="1:2" x14ac:dyDescent="0.2">
      <c r="A587" t="s">
        <v>2842</v>
      </c>
      <c r="B587">
        <v>0</v>
      </c>
    </row>
    <row r="588" spans="1:2" x14ac:dyDescent="0.2">
      <c r="A588" t="s">
        <v>2843</v>
      </c>
      <c r="B588">
        <v>0</v>
      </c>
    </row>
    <row r="589" spans="1:2" x14ac:dyDescent="0.2">
      <c r="A589" t="s">
        <v>2844</v>
      </c>
      <c r="B589">
        <v>0</v>
      </c>
    </row>
    <row r="590" spans="1:2" x14ac:dyDescent="0.2">
      <c r="A590" t="s">
        <v>2845</v>
      </c>
      <c r="B590">
        <v>0</v>
      </c>
    </row>
    <row r="591" spans="1:2" x14ac:dyDescent="0.2">
      <c r="A591" t="s">
        <v>2846</v>
      </c>
      <c r="B591">
        <v>0</v>
      </c>
    </row>
    <row r="592" spans="1:2" x14ac:dyDescent="0.2">
      <c r="A592" t="s">
        <v>2847</v>
      </c>
      <c r="B592">
        <v>0</v>
      </c>
    </row>
    <row r="593" spans="1:2" x14ac:dyDescent="0.2">
      <c r="A593" t="s">
        <v>2863</v>
      </c>
      <c r="B593">
        <v>1</v>
      </c>
    </row>
    <row r="594" spans="1:2" x14ac:dyDescent="0.2">
      <c r="A594" t="s">
        <v>2864</v>
      </c>
      <c r="B594">
        <v>1</v>
      </c>
    </row>
    <row r="595" spans="1:2" x14ac:dyDescent="0.2">
      <c r="A595" t="s">
        <v>2865</v>
      </c>
      <c r="B595">
        <v>1</v>
      </c>
    </row>
    <row r="596" spans="1:2" x14ac:dyDescent="0.2">
      <c r="A596" t="s">
        <v>2866</v>
      </c>
      <c r="B596">
        <v>1</v>
      </c>
    </row>
    <row r="597" spans="1:2" x14ac:dyDescent="0.2">
      <c r="A597" t="s">
        <v>2867</v>
      </c>
      <c r="B597">
        <v>1</v>
      </c>
    </row>
    <row r="598" spans="1:2" x14ac:dyDescent="0.2">
      <c r="A598" t="s">
        <v>2868</v>
      </c>
      <c r="B598">
        <v>1</v>
      </c>
    </row>
    <row r="599" spans="1:2" x14ac:dyDescent="0.2">
      <c r="A599" t="s">
        <v>2869</v>
      </c>
      <c r="B599">
        <v>1</v>
      </c>
    </row>
    <row r="600" spans="1:2" x14ac:dyDescent="0.2">
      <c r="A600" t="s">
        <v>2870</v>
      </c>
      <c r="B600">
        <v>1</v>
      </c>
    </row>
    <row r="601" spans="1:2" x14ac:dyDescent="0.2">
      <c r="A601" t="s">
        <v>2871</v>
      </c>
      <c r="B601">
        <v>1</v>
      </c>
    </row>
    <row r="602" spans="1:2" x14ac:dyDescent="0.2">
      <c r="A602" t="s">
        <v>2860</v>
      </c>
      <c r="B602">
        <v>1</v>
      </c>
    </row>
    <row r="603" spans="1:2" x14ac:dyDescent="0.2">
      <c r="A603" t="s">
        <v>2861</v>
      </c>
      <c r="B603">
        <v>1</v>
      </c>
    </row>
    <row r="604" spans="1:2" x14ac:dyDescent="0.2">
      <c r="A604" t="s">
        <v>2862</v>
      </c>
      <c r="B604">
        <v>1</v>
      </c>
    </row>
    <row r="605" spans="1:2" x14ac:dyDescent="0.2">
      <c r="A605" t="s">
        <v>2873</v>
      </c>
      <c r="B605" t="b">
        <v>0</v>
      </c>
    </row>
    <row r="606" spans="1:2" x14ac:dyDescent="0.2">
      <c r="A606" t="s">
        <v>2883</v>
      </c>
      <c r="B606">
        <v>1</v>
      </c>
    </row>
    <row r="607" spans="1:2" x14ac:dyDescent="0.2">
      <c r="A607" t="s">
        <v>2884</v>
      </c>
      <c r="B607">
        <v>1</v>
      </c>
    </row>
    <row r="608" spans="1:2" x14ac:dyDescent="0.2">
      <c r="A608" t="s">
        <v>2885</v>
      </c>
      <c r="B608">
        <v>1</v>
      </c>
    </row>
    <row r="609" spans="1:2" x14ac:dyDescent="0.2">
      <c r="A609" t="s">
        <v>2886</v>
      </c>
      <c r="B609">
        <v>1</v>
      </c>
    </row>
    <row r="610" spans="1:2" x14ac:dyDescent="0.2">
      <c r="A610" t="s">
        <v>2887</v>
      </c>
      <c r="B610">
        <v>1</v>
      </c>
    </row>
    <row r="611" spans="1:2" x14ac:dyDescent="0.2">
      <c r="A611" t="s">
        <v>2888</v>
      </c>
      <c r="B611">
        <v>1</v>
      </c>
    </row>
    <row r="612" spans="1:2" x14ac:dyDescent="0.2">
      <c r="A612" t="s">
        <v>2889</v>
      </c>
      <c r="B612">
        <v>1</v>
      </c>
    </row>
    <row r="613" spans="1:2" x14ac:dyDescent="0.2">
      <c r="A613" t="s">
        <v>2890</v>
      </c>
      <c r="B613">
        <v>1</v>
      </c>
    </row>
    <row r="614" spans="1:2" x14ac:dyDescent="0.2">
      <c r="A614" t="s">
        <v>2891</v>
      </c>
      <c r="B614">
        <v>1</v>
      </c>
    </row>
    <row r="615" spans="1:2" x14ac:dyDescent="0.2">
      <c r="A615" t="s">
        <v>2893</v>
      </c>
      <c r="B615">
        <v>5000</v>
      </c>
    </row>
    <row r="616" spans="1:2" x14ac:dyDescent="0.2">
      <c r="A616" t="s">
        <v>2897</v>
      </c>
      <c r="B616">
        <v>5000</v>
      </c>
    </row>
    <row r="617" spans="1:2" x14ac:dyDescent="0.2">
      <c r="A617" t="s">
        <v>2899</v>
      </c>
      <c r="B617">
        <v>5000</v>
      </c>
    </row>
    <row r="618" spans="1:2" x14ac:dyDescent="0.2">
      <c r="A618" t="s">
        <v>2915</v>
      </c>
      <c r="B618">
        <v>0</v>
      </c>
    </row>
    <row r="619" spans="1:2" x14ac:dyDescent="0.2">
      <c r="A619" t="s">
        <v>2916</v>
      </c>
      <c r="B619">
        <v>0</v>
      </c>
    </row>
    <row r="620" spans="1:2" x14ac:dyDescent="0.2">
      <c r="A620" t="s">
        <v>2917</v>
      </c>
      <c r="B620">
        <v>0</v>
      </c>
    </row>
    <row r="621" spans="1:2" x14ac:dyDescent="0.2">
      <c r="A621" t="s">
        <v>2918</v>
      </c>
      <c r="B621">
        <v>0</v>
      </c>
    </row>
    <row r="622" spans="1:2" x14ac:dyDescent="0.2">
      <c r="A622" t="s">
        <v>2919</v>
      </c>
      <c r="B622">
        <v>0</v>
      </c>
    </row>
    <row r="623" spans="1:2" x14ac:dyDescent="0.2">
      <c r="A623" t="s">
        <v>2920</v>
      </c>
      <c r="B623">
        <v>0</v>
      </c>
    </row>
    <row r="624" spans="1:2" x14ac:dyDescent="0.2">
      <c r="A624" t="s">
        <v>2921</v>
      </c>
      <c r="B624">
        <v>0</v>
      </c>
    </row>
    <row r="625" spans="1:2" x14ac:dyDescent="0.2">
      <c r="A625" t="s">
        <v>2922</v>
      </c>
      <c r="B625">
        <v>0</v>
      </c>
    </row>
    <row r="626" spans="1:2" x14ac:dyDescent="0.2">
      <c r="A626" t="s">
        <v>2923</v>
      </c>
      <c r="B626">
        <v>0</v>
      </c>
    </row>
    <row r="627" spans="1:2" x14ac:dyDescent="0.2">
      <c r="A627" t="s">
        <v>2912</v>
      </c>
      <c r="B627">
        <v>0</v>
      </c>
    </row>
    <row r="628" spans="1:2" x14ac:dyDescent="0.2">
      <c r="A628" t="s">
        <v>2913</v>
      </c>
      <c r="B628">
        <v>0</v>
      </c>
    </row>
    <row r="629" spans="1:2" x14ac:dyDescent="0.2">
      <c r="A629" t="s">
        <v>2914</v>
      </c>
      <c r="B629">
        <v>0</v>
      </c>
    </row>
    <row r="630" spans="1:2" x14ac:dyDescent="0.2">
      <c r="A630" t="s">
        <v>2934</v>
      </c>
      <c r="B630" t="s">
        <v>4694</v>
      </c>
    </row>
    <row r="631" spans="1:2" x14ac:dyDescent="0.2">
      <c r="A631" t="s">
        <v>2944</v>
      </c>
      <c r="B631">
        <v>1</v>
      </c>
    </row>
    <row r="632" spans="1:2" x14ac:dyDescent="0.2">
      <c r="A632" t="s">
        <v>2945</v>
      </c>
      <c r="B632">
        <v>1</v>
      </c>
    </row>
    <row r="633" spans="1:2" x14ac:dyDescent="0.2">
      <c r="A633" t="s">
        <v>2946</v>
      </c>
      <c r="B633">
        <v>1</v>
      </c>
    </row>
    <row r="634" spans="1:2" x14ac:dyDescent="0.2">
      <c r="A634" t="s">
        <v>2947</v>
      </c>
      <c r="B634">
        <v>1</v>
      </c>
    </row>
    <row r="635" spans="1:2" x14ac:dyDescent="0.2">
      <c r="A635" t="s">
        <v>2948</v>
      </c>
      <c r="B635">
        <v>1</v>
      </c>
    </row>
    <row r="636" spans="1:2" x14ac:dyDescent="0.2">
      <c r="A636" t="s">
        <v>2949</v>
      </c>
      <c r="B636">
        <v>1</v>
      </c>
    </row>
    <row r="637" spans="1:2" x14ac:dyDescent="0.2">
      <c r="A637" t="s">
        <v>2950</v>
      </c>
      <c r="B637">
        <v>1</v>
      </c>
    </row>
    <row r="638" spans="1:2" x14ac:dyDescent="0.2">
      <c r="A638" t="s">
        <v>2951</v>
      </c>
      <c r="B638">
        <v>1</v>
      </c>
    </row>
    <row r="639" spans="1:2" x14ac:dyDescent="0.2">
      <c r="A639" t="s">
        <v>2952</v>
      </c>
      <c r="B639">
        <v>1</v>
      </c>
    </row>
    <row r="640" spans="1:2" x14ac:dyDescent="0.2">
      <c r="A640" t="s">
        <v>2746</v>
      </c>
      <c r="B640">
        <v>1</v>
      </c>
    </row>
    <row r="641" spans="1:2" x14ac:dyDescent="0.2">
      <c r="A641" t="s">
        <v>2747</v>
      </c>
      <c r="B641">
        <v>0</v>
      </c>
    </row>
    <row r="642" spans="1:2" x14ac:dyDescent="0.2">
      <c r="A642" t="s">
        <v>2752</v>
      </c>
      <c r="B642">
        <v>0</v>
      </c>
    </row>
    <row r="643" spans="1:2" x14ac:dyDescent="0.2">
      <c r="A643" t="s">
        <v>2753</v>
      </c>
      <c r="B643">
        <v>0</v>
      </c>
    </row>
    <row r="644" spans="1:2" x14ac:dyDescent="0.2">
      <c r="A644" t="s">
        <v>2754</v>
      </c>
      <c r="B644">
        <v>0</v>
      </c>
    </row>
    <row r="645" spans="1:2" x14ac:dyDescent="0.2">
      <c r="A645" t="s">
        <v>2755</v>
      </c>
      <c r="B645">
        <v>0</v>
      </c>
    </row>
    <row r="646" spans="1:2" x14ac:dyDescent="0.2">
      <c r="A646" t="s">
        <v>2756</v>
      </c>
      <c r="B646">
        <v>0</v>
      </c>
    </row>
    <row r="647" spans="1:2" x14ac:dyDescent="0.2">
      <c r="A647" t="s">
        <v>2757</v>
      </c>
      <c r="B647">
        <v>0</v>
      </c>
    </row>
    <row r="648" spans="1:2" x14ac:dyDescent="0.2">
      <c r="A648" t="s">
        <v>2758</v>
      </c>
      <c r="B648">
        <v>0</v>
      </c>
    </row>
    <row r="649" spans="1:2" x14ac:dyDescent="0.2">
      <c r="A649" t="s">
        <v>2759</v>
      </c>
      <c r="B649">
        <v>0</v>
      </c>
    </row>
    <row r="650" spans="1:2" x14ac:dyDescent="0.2">
      <c r="A650" t="s">
        <v>2748</v>
      </c>
      <c r="B650" t="b">
        <v>0</v>
      </c>
    </row>
    <row r="651" spans="1:2" x14ac:dyDescent="0.2">
      <c r="A651" t="s">
        <v>2749</v>
      </c>
      <c r="B651" t="b">
        <v>0</v>
      </c>
    </row>
    <row r="652" spans="1:2" x14ac:dyDescent="0.2">
      <c r="A652" t="s">
        <v>2750</v>
      </c>
      <c r="B652" t="b">
        <v>0</v>
      </c>
    </row>
    <row r="653" spans="1:2" x14ac:dyDescent="0.2">
      <c r="A653" t="s">
        <v>2751</v>
      </c>
      <c r="B653" t="b">
        <v>0</v>
      </c>
    </row>
    <row r="654" spans="1:2" x14ac:dyDescent="0.2">
      <c r="A654" t="s">
        <v>2956</v>
      </c>
      <c r="B654">
        <v>1</v>
      </c>
    </row>
    <row r="655" spans="1:2" x14ac:dyDescent="0.2">
      <c r="A655" t="s">
        <v>2014</v>
      </c>
      <c r="B655" t="b">
        <v>0</v>
      </c>
    </row>
    <row r="656" spans="1:2" x14ac:dyDescent="0.2">
      <c r="A656" t="s">
        <v>2015</v>
      </c>
      <c r="B656" t="b">
        <v>0</v>
      </c>
    </row>
    <row r="657" spans="1:2" x14ac:dyDescent="0.2">
      <c r="A657" t="s">
        <v>2016</v>
      </c>
      <c r="B657" t="b">
        <v>0</v>
      </c>
    </row>
    <row r="658" spans="1:2" x14ac:dyDescent="0.2">
      <c r="A658" t="s">
        <v>2017</v>
      </c>
      <c r="B658" t="b">
        <v>0</v>
      </c>
    </row>
    <row r="659" spans="1:2" x14ac:dyDescent="0.2">
      <c r="A659" t="s">
        <v>2018</v>
      </c>
      <c r="B659" t="b">
        <v>0</v>
      </c>
    </row>
    <row r="660" spans="1:2" x14ac:dyDescent="0.2">
      <c r="A660" t="s">
        <v>2019</v>
      </c>
      <c r="B660" t="b">
        <v>0</v>
      </c>
    </row>
    <row r="661" spans="1:2" x14ac:dyDescent="0.2">
      <c r="A661" t="s">
        <v>2020</v>
      </c>
      <c r="B661" t="b">
        <v>0</v>
      </c>
    </row>
    <row r="662" spans="1:2" x14ac:dyDescent="0.2">
      <c r="A662" t="s">
        <v>2021</v>
      </c>
      <c r="B662" t="b">
        <v>0</v>
      </c>
    </row>
    <row r="663" spans="1:2" x14ac:dyDescent="0.2">
      <c r="A663" t="s">
        <v>2022</v>
      </c>
      <c r="B663" t="b">
        <v>0</v>
      </c>
    </row>
    <row r="664" spans="1:2" x14ac:dyDescent="0.2">
      <c r="A664" t="s">
        <v>2023</v>
      </c>
      <c r="B664" t="b">
        <v>0</v>
      </c>
    </row>
    <row r="665" spans="1:2" x14ac:dyDescent="0.2">
      <c r="A665" t="s">
        <v>2024</v>
      </c>
      <c r="B665" t="b">
        <v>0</v>
      </c>
    </row>
    <row r="666" spans="1:2" x14ac:dyDescent="0.2">
      <c r="A666" t="s">
        <v>2025</v>
      </c>
      <c r="B666" t="b">
        <v>0</v>
      </c>
    </row>
    <row r="667" spans="1:2" x14ac:dyDescent="0.2">
      <c r="A667" t="s">
        <v>2026</v>
      </c>
      <c r="B667" t="b">
        <v>0</v>
      </c>
    </row>
    <row r="668" spans="1:2" x14ac:dyDescent="0.2">
      <c r="A668" t="s">
        <v>2027</v>
      </c>
      <c r="B668" t="b">
        <v>0</v>
      </c>
    </row>
    <row r="669" spans="1:2" x14ac:dyDescent="0.2">
      <c r="A669" t="s">
        <v>2028</v>
      </c>
      <c r="B669" t="b">
        <v>0</v>
      </c>
    </row>
    <row r="670" spans="1:2" x14ac:dyDescent="0.2">
      <c r="A670" t="s">
        <v>2029</v>
      </c>
      <c r="B670" t="b">
        <v>0</v>
      </c>
    </row>
    <row r="671" spans="1:2" x14ac:dyDescent="0.2">
      <c r="A671" t="s">
        <v>2030</v>
      </c>
      <c r="B671" t="b">
        <v>0</v>
      </c>
    </row>
    <row r="672" spans="1:2" x14ac:dyDescent="0.2">
      <c r="A672" t="s">
        <v>2031</v>
      </c>
      <c r="B672" t="b">
        <v>0</v>
      </c>
    </row>
    <row r="673" spans="1:2" x14ac:dyDescent="0.2">
      <c r="A673" t="s">
        <v>2032</v>
      </c>
      <c r="B673" t="b">
        <v>0</v>
      </c>
    </row>
    <row r="674" spans="1:2" x14ac:dyDescent="0.2">
      <c r="A674" t="s">
        <v>2033</v>
      </c>
      <c r="B674" t="b">
        <v>0</v>
      </c>
    </row>
    <row r="675" spans="1:2" x14ac:dyDescent="0.2">
      <c r="A675" t="s">
        <v>2034</v>
      </c>
      <c r="B675" t="b">
        <v>0</v>
      </c>
    </row>
    <row r="676" spans="1:2" x14ac:dyDescent="0.2">
      <c r="A676" t="s">
        <v>2035</v>
      </c>
      <c r="B676" t="b">
        <v>0</v>
      </c>
    </row>
    <row r="677" spans="1:2" x14ac:dyDescent="0.2">
      <c r="A677" t="s">
        <v>2036</v>
      </c>
      <c r="B677" t="b">
        <v>0</v>
      </c>
    </row>
    <row r="678" spans="1:2" x14ac:dyDescent="0.2">
      <c r="A678" t="s">
        <v>2037</v>
      </c>
      <c r="B678" t="b">
        <v>0</v>
      </c>
    </row>
    <row r="679" spans="1:2" x14ac:dyDescent="0.2">
      <c r="A679" t="s">
        <v>2038</v>
      </c>
      <c r="B679" t="b">
        <v>0</v>
      </c>
    </row>
    <row r="680" spans="1:2" x14ac:dyDescent="0.2">
      <c r="A680" t="s">
        <v>2039</v>
      </c>
      <c r="B680" t="b">
        <v>0</v>
      </c>
    </row>
    <row r="681" spans="1:2" x14ac:dyDescent="0.2">
      <c r="A681" t="s">
        <v>2040</v>
      </c>
      <c r="B681" t="b">
        <v>0</v>
      </c>
    </row>
    <row r="682" spans="1:2" x14ac:dyDescent="0.2">
      <c r="A682" t="s">
        <v>2041</v>
      </c>
      <c r="B682" t="b">
        <v>0</v>
      </c>
    </row>
    <row r="683" spans="1:2" x14ac:dyDescent="0.2">
      <c r="A683" t="s">
        <v>2042</v>
      </c>
      <c r="B683" t="b">
        <v>0</v>
      </c>
    </row>
    <row r="684" spans="1:2" x14ac:dyDescent="0.2">
      <c r="A684" t="s">
        <v>2043</v>
      </c>
      <c r="B684" t="b">
        <v>0</v>
      </c>
    </row>
    <row r="685" spans="1:2" x14ac:dyDescent="0.2">
      <c r="A685" t="s">
        <v>2044</v>
      </c>
      <c r="B685" t="b">
        <v>0</v>
      </c>
    </row>
    <row r="686" spans="1:2" x14ac:dyDescent="0.2">
      <c r="A686" t="s">
        <v>2045</v>
      </c>
      <c r="B686" t="b">
        <v>0</v>
      </c>
    </row>
    <row r="687" spans="1:2" x14ac:dyDescent="0.2">
      <c r="A687" t="s">
        <v>2046</v>
      </c>
      <c r="B687" t="b">
        <v>0</v>
      </c>
    </row>
    <row r="688" spans="1:2" x14ac:dyDescent="0.2">
      <c r="A688" t="s">
        <v>2047</v>
      </c>
      <c r="B688" t="b">
        <v>0</v>
      </c>
    </row>
    <row r="689" spans="1:2" x14ac:dyDescent="0.2">
      <c r="A689" t="s">
        <v>2048</v>
      </c>
      <c r="B689" t="b">
        <v>0</v>
      </c>
    </row>
    <row r="690" spans="1:2" x14ac:dyDescent="0.2">
      <c r="A690" t="s">
        <v>2049</v>
      </c>
      <c r="B690" t="b">
        <v>0</v>
      </c>
    </row>
    <row r="691" spans="1:2" x14ac:dyDescent="0.2">
      <c r="A691" t="s">
        <v>2050</v>
      </c>
      <c r="B691" t="b">
        <v>0</v>
      </c>
    </row>
    <row r="692" spans="1:2" x14ac:dyDescent="0.2">
      <c r="A692" t="s">
        <v>2051</v>
      </c>
      <c r="B692" t="b">
        <v>0</v>
      </c>
    </row>
    <row r="693" spans="1:2" x14ac:dyDescent="0.2">
      <c r="A693" t="s">
        <v>2052</v>
      </c>
      <c r="B693" t="b">
        <v>0</v>
      </c>
    </row>
    <row r="694" spans="1:2" x14ac:dyDescent="0.2">
      <c r="A694" t="s">
        <v>2053</v>
      </c>
      <c r="B694" t="b">
        <v>0</v>
      </c>
    </row>
    <row r="695" spans="1:2" x14ac:dyDescent="0.2">
      <c r="A695" t="s">
        <v>2054</v>
      </c>
      <c r="B695" t="b">
        <v>0</v>
      </c>
    </row>
    <row r="696" spans="1:2" x14ac:dyDescent="0.2">
      <c r="A696" t="s">
        <v>2055</v>
      </c>
      <c r="B696" t="b">
        <v>0</v>
      </c>
    </row>
    <row r="697" spans="1:2" x14ac:dyDescent="0.2">
      <c r="A697" t="s">
        <v>2056</v>
      </c>
      <c r="B697" t="b">
        <v>0</v>
      </c>
    </row>
    <row r="698" spans="1:2" x14ac:dyDescent="0.2">
      <c r="A698" t="s">
        <v>2057</v>
      </c>
      <c r="B698" t="b">
        <v>0</v>
      </c>
    </row>
    <row r="699" spans="1:2" x14ac:dyDescent="0.2">
      <c r="A699" t="s">
        <v>2058</v>
      </c>
      <c r="B699" t="b">
        <v>0</v>
      </c>
    </row>
    <row r="700" spans="1:2" x14ac:dyDescent="0.2">
      <c r="A700" t="s">
        <v>2059</v>
      </c>
      <c r="B700" t="b">
        <v>0</v>
      </c>
    </row>
    <row r="701" spans="1:2" x14ac:dyDescent="0.2">
      <c r="A701" t="s">
        <v>2060</v>
      </c>
      <c r="B701" t="b">
        <v>0</v>
      </c>
    </row>
    <row r="702" spans="1:2" x14ac:dyDescent="0.2">
      <c r="A702" t="s">
        <v>2061</v>
      </c>
      <c r="B702" t="b">
        <v>0</v>
      </c>
    </row>
    <row r="703" spans="1:2" x14ac:dyDescent="0.2">
      <c r="A703" t="s">
        <v>2062</v>
      </c>
      <c r="B703" t="b">
        <v>0</v>
      </c>
    </row>
    <row r="704" spans="1:2" x14ac:dyDescent="0.2">
      <c r="A704" t="s">
        <v>2063</v>
      </c>
      <c r="B704" t="b">
        <v>0</v>
      </c>
    </row>
    <row r="705" spans="1:2" x14ac:dyDescent="0.2">
      <c r="A705" t="s">
        <v>2064</v>
      </c>
      <c r="B705" t="b">
        <v>0</v>
      </c>
    </row>
    <row r="706" spans="1:2" x14ac:dyDescent="0.2">
      <c r="A706" t="s">
        <v>2065</v>
      </c>
      <c r="B706" t="b">
        <v>0</v>
      </c>
    </row>
    <row r="707" spans="1:2" x14ac:dyDescent="0.2">
      <c r="A707" t="s">
        <v>2066</v>
      </c>
      <c r="B707" t="b">
        <v>0</v>
      </c>
    </row>
    <row r="708" spans="1:2" x14ac:dyDescent="0.2">
      <c r="A708" t="s">
        <v>2067</v>
      </c>
      <c r="B708" t="b">
        <v>0</v>
      </c>
    </row>
    <row r="709" spans="1:2" x14ac:dyDescent="0.2">
      <c r="A709" t="s">
        <v>2068</v>
      </c>
      <c r="B709" t="b">
        <v>0</v>
      </c>
    </row>
    <row r="710" spans="1:2" x14ac:dyDescent="0.2">
      <c r="A710" t="s">
        <v>2069</v>
      </c>
      <c r="B710" t="b">
        <v>0</v>
      </c>
    </row>
    <row r="711" spans="1:2" x14ac:dyDescent="0.2">
      <c r="A711" t="s">
        <v>2070</v>
      </c>
      <c r="B711" t="b">
        <v>0</v>
      </c>
    </row>
    <row r="712" spans="1:2" x14ac:dyDescent="0.2">
      <c r="A712" t="s">
        <v>2071</v>
      </c>
      <c r="B712" t="b">
        <v>0</v>
      </c>
    </row>
    <row r="713" spans="1:2" x14ac:dyDescent="0.2">
      <c r="A713" t="s">
        <v>2072</v>
      </c>
      <c r="B713" t="b">
        <v>0</v>
      </c>
    </row>
    <row r="714" spans="1:2" x14ac:dyDescent="0.2">
      <c r="A714" t="s">
        <v>2073</v>
      </c>
      <c r="B714" t="b">
        <v>0</v>
      </c>
    </row>
    <row r="715" spans="1:2" x14ac:dyDescent="0.2">
      <c r="A715" t="s">
        <v>2074</v>
      </c>
      <c r="B715" t="b">
        <v>0</v>
      </c>
    </row>
    <row r="716" spans="1:2" x14ac:dyDescent="0.2">
      <c r="A716" t="s">
        <v>2075</v>
      </c>
      <c r="B716" t="b">
        <v>0</v>
      </c>
    </row>
    <row r="717" spans="1:2" x14ac:dyDescent="0.2">
      <c r="A717" t="s">
        <v>2076</v>
      </c>
      <c r="B717" t="b">
        <v>0</v>
      </c>
    </row>
    <row r="718" spans="1:2" x14ac:dyDescent="0.2">
      <c r="A718" t="s">
        <v>2077</v>
      </c>
      <c r="B718" t="b">
        <v>0</v>
      </c>
    </row>
    <row r="719" spans="1:2" x14ac:dyDescent="0.2">
      <c r="A719" t="s">
        <v>2078</v>
      </c>
      <c r="B719" t="b">
        <v>0</v>
      </c>
    </row>
    <row r="720" spans="1:2" x14ac:dyDescent="0.2">
      <c r="A720" t="s">
        <v>2079</v>
      </c>
      <c r="B720" t="b">
        <v>0</v>
      </c>
    </row>
    <row r="721" spans="1:2" x14ac:dyDescent="0.2">
      <c r="A721" t="s">
        <v>2080</v>
      </c>
      <c r="B721" t="b">
        <v>0</v>
      </c>
    </row>
    <row r="722" spans="1:2" x14ac:dyDescent="0.2">
      <c r="A722" t="s">
        <v>2081</v>
      </c>
      <c r="B722" t="b">
        <v>0</v>
      </c>
    </row>
    <row r="723" spans="1:2" x14ac:dyDescent="0.2">
      <c r="A723" t="s">
        <v>2082</v>
      </c>
      <c r="B723" t="b">
        <v>0</v>
      </c>
    </row>
    <row r="724" spans="1:2" x14ac:dyDescent="0.2">
      <c r="A724" t="s">
        <v>2083</v>
      </c>
      <c r="B724" t="b">
        <v>0</v>
      </c>
    </row>
    <row r="725" spans="1:2" x14ac:dyDescent="0.2">
      <c r="A725" t="s">
        <v>2084</v>
      </c>
      <c r="B725" t="b">
        <v>0</v>
      </c>
    </row>
    <row r="726" spans="1:2" x14ac:dyDescent="0.2">
      <c r="A726" t="s">
        <v>2085</v>
      </c>
      <c r="B726" t="b">
        <v>0</v>
      </c>
    </row>
    <row r="727" spans="1:2" x14ac:dyDescent="0.2">
      <c r="A727" t="s">
        <v>2086</v>
      </c>
      <c r="B727" t="b">
        <v>0</v>
      </c>
    </row>
    <row r="728" spans="1:2" x14ac:dyDescent="0.2">
      <c r="A728" t="s">
        <v>2087</v>
      </c>
      <c r="B728" t="b">
        <v>0</v>
      </c>
    </row>
    <row r="729" spans="1:2" x14ac:dyDescent="0.2">
      <c r="A729" t="s">
        <v>2088</v>
      </c>
      <c r="B729" t="b">
        <v>0</v>
      </c>
    </row>
    <row r="730" spans="1:2" x14ac:dyDescent="0.2">
      <c r="A730" t="s">
        <v>2089</v>
      </c>
      <c r="B730" t="b">
        <v>0</v>
      </c>
    </row>
    <row r="731" spans="1:2" x14ac:dyDescent="0.2">
      <c r="A731" t="s">
        <v>2090</v>
      </c>
      <c r="B731" t="b">
        <v>0</v>
      </c>
    </row>
    <row r="732" spans="1:2" x14ac:dyDescent="0.2">
      <c r="A732" t="s">
        <v>2091</v>
      </c>
      <c r="B732" t="b">
        <v>0</v>
      </c>
    </row>
    <row r="733" spans="1:2" x14ac:dyDescent="0.2">
      <c r="A733" t="s">
        <v>2092</v>
      </c>
      <c r="B733" t="b">
        <v>0</v>
      </c>
    </row>
    <row r="734" spans="1:2" x14ac:dyDescent="0.2">
      <c r="A734" t="s">
        <v>2093</v>
      </c>
      <c r="B734" t="b">
        <v>0</v>
      </c>
    </row>
    <row r="735" spans="1:2" x14ac:dyDescent="0.2">
      <c r="A735" t="s">
        <v>2094</v>
      </c>
      <c r="B735" t="b">
        <v>0</v>
      </c>
    </row>
    <row r="736" spans="1:2" x14ac:dyDescent="0.2">
      <c r="A736" t="s">
        <v>2095</v>
      </c>
      <c r="B736" t="b">
        <v>0</v>
      </c>
    </row>
    <row r="737" spans="1:2" x14ac:dyDescent="0.2">
      <c r="A737" t="s">
        <v>2096</v>
      </c>
      <c r="B737" t="b">
        <v>0</v>
      </c>
    </row>
    <row r="738" spans="1:2" x14ac:dyDescent="0.2">
      <c r="A738" t="s">
        <v>2097</v>
      </c>
      <c r="B738" t="b">
        <v>0</v>
      </c>
    </row>
    <row r="739" spans="1:2" x14ac:dyDescent="0.2">
      <c r="A739" t="s">
        <v>2098</v>
      </c>
      <c r="B739" t="b">
        <v>0</v>
      </c>
    </row>
    <row r="740" spans="1:2" x14ac:dyDescent="0.2">
      <c r="A740" t="s">
        <v>2099</v>
      </c>
      <c r="B740" t="b">
        <v>0</v>
      </c>
    </row>
    <row r="741" spans="1:2" x14ac:dyDescent="0.2">
      <c r="A741" t="s">
        <v>2013</v>
      </c>
      <c r="B741" t="b">
        <v>0</v>
      </c>
    </row>
    <row r="742" spans="1:2" x14ac:dyDescent="0.2">
      <c r="A742" t="s">
        <v>2100</v>
      </c>
      <c r="B742" t="b">
        <v>0</v>
      </c>
    </row>
    <row r="743" spans="1:2" x14ac:dyDescent="0.2">
      <c r="A743" t="s">
        <v>2101</v>
      </c>
      <c r="B743" t="b">
        <v>0</v>
      </c>
    </row>
    <row r="744" spans="1:2" x14ac:dyDescent="0.2">
      <c r="A744" t="s">
        <v>2102</v>
      </c>
      <c r="B744">
        <v>0</v>
      </c>
    </row>
    <row r="745" spans="1:2" x14ac:dyDescent="0.2">
      <c r="A745" t="s">
        <v>2103</v>
      </c>
      <c r="B745">
        <v>1</v>
      </c>
    </row>
    <row r="746" spans="1:2" x14ac:dyDescent="0.2">
      <c r="A746" t="s">
        <v>2104</v>
      </c>
      <c r="B746">
        <v>0</v>
      </c>
    </row>
    <row r="747" spans="1:2" x14ac:dyDescent="0.2">
      <c r="A747" t="s">
        <v>2105</v>
      </c>
      <c r="B747">
        <v>1</v>
      </c>
    </row>
    <row r="748" spans="1:2" x14ac:dyDescent="0.2">
      <c r="A748" t="s">
        <v>2106</v>
      </c>
      <c r="B748">
        <v>0</v>
      </c>
    </row>
    <row r="749" spans="1:2" x14ac:dyDescent="0.2">
      <c r="A749" t="s">
        <v>2107</v>
      </c>
      <c r="B749">
        <v>1</v>
      </c>
    </row>
    <row r="750" spans="1:2" x14ac:dyDescent="0.2">
      <c r="A750" t="s">
        <v>2108</v>
      </c>
      <c r="B750">
        <v>0</v>
      </c>
    </row>
    <row r="751" spans="1:2" x14ac:dyDescent="0.2">
      <c r="A751" t="s">
        <v>2109</v>
      </c>
      <c r="B751">
        <v>1</v>
      </c>
    </row>
    <row r="752" spans="1:2" x14ac:dyDescent="0.2">
      <c r="A752" t="s">
        <v>2110</v>
      </c>
      <c r="B752">
        <v>0</v>
      </c>
    </row>
    <row r="753" spans="1:2" x14ac:dyDescent="0.2">
      <c r="A753" t="s">
        <v>2111</v>
      </c>
      <c r="B753">
        <v>0</v>
      </c>
    </row>
    <row r="754" spans="1:2" x14ac:dyDescent="0.2">
      <c r="A754" t="s">
        <v>2112</v>
      </c>
      <c r="B754">
        <v>0</v>
      </c>
    </row>
    <row r="755" spans="1:2" x14ac:dyDescent="0.2">
      <c r="A755" t="s">
        <v>2113</v>
      </c>
      <c r="B755">
        <v>0</v>
      </c>
    </row>
    <row r="756" spans="1:2" x14ac:dyDescent="0.2">
      <c r="A756" t="s">
        <v>2114</v>
      </c>
      <c r="B756">
        <v>1</v>
      </c>
    </row>
    <row r="757" spans="1:2" x14ac:dyDescent="0.2">
      <c r="A757" t="s">
        <v>2115</v>
      </c>
      <c r="B757">
        <v>1</v>
      </c>
    </row>
    <row r="758" spans="1:2" x14ac:dyDescent="0.2">
      <c r="A758" t="s">
        <v>2116</v>
      </c>
      <c r="B758">
        <v>1</v>
      </c>
    </row>
    <row r="759" spans="1:2" x14ac:dyDescent="0.2">
      <c r="A759" t="s">
        <v>2117</v>
      </c>
      <c r="B759">
        <v>1</v>
      </c>
    </row>
    <row r="760" spans="1:2" x14ac:dyDescent="0.2">
      <c r="A760" t="s">
        <v>2118</v>
      </c>
      <c r="B760">
        <v>1</v>
      </c>
    </row>
    <row r="761" spans="1:2" x14ac:dyDescent="0.2">
      <c r="A761" t="s">
        <v>2119</v>
      </c>
      <c r="B761">
        <v>1</v>
      </c>
    </row>
    <row r="762" spans="1:2" x14ac:dyDescent="0.2">
      <c r="A762" t="s">
        <v>2120</v>
      </c>
      <c r="B762">
        <v>1</v>
      </c>
    </row>
    <row r="763" spans="1:2" x14ac:dyDescent="0.2">
      <c r="A763" t="s">
        <v>2121</v>
      </c>
      <c r="B763">
        <v>1</v>
      </c>
    </row>
    <row r="764" spans="1:2" x14ac:dyDescent="0.2">
      <c r="A764" t="s">
        <v>2122</v>
      </c>
      <c r="B764">
        <v>1</v>
      </c>
    </row>
    <row r="765" spans="1:2" x14ac:dyDescent="0.2">
      <c r="A765" t="s">
        <v>2123</v>
      </c>
      <c r="B765">
        <v>1</v>
      </c>
    </row>
    <row r="766" spans="1:2" x14ac:dyDescent="0.2">
      <c r="A766" t="s">
        <v>2124</v>
      </c>
      <c r="B766">
        <v>0</v>
      </c>
    </row>
    <row r="767" spans="1:2" x14ac:dyDescent="0.2">
      <c r="A767" t="s">
        <v>2125</v>
      </c>
      <c r="B767">
        <v>50</v>
      </c>
    </row>
    <row r="768" spans="1:2" x14ac:dyDescent="0.2">
      <c r="A768" t="s">
        <v>2126</v>
      </c>
      <c r="B768" t="b">
        <v>0</v>
      </c>
    </row>
    <row r="769" spans="1:2" x14ac:dyDescent="0.2">
      <c r="A769" t="s">
        <v>2001</v>
      </c>
      <c r="B769">
        <v>50</v>
      </c>
    </row>
    <row r="770" spans="1:2" x14ac:dyDescent="0.2">
      <c r="A770" t="s">
        <v>2760</v>
      </c>
      <c r="B770">
        <v>0</v>
      </c>
    </row>
    <row r="771" spans="1:2" x14ac:dyDescent="0.2">
      <c r="A771" t="s">
        <v>2762</v>
      </c>
      <c r="B771" t="s">
        <v>4694</v>
      </c>
    </row>
    <row r="772" spans="1:2" x14ac:dyDescent="0.2">
      <c r="A772" t="s">
        <v>2764</v>
      </c>
      <c r="B772">
        <v>1</v>
      </c>
    </row>
    <row r="773" spans="1:2" x14ac:dyDescent="0.2">
      <c r="A773" t="s">
        <v>2767</v>
      </c>
      <c r="B773">
        <v>2</v>
      </c>
    </row>
    <row r="774" spans="1:2" x14ac:dyDescent="0.2">
      <c r="A774" t="s">
        <v>2769</v>
      </c>
      <c r="B774">
        <v>0</v>
      </c>
    </row>
    <row r="775" spans="1:2" x14ac:dyDescent="0.2">
      <c r="A775" t="s">
        <v>2770</v>
      </c>
      <c r="B775">
        <v>0</v>
      </c>
    </row>
    <row r="776" spans="1:2" x14ac:dyDescent="0.2">
      <c r="A776" t="s">
        <v>2773</v>
      </c>
      <c r="B776">
        <v>2</v>
      </c>
    </row>
    <row r="777" spans="1:2" x14ac:dyDescent="0.2">
      <c r="A777" t="s">
        <v>2775</v>
      </c>
      <c r="B777">
        <v>0</v>
      </c>
    </row>
    <row r="778" spans="1:2" x14ac:dyDescent="0.2">
      <c r="A778" t="s">
        <v>2776</v>
      </c>
      <c r="B778">
        <v>0</v>
      </c>
    </row>
    <row r="779" spans="1:2" x14ac:dyDescent="0.2">
      <c r="A779" t="s">
        <v>2779</v>
      </c>
      <c r="B779">
        <v>5000</v>
      </c>
    </row>
    <row r="780" spans="1:2" x14ac:dyDescent="0.2">
      <c r="A780" t="s">
        <v>2781</v>
      </c>
      <c r="B780">
        <v>5000</v>
      </c>
    </row>
    <row r="781" spans="1:2" x14ac:dyDescent="0.2">
      <c r="A781" t="s">
        <v>2894</v>
      </c>
      <c r="B781">
        <v>1</v>
      </c>
    </row>
    <row r="782" spans="1:2" x14ac:dyDescent="0.2">
      <c r="A782" t="s">
        <v>2783</v>
      </c>
      <c r="B782">
        <v>5000</v>
      </c>
    </row>
    <row r="783" spans="1:2" x14ac:dyDescent="0.2">
      <c r="A783" t="s">
        <v>2785</v>
      </c>
      <c r="B783">
        <v>1</v>
      </c>
    </row>
    <row r="784" spans="1:2" x14ac:dyDescent="0.2">
      <c r="A784" t="s">
        <v>2786</v>
      </c>
      <c r="B784">
        <v>1</v>
      </c>
    </row>
    <row r="785" spans="1:2" x14ac:dyDescent="0.2">
      <c r="A785" t="s">
        <v>2787</v>
      </c>
      <c r="B785">
        <v>1</v>
      </c>
    </row>
    <row r="786" spans="1:2" x14ac:dyDescent="0.2">
      <c r="A786" t="s">
        <v>2788</v>
      </c>
      <c r="B786">
        <v>1</v>
      </c>
    </row>
    <row r="787" spans="1:2" x14ac:dyDescent="0.2">
      <c r="A787" t="s">
        <v>2789</v>
      </c>
      <c r="B787">
        <v>1</v>
      </c>
    </row>
    <row r="788" spans="1:2" x14ac:dyDescent="0.2">
      <c r="A788" t="s">
        <v>2790</v>
      </c>
      <c r="B788">
        <v>1</v>
      </c>
    </row>
    <row r="789" spans="1:2" x14ac:dyDescent="0.2">
      <c r="A789" t="s">
        <v>2791</v>
      </c>
      <c r="B789">
        <v>1</v>
      </c>
    </row>
    <row r="790" spans="1:2" x14ac:dyDescent="0.2">
      <c r="A790" t="s">
        <v>2792</v>
      </c>
      <c r="B790">
        <v>1</v>
      </c>
    </row>
    <row r="791" spans="1:2" x14ac:dyDescent="0.2">
      <c r="A791" t="s">
        <v>2793</v>
      </c>
      <c r="B791">
        <v>1</v>
      </c>
    </row>
    <row r="792" spans="1:2" x14ac:dyDescent="0.2">
      <c r="A792" t="s">
        <v>2803</v>
      </c>
      <c r="B792">
        <v>0</v>
      </c>
    </row>
    <row r="793" spans="1:2" x14ac:dyDescent="0.2">
      <c r="A793" t="s">
        <v>2804</v>
      </c>
      <c r="B793">
        <v>0</v>
      </c>
    </row>
    <row r="794" spans="1:2" x14ac:dyDescent="0.2">
      <c r="A794" t="s">
        <v>2805</v>
      </c>
      <c r="B794">
        <v>0</v>
      </c>
    </row>
    <row r="795" spans="1:2" x14ac:dyDescent="0.2">
      <c r="A795" t="s">
        <v>2806</v>
      </c>
      <c r="B795">
        <v>0</v>
      </c>
    </row>
    <row r="796" spans="1:2" x14ac:dyDescent="0.2">
      <c r="A796" t="s">
        <v>2807</v>
      </c>
      <c r="B796">
        <v>0</v>
      </c>
    </row>
    <row r="797" spans="1:2" x14ac:dyDescent="0.2">
      <c r="A797" t="s">
        <v>2808</v>
      </c>
      <c r="B797">
        <v>0</v>
      </c>
    </row>
    <row r="798" spans="1:2" x14ac:dyDescent="0.2">
      <c r="A798" t="s">
        <v>2809</v>
      </c>
      <c r="B798">
        <v>0</v>
      </c>
    </row>
    <row r="799" spans="1:2" x14ac:dyDescent="0.2">
      <c r="A799" t="s">
        <v>2810</v>
      </c>
      <c r="B799">
        <v>0</v>
      </c>
    </row>
    <row r="800" spans="1:2" x14ac:dyDescent="0.2">
      <c r="A800" t="s">
        <v>2811</v>
      </c>
      <c r="B800">
        <v>0</v>
      </c>
    </row>
    <row r="801" spans="1:2" x14ac:dyDescent="0.2">
      <c r="A801" t="s">
        <v>2821</v>
      </c>
      <c r="B801" t="s">
        <v>4694</v>
      </c>
    </row>
    <row r="802" spans="1:2" x14ac:dyDescent="0.2">
      <c r="A802" t="s">
        <v>2822</v>
      </c>
      <c r="B802" t="s">
        <v>4694</v>
      </c>
    </row>
    <row r="803" spans="1:2" x14ac:dyDescent="0.2">
      <c r="A803" t="s">
        <v>2825</v>
      </c>
      <c r="B803">
        <v>5000</v>
      </c>
    </row>
    <row r="804" spans="1:2" x14ac:dyDescent="0.2">
      <c r="A804" t="s">
        <v>2828</v>
      </c>
      <c r="B804">
        <v>5000</v>
      </c>
    </row>
    <row r="805" spans="1:2" x14ac:dyDescent="0.2">
      <c r="A805" t="s">
        <v>2830</v>
      </c>
      <c r="B805">
        <v>0</v>
      </c>
    </row>
    <row r="806" spans="1:2" x14ac:dyDescent="0.2">
      <c r="A806" t="s">
        <v>2831</v>
      </c>
      <c r="B806">
        <v>0</v>
      </c>
    </row>
    <row r="807" spans="1:2" x14ac:dyDescent="0.2">
      <c r="A807" t="s">
        <v>2832</v>
      </c>
      <c r="B807">
        <v>0</v>
      </c>
    </row>
    <row r="808" spans="1:2" x14ac:dyDescent="0.2">
      <c r="A808" t="s">
        <v>2833</v>
      </c>
      <c r="B808">
        <v>0</v>
      </c>
    </row>
    <row r="809" spans="1:2" x14ac:dyDescent="0.2">
      <c r="A809" t="s">
        <v>2834</v>
      </c>
      <c r="B809">
        <v>0</v>
      </c>
    </row>
    <row r="810" spans="1:2" x14ac:dyDescent="0.2">
      <c r="A810" t="s">
        <v>2835</v>
      </c>
      <c r="B810">
        <v>0</v>
      </c>
    </row>
    <row r="811" spans="1:2" x14ac:dyDescent="0.2">
      <c r="A811" t="s">
        <v>2836</v>
      </c>
      <c r="B811">
        <v>0</v>
      </c>
    </row>
    <row r="812" spans="1:2" x14ac:dyDescent="0.2">
      <c r="A812" t="s">
        <v>2837</v>
      </c>
      <c r="B812">
        <v>0</v>
      </c>
    </row>
    <row r="813" spans="1:2" x14ac:dyDescent="0.2">
      <c r="A813" t="s">
        <v>2838</v>
      </c>
      <c r="B813">
        <v>0</v>
      </c>
    </row>
    <row r="814" spans="1:2" x14ac:dyDescent="0.2">
      <c r="A814" t="s">
        <v>2851</v>
      </c>
      <c r="B814">
        <v>1</v>
      </c>
    </row>
    <row r="815" spans="1:2" x14ac:dyDescent="0.2">
      <c r="A815" t="s">
        <v>2852</v>
      </c>
      <c r="B815">
        <v>1</v>
      </c>
    </row>
    <row r="816" spans="1:2" x14ac:dyDescent="0.2">
      <c r="A816" t="s">
        <v>2853</v>
      </c>
      <c r="B816">
        <v>1</v>
      </c>
    </row>
    <row r="817" spans="1:2" x14ac:dyDescent="0.2">
      <c r="A817" t="s">
        <v>2854</v>
      </c>
      <c r="B817">
        <v>1</v>
      </c>
    </row>
    <row r="818" spans="1:2" x14ac:dyDescent="0.2">
      <c r="A818" t="s">
        <v>2855</v>
      </c>
      <c r="B818">
        <v>1</v>
      </c>
    </row>
    <row r="819" spans="1:2" x14ac:dyDescent="0.2">
      <c r="A819" t="s">
        <v>2856</v>
      </c>
      <c r="B819">
        <v>1</v>
      </c>
    </row>
    <row r="820" spans="1:2" x14ac:dyDescent="0.2">
      <c r="A820" t="s">
        <v>2857</v>
      </c>
      <c r="B820">
        <v>1</v>
      </c>
    </row>
    <row r="821" spans="1:2" x14ac:dyDescent="0.2">
      <c r="A821" t="s">
        <v>2858</v>
      </c>
      <c r="B821">
        <v>1</v>
      </c>
    </row>
    <row r="822" spans="1:2" x14ac:dyDescent="0.2">
      <c r="A822" t="s">
        <v>2859</v>
      </c>
      <c r="B822">
        <v>1</v>
      </c>
    </row>
    <row r="823" spans="1:2" x14ac:dyDescent="0.2">
      <c r="A823" t="s">
        <v>2848</v>
      </c>
      <c r="B823">
        <v>0</v>
      </c>
    </row>
    <row r="824" spans="1:2" x14ac:dyDescent="0.2">
      <c r="A824" t="s">
        <v>2849</v>
      </c>
      <c r="B824">
        <v>0</v>
      </c>
    </row>
    <row r="825" spans="1:2" x14ac:dyDescent="0.2">
      <c r="A825" t="s">
        <v>2850</v>
      </c>
      <c r="B825">
        <v>0</v>
      </c>
    </row>
    <row r="826" spans="1:2" x14ac:dyDescent="0.2">
      <c r="A826" t="s">
        <v>2872</v>
      </c>
      <c r="B826" t="b">
        <v>0</v>
      </c>
    </row>
    <row r="827" spans="1:2" x14ac:dyDescent="0.2">
      <c r="A827" t="s">
        <v>2874</v>
      </c>
      <c r="B827">
        <v>1</v>
      </c>
    </row>
    <row r="828" spans="1:2" x14ac:dyDescent="0.2">
      <c r="A828" t="s">
        <v>2875</v>
      </c>
      <c r="B828">
        <v>1</v>
      </c>
    </row>
    <row r="829" spans="1:2" x14ac:dyDescent="0.2">
      <c r="A829" t="s">
        <v>2876</v>
      </c>
      <c r="B829">
        <v>1</v>
      </c>
    </row>
    <row r="830" spans="1:2" x14ac:dyDescent="0.2">
      <c r="A830" t="s">
        <v>2877</v>
      </c>
      <c r="B830">
        <v>1</v>
      </c>
    </row>
    <row r="831" spans="1:2" x14ac:dyDescent="0.2">
      <c r="A831" t="s">
        <v>2878</v>
      </c>
      <c r="B831">
        <v>1</v>
      </c>
    </row>
    <row r="832" spans="1:2" x14ac:dyDescent="0.2">
      <c r="A832" t="s">
        <v>2879</v>
      </c>
      <c r="B832">
        <v>1</v>
      </c>
    </row>
    <row r="833" spans="1:2" x14ac:dyDescent="0.2">
      <c r="A833" t="s">
        <v>2880</v>
      </c>
      <c r="B833">
        <v>1</v>
      </c>
    </row>
    <row r="834" spans="1:2" x14ac:dyDescent="0.2">
      <c r="A834" t="s">
        <v>2881</v>
      </c>
      <c r="B834">
        <v>1</v>
      </c>
    </row>
    <row r="835" spans="1:2" x14ac:dyDescent="0.2">
      <c r="A835" t="s">
        <v>2882</v>
      </c>
      <c r="B835">
        <v>1</v>
      </c>
    </row>
    <row r="836" spans="1:2" x14ac:dyDescent="0.2">
      <c r="A836" t="s">
        <v>2892</v>
      </c>
      <c r="B836">
        <v>5000</v>
      </c>
    </row>
    <row r="837" spans="1:2" x14ac:dyDescent="0.2">
      <c r="A837" t="s">
        <v>2896</v>
      </c>
      <c r="B837">
        <v>5000</v>
      </c>
    </row>
    <row r="838" spans="1:2" x14ac:dyDescent="0.2">
      <c r="A838" t="s">
        <v>2898</v>
      </c>
      <c r="B838">
        <v>5000</v>
      </c>
    </row>
    <row r="839" spans="1:2" x14ac:dyDescent="0.2">
      <c r="A839" t="s">
        <v>2903</v>
      </c>
      <c r="B839">
        <v>0</v>
      </c>
    </row>
    <row r="840" spans="1:2" x14ac:dyDescent="0.2">
      <c r="A840" t="s">
        <v>2904</v>
      </c>
      <c r="B840">
        <v>0</v>
      </c>
    </row>
    <row r="841" spans="1:2" x14ac:dyDescent="0.2">
      <c r="A841" t="s">
        <v>2905</v>
      </c>
      <c r="B841">
        <v>0</v>
      </c>
    </row>
    <row r="842" spans="1:2" x14ac:dyDescent="0.2">
      <c r="A842" t="s">
        <v>2906</v>
      </c>
      <c r="B842">
        <v>0</v>
      </c>
    </row>
    <row r="843" spans="1:2" x14ac:dyDescent="0.2">
      <c r="A843" t="s">
        <v>2907</v>
      </c>
      <c r="B843">
        <v>0</v>
      </c>
    </row>
    <row r="844" spans="1:2" x14ac:dyDescent="0.2">
      <c r="A844" t="s">
        <v>2908</v>
      </c>
      <c r="B844">
        <v>0</v>
      </c>
    </row>
    <row r="845" spans="1:2" x14ac:dyDescent="0.2">
      <c r="A845" t="s">
        <v>2909</v>
      </c>
      <c r="B845">
        <v>0</v>
      </c>
    </row>
    <row r="846" spans="1:2" x14ac:dyDescent="0.2">
      <c r="A846" t="s">
        <v>2910</v>
      </c>
      <c r="B846">
        <v>0</v>
      </c>
    </row>
    <row r="847" spans="1:2" x14ac:dyDescent="0.2">
      <c r="A847" t="s">
        <v>2911</v>
      </c>
      <c r="B847">
        <v>0</v>
      </c>
    </row>
    <row r="848" spans="1:2" x14ac:dyDescent="0.2">
      <c r="A848" t="s">
        <v>2900</v>
      </c>
      <c r="B848">
        <v>0</v>
      </c>
    </row>
    <row r="849" spans="1:2" x14ac:dyDescent="0.2">
      <c r="A849" t="s">
        <v>2901</v>
      </c>
      <c r="B849">
        <v>0</v>
      </c>
    </row>
    <row r="850" spans="1:2" x14ac:dyDescent="0.2">
      <c r="A850" t="s">
        <v>2902</v>
      </c>
      <c r="B850">
        <v>0</v>
      </c>
    </row>
    <row r="851" spans="1:2" x14ac:dyDescent="0.2">
      <c r="A851" t="s">
        <v>2924</v>
      </c>
      <c r="B851">
        <v>0</v>
      </c>
    </row>
    <row r="852" spans="1:2" x14ac:dyDescent="0.2">
      <c r="A852" t="s">
        <v>2925</v>
      </c>
      <c r="B852">
        <v>0</v>
      </c>
    </row>
    <row r="853" spans="1:2" x14ac:dyDescent="0.2">
      <c r="A853" t="s">
        <v>2926</v>
      </c>
      <c r="B853">
        <v>0</v>
      </c>
    </row>
    <row r="854" spans="1:2" x14ac:dyDescent="0.2">
      <c r="A854" t="s">
        <v>2927</v>
      </c>
      <c r="B854">
        <v>0</v>
      </c>
    </row>
    <row r="855" spans="1:2" x14ac:dyDescent="0.2">
      <c r="A855" t="s">
        <v>2928</v>
      </c>
      <c r="B855">
        <v>0</v>
      </c>
    </row>
    <row r="856" spans="1:2" x14ac:dyDescent="0.2">
      <c r="A856" t="s">
        <v>2929</v>
      </c>
      <c r="B856">
        <v>0</v>
      </c>
    </row>
    <row r="857" spans="1:2" x14ac:dyDescent="0.2">
      <c r="A857" t="s">
        <v>2930</v>
      </c>
      <c r="B857">
        <v>0</v>
      </c>
    </row>
    <row r="858" spans="1:2" x14ac:dyDescent="0.2">
      <c r="A858" t="s">
        <v>2931</v>
      </c>
      <c r="B858">
        <v>0</v>
      </c>
    </row>
    <row r="859" spans="1:2" x14ac:dyDescent="0.2">
      <c r="A859" t="s">
        <v>2932</v>
      </c>
      <c r="B859">
        <v>0</v>
      </c>
    </row>
    <row r="860" spans="1:2" x14ac:dyDescent="0.2">
      <c r="A860" t="s">
        <v>2933</v>
      </c>
      <c r="B860" t="s">
        <v>655</v>
      </c>
    </row>
    <row r="861" spans="1:2" x14ac:dyDescent="0.2">
      <c r="A861" t="s">
        <v>2935</v>
      </c>
      <c r="B861">
        <v>1</v>
      </c>
    </row>
    <row r="862" spans="1:2" x14ac:dyDescent="0.2">
      <c r="A862" t="s">
        <v>2936</v>
      </c>
      <c r="B862">
        <v>1</v>
      </c>
    </row>
    <row r="863" spans="1:2" x14ac:dyDescent="0.2">
      <c r="A863" t="s">
        <v>2937</v>
      </c>
      <c r="B863">
        <v>1</v>
      </c>
    </row>
    <row r="864" spans="1:2" x14ac:dyDescent="0.2">
      <c r="A864" t="s">
        <v>2938</v>
      </c>
      <c r="B864">
        <v>1</v>
      </c>
    </row>
    <row r="865" spans="1:2" x14ac:dyDescent="0.2">
      <c r="A865" t="s">
        <v>2939</v>
      </c>
      <c r="B865">
        <v>1</v>
      </c>
    </row>
    <row r="866" spans="1:2" x14ac:dyDescent="0.2">
      <c r="A866" t="s">
        <v>2940</v>
      </c>
      <c r="B866">
        <v>1</v>
      </c>
    </row>
    <row r="867" spans="1:2" x14ac:dyDescent="0.2">
      <c r="A867" t="s">
        <v>2941</v>
      </c>
      <c r="B867">
        <v>1</v>
      </c>
    </row>
    <row r="868" spans="1:2" x14ac:dyDescent="0.2">
      <c r="A868" t="s">
        <v>2942</v>
      </c>
      <c r="B868">
        <v>1</v>
      </c>
    </row>
    <row r="869" spans="1:2" x14ac:dyDescent="0.2">
      <c r="A869" t="s">
        <v>2943</v>
      </c>
      <c r="B869">
        <v>1</v>
      </c>
    </row>
    <row r="870" spans="1:2" x14ac:dyDescent="0.2">
      <c r="A870" t="s">
        <v>2953</v>
      </c>
      <c r="B870">
        <v>5000</v>
      </c>
    </row>
    <row r="871" spans="1:2" x14ac:dyDescent="0.2">
      <c r="A871" t="s">
        <v>2954</v>
      </c>
      <c r="B871">
        <v>5000</v>
      </c>
    </row>
    <row r="872" spans="1:2" x14ac:dyDescent="0.2">
      <c r="A872" t="s">
        <v>2732</v>
      </c>
      <c r="B872">
        <v>2</v>
      </c>
    </row>
    <row r="873" spans="1:2" x14ac:dyDescent="0.2">
      <c r="A873" t="s">
        <v>2733</v>
      </c>
      <c r="B873">
        <v>0</v>
      </c>
    </row>
    <row r="874" spans="1:2" x14ac:dyDescent="0.2">
      <c r="A874" t="s">
        <v>2738</v>
      </c>
      <c r="B874">
        <v>0</v>
      </c>
    </row>
    <row r="875" spans="1:2" x14ac:dyDescent="0.2">
      <c r="A875" t="s">
        <v>2739</v>
      </c>
      <c r="B875">
        <v>0</v>
      </c>
    </row>
    <row r="876" spans="1:2" x14ac:dyDescent="0.2">
      <c r="A876" t="s">
        <v>2740</v>
      </c>
      <c r="B876">
        <v>0</v>
      </c>
    </row>
    <row r="877" spans="1:2" x14ac:dyDescent="0.2">
      <c r="A877" t="s">
        <v>2741</v>
      </c>
      <c r="B877">
        <v>0</v>
      </c>
    </row>
    <row r="878" spans="1:2" x14ac:dyDescent="0.2">
      <c r="A878" t="s">
        <v>2742</v>
      </c>
      <c r="B878">
        <v>0</v>
      </c>
    </row>
    <row r="879" spans="1:2" x14ac:dyDescent="0.2">
      <c r="A879" t="s">
        <v>2743</v>
      </c>
      <c r="B879">
        <v>0</v>
      </c>
    </row>
    <row r="880" spans="1:2" x14ac:dyDescent="0.2">
      <c r="A880" t="s">
        <v>2744</v>
      </c>
      <c r="B880">
        <v>0</v>
      </c>
    </row>
    <row r="881" spans="1:2" x14ac:dyDescent="0.2">
      <c r="A881" t="s">
        <v>2745</v>
      </c>
      <c r="B881">
        <v>0</v>
      </c>
    </row>
    <row r="882" spans="1:2" x14ac:dyDescent="0.2">
      <c r="A882" t="s">
        <v>2734</v>
      </c>
      <c r="B882" t="b">
        <v>0</v>
      </c>
    </row>
    <row r="883" spans="1:2" x14ac:dyDescent="0.2">
      <c r="A883" t="s">
        <v>2735</v>
      </c>
      <c r="B883" t="b">
        <v>0</v>
      </c>
    </row>
    <row r="884" spans="1:2" x14ac:dyDescent="0.2">
      <c r="A884" t="s">
        <v>2736</v>
      </c>
      <c r="B884" t="b">
        <v>0</v>
      </c>
    </row>
    <row r="885" spans="1:2" x14ac:dyDescent="0.2">
      <c r="A885" t="s">
        <v>2737</v>
      </c>
      <c r="B885" t="b">
        <v>0</v>
      </c>
    </row>
    <row r="886" spans="1:2" x14ac:dyDescent="0.2">
      <c r="A886" t="s">
        <v>2955</v>
      </c>
      <c r="B886">
        <v>7</v>
      </c>
    </row>
    <row r="887" spans="1:2" x14ac:dyDescent="0.2">
      <c r="A887" t="s">
        <v>2957</v>
      </c>
      <c r="B887" t="b">
        <v>0</v>
      </c>
    </row>
    <row r="888" spans="1:2" x14ac:dyDescent="0.2">
      <c r="A888" t="s">
        <v>2958</v>
      </c>
      <c r="B888" t="b">
        <v>0</v>
      </c>
    </row>
    <row r="889" spans="1:2" x14ac:dyDescent="0.2">
      <c r="A889" t="s">
        <v>2959</v>
      </c>
      <c r="B889" t="b">
        <v>0</v>
      </c>
    </row>
    <row r="890" spans="1:2" x14ac:dyDescent="0.2">
      <c r="A890" t="s">
        <v>2960</v>
      </c>
      <c r="B890" t="b">
        <v>0</v>
      </c>
    </row>
    <row r="891" spans="1:2" x14ac:dyDescent="0.2">
      <c r="A891" t="s">
        <v>2961</v>
      </c>
      <c r="B891" t="b">
        <v>0</v>
      </c>
    </row>
    <row r="892" spans="1:2" x14ac:dyDescent="0.2">
      <c r="A892" t="s">
        <v>2962</v>
      </c>
      <c r="B892" t="b">
        <v>0</v>
      </c>
    </row>
    <row r="893" spans="1:2" x14ac:dyDescent="0.2">
      <c r="A893" t="s">
        <v>2963</v>
      </c>
      <c r="B893" t="b">
        <v>0</v>
      </c>
    </row>
    <row r="894" spans="1:2" x14ac:dyDescent="0.2">
      <c r="A894" t="s">
        <v>2964</v>
      </c>
      <c r="B894" t="b">
        <v>0</v>
      </c>
    </row>
    <row r="895" spans="1:2" x14ac:dyDescent="0.2">
      <c r="A895" t="s">
        <v>2965</v>
      </c>
      <c r="B895" t="b">
        <v>0</v>
      </c>
    </row>
    <row r="896" spans="1:2" x14ac:dyDescent="0.2">
      <c r="A896" t="s">
        <v>2966</v>
      </c>
      <c r="B896" t="b">
        <v>0</v>
      </c>
    </row>
    <row r="897" spans="1:2" x14ac:dyDescent="0.2">
      <c r="A897" t="s">
        <v>2967</v>
      </c>
      <c r="B897" t="b">
        <v>0</v>
      </c>
    </row>
    <row r="898" spans="1:2" x14ac:dyDescent="0.2">
      <c r="A898" t="s">
        <v>2968</v>
      </c>
      <c r="B898" t="b">
        <v>0</v>
      </c>
    </row>
    <row r="899" spans="1:2" x14ac:dyDescent="0.2">
      <c r="A899" t="s">
        <v>2969</v>
      </c>
      <c r="B899" t="b">
        <v>0</v>
      </c>
    </row>
    <row r="900" spans="1:2" x14ac:dyDescent="0.2">
      <c r="A900" t="s">
        <v>2970</v>
      </c>
      <c r="B900" t="b">
        <v>0</v>
      </c>
    </row>
    <row r="901" spans="1:2" x14ac:dyDescent="0.2">
      <c r="A901" t="s">
        <v>2971</v>
      </c>
      <c r="B901" t="b">
        <v>0</v>
      </c>
    </row>
    <row r="902" spans="1:2" x14ac:dyDescent="0.2">
      <c r="A902" t="s">
        <v>2972</v>
      </c>
      <c r="B902" t="b">
        <v>0</v>
      </c>
    </row>
    <row r="903" spans="1:2" x14ac:dyDescent="0.2">
      <c r="A903" t="s">
        <v>2973</v>
      </c>
      <c r="B903" t="b">
        <v>0</v>
      </c>
    </row>
    <row r="904" spans="1:2" x14ac:dyDescent="0.2">
      <c r="A904" t="s">
        <v>2974</v>
      </c>
      <c r="B904" t="b">
        <v>0</v>
      </c>
    </row>
    <row r="905" spans="1:2" x14ac:dyDescent="0.2">
      <c r="A905" t="s">
        <v>2975</v>
      </c>
      <c r="B905" t="b">
        <v>0</v>
      </c>
    </row>
    <row r="906" spans="1:2" x14ac:dyDescent="0.2">
      <c r="A906" t="s">
        <v>2976</v>
      </c>
      <c r="B906" t="b">
        <v>0</v>
      </c>
    </row>
    <row r="907" spans="1:2" x14ac:dyDescent="0.2">
      <c r="A907" t="s">
        <v>2977</v>
      </c>
      <c r="B907" t="b">
        <v>0</v>
      </c>
    </row>
    <row r="908" spans="1:2" x14ac:dyDescent="0.2">
      <c r="A908" t="s">
        <v>2978</v>
      </c>
      <c r="B908" t="b">
        <v>0</v>
      </c>
    </row>
    <row r="909" spans="1:2" x14ac:dyDescent="0.2">
      <c r="A909" t="s">
        <v>2979</v>
      </c>
      <c r="B909" t="b">
        <v>0</v>
      </c>
    </row>
    <row r="910" spans="1:2" x14ac:dyDescent="0.2">
      <c r="A910" t="s">
        <v>2980</v>
      </c>
      <c r="B910" t="b">
        <v>0</v>
      </c>
    </row>
    <row r="911" spans="1:2" x14ac:dyDescent="0.2">
      <c r="A911" t="s">
        <v>2981</v>
      </c>
      <c r="B911" t="b">
        <v>0</v>
      </c>
    </row>
    <row r="912" spans="1:2" x14ac:dyDescent="0.2">
      <c r="A912" t="s">
        <v>2982</v>
      </c>
      <c r="B912" t="b">
        <v>0</v>
      </c>
    </row>
    <row r="913" spans="1:2" x14ac:dyDescent="0.2">
      <c r="A913" t="s">
        <v>2983</v>
      </c>
      <c r="B913" t="b">
        <v>0</v>
      </c>
    </row>
    <row r="914" spans="1:2" x14ac:dyDescent="0.2">
      <c r="A914" t="s">
        <v>2984</v>
      </c>
      <c r="B914" t="b">
        <v>0</v>
      </c>
    </row>
    <row r="915" spans="1:2" x14ac:dyDescent="0.2">
      <c r="A915" t="s">
        <v>2985</v>
      </c>
      <c r="B915" t="b">
        <v>0</v>
      </c>
    </row>
    <row r="916" spans="1:2" x14ac:dyDescent="0.2">
      <c r="A916" t="s">
        <v>2986</v>
      </c>
      <c r="B916" t="b">
        <v>0</v>
      </c>
    </row>
    <row r="917" spans="1:2" x14ac:dyDescent="0.2">
      <c r="A917" t="s">
        <v>2987</v>
      </c>
      <c r="B917" t="b">
        <v>0</v>
      </c>
    </row>
    <row r="918" spans="1:2" x14ac:dyDescent="0.2">
      <c r="A918" t="s">
        <v>2988</v>
      </c>
      <c r="B918" t="b">
        <v>0</v>
      </c>
    </row>
    <row r="919" spans="1:2" x14ac:dyDescent="0.2">
      <c r="A919" t="s">
        <v>2989</v>
      </c>
      <c r="B919" t="b">
        <v>0</v>
      </c>
    </row>
    <row r="920" spans="1:2" x14ac:dyDescent="0.2">
      <c r="A920" t="s">
        <v>2990</v>
      </c>
      <c r="B920" t="b">
        <v>0</v>
      </c>
    </row>
    <row r="921" spans="1:2" x14ac:dyDescent="0.2">
      <c r="A921" t="s">
        <v>2991</v>
      </c>
      <c r="B921" t="b">
        <v>0</v>
      </c>
    </row>
    <row r="922" spans="1:2" x14ac:dyDescent="0.2">
      <c r="A922" t="s">
        <v>2992</v>
      </c>
      <c r="B922" t="b">
        <v>0</v>
      </c>
    </row>
    <row r="923" spans="1:2" x14ac:dyDescent="0.2">
      <c r="A923" t="s">
        <v>2993</v>
      </c>
      <c r="B923" t="b">
        <v>0</v>
      </c>
    </row>
    <row r="924" spans="1:2" x14ac:dyDescent="0.2">
      <c r="A924" t="s">
        <v>2994</v>
      </c>
      <c r="B924" t="b">
        <v>0</v>
      </c>
    </row>
    <row r="925" spans="1:2" x14ac:dyDescent="0.2">
      <c r="A925" t="s">
        <v>2995</v>
      </c>
      <c r="B925" t="b">
        <v>0</v>
      </c>
    </row>
    <row r="926" spans="1:2" x14ac:dyDescent="0.2">
      <c r="A926" t="s">
        <v>2996</v>
      </c>
      <c r="B926" t="b">
        <v>0</v>
      </c>
    </row>
    <row r="927" spans="1:2" x14ac:dyDescent="0.2">
      <c r="A927" t="s">
        <v>2997</v>
      </c>
      <c r="B927" t="b">
        <v>0</v>
      </c>
    </row>
    <row r="928" spans="1:2" x14ac:dyDescent="0.2">
      <c r="A928" t="s">
        <v>2998</v>
      </c>
      <c r="B928" t="b">
        <v>0</v>
      </c>
    </row>
    <row r="929" spans="1:2" x14ac:dyDescent="0.2">
      <c r="A929" t="s">
        <v>2999</v>
      </c>
      <c r="B929" t="b">
        <v>0</v>
      </c>
    </row>
    <row r="930" spans="1:2" x14ac:dyDescent="0.2">
      <c r="A930" t="s">
        <v>3000</v>
      </c>
      <c r="B930" t="b">
        <v>0</v>
      </c>
    </row>
    <row r="931" spans="1:2" x14ac:dyDescent="0.2">
      <c r="A931" t="s">
        <v>3001</v>
      </c>
      <c r="B931" t="b">
        <v>0</v>
      </c>
    </row>
    <row r="932" spans="1:2" x14ac:dyDescent="0.2">
      <c r="A932" t="s">
        <v>3002</v>
      </c>
      <c r="B932" t="b">
        <v>0</v>
      </c>
    </row>
    <row r="933" spans="1:2" x14ac:dyDescent="0.2">
      <c r="A933" t="s">
        <v>3003</v>
      </c>
      <c r="B933" t="b">
        <v>0</v>
      </c>
    </row>
    <row r="934" spans="1:2" x14ac:dyDescent="0.2">
      <c r="A934" t="s">
        <v>3004</v>
      </c>
      <c r="B934" t="b">
        <v>0</v>
      </c>
    </row>
    <row r="935" spans="1:2" x14ac:dyDescent="0.2">
      <c r="A935" t="s">
        <v>3005</v>
      </c>
      <c r="B935" t="b">
        <v>0</v>
      </c>
    </row>
    <row r="936" spans="1:2" x14ac:dyDescent="0.2">
      <c r="A936" t="s">
        <v>3006</v>
      </c>
      <c r="B936" t="b">
        <v>0</v>
      </c>
    </row>
    <row r="937" spans="1:2" x14ac:dyDescent="0.2">
      <c r="A937" t="s">
        <v>3007</v>
      </c>
      <c r="B937" t="b">
        <v>0</v>
      </c>
    </row>
    <row r="938" spans="1:2" x14ac:dyDescent="0.2">
      <c r="A938" t="s">
        <v>3008</v>
      </c>
      <c r="B938" t="b">
        <v>0</v>
      </c>
    </row>
    <row r="939" spans="1:2" x14ac:dyDescent="0.2">
      <c r="A939" t="s">
        <v>3009</v>
      </c>
      <c r="B939" t="b">
        <v>0</v>
      </c>
    </row>
    <row r="940" spans="1:2" x14ac:dyDescent="0.2">
      <c r="A940" t="s">
        <v>3010</v>
      </c>
      <c r="B940" t="b">
        <v>0</v>
      </c>
    </row>
    <row r="941" spans="1:2" x14ac:dyDescent="0.2">
      <c r="A941" t="s">
        <v>3011</v>
      </c>
      <c r="B941" t="b">
        <v>0</v>
      </c>
    </row>
    <row r="942" spans="1:2" x14ac:dyDescent="0.2">
      <c r="A942" t="s">
        <v>3012</v>
      </c>
      <c r="B942" t="b">
        <v>0</v>
      </c>
    </row>
    <row r="943" spans="1:2" x14ac:dyDescent="0.2">
      <c r="A943" t="s">
        <v>3013</v>
      </c>
      <c r="B943" t="b">
        <v>0</v>
      </c>
    </row>
    <row r="944" spans="1:2" x14ac:dyDescent="0.2">
      <c r="A944" t="s">
        <v>3014</v>
      </c>
      <c r="B944" t="b">
        <v>0</v>
      </c>
    </row>
    <row r="945" spans="1:2" x14ac:dyDescent="0.2">
      <c r="A945" t="s">
        <v>3015</v>
      </c>
      <c r="B945" t="b">
        <v>0</v>
      </c>
    </row>
    <row r="946" spans="1:2" x14ac:dyDescent="0.2">
      <c r="A946" t="s">
        <v>3016</v>
      </c>
      <c r="B946" t="b">
        <v>0</v>
      </c>
    </row>
    <row r="947" spans="1:2" x14ac:dyDescent="0.2">
      <c r="A947" t="s">
        <v>3017</v>
      </c>
      <c r="B947" t="b">
        <v>0</v>
      </c>
    </row>
    <row r="948" spans="1:2" x14ac:dyDescent="0.2">
      <c r="A948" t="s">
        <v>3018</v>
      </c>
      <c r="B948" t="b">
        <v>0</v>
      </c>
    </row>
    <row r="949" spans="1:2" x14ac:dyDescent="0.2">
      <c r="A949" t="s">
        <v>3019</v>
      </c>
      <c r="B949" t="b">
        <v>0</v>
      </c>
    </row>
    <row r="950" spans="1:2" x14ac:dyDescent="0.2">
      <c r="A950" t="s">
        <v>3020</v>
      </c>
      <c r="B950" t="b">
        <v>0</v>
      </c>
    </row>
    <row r="951" spans="1:2" x14ac:dyDescent="0.2">
      <c r="A951" t="s">
        <v>3021</v>
      </c>
      <c r="B951" t="b">
        <v>0</v>
      </c>
    </row>
    <row r="952" spans="1:2" x14ac:dyDescent="0.2">
      <c r="A952" t="s">
        <v>3022</v>
      </c>
      <c r="B952" t="b">
        <v>0</v>
      </c>
    </row>
    <row r="953" spans="1:2" x14ac:dyDescent="0.2">
      <c r="A953" t="s">
        <v>3023</v>
      </c>
      <c r="B953" t="b">
        <v>0</v>
      </c>
    </row>
    <row r="954" spans="1:2" x14ac:dyDescent="0.2">
      <c r="A954" t="s">
        <v>3024</v>
      </c>
      <c r="B954" t="b">
        <v>0</v>
      </c>
    </row>
    <row r="955" spans="1:2" x14ac:dyDescent="0.2">
      <c r="A955" t="s">
        <v>3025</v>
      </c>
      <c r="B955" t="b">
        <v>0</v>
      </c>
    </row>
    <row r="956" spans="1:2" x14ac:dyDescent="0.2">
      <c r="A956" t="s">
        <v>3026</v>
      </c>
      <c r="B956" t="b">
        <v>0</v>
      </c>
    </row>
    <row r="957" spans="1:2" x14ac:dyDescent="0.2">
      <c r="A957" t="s">
        <v>3027</v>
      </c>
      <c r="B957" t="b">
        <v>0</v>
      </c>
    </row>
    <row r="958" spans="1:2" x14ac:dyDescent="0.2">
      <c r="A958" t="s">
        <v>3028</v>
      </c>
      <c r="B958" t="b">
        <v>0</v>
      </c>
    </row>
    <row r="959" spans="1:2" x14ac:dyDescent="0.2">
      <c r="A959" t="s">
        <v>3029</v>
      </c>
      <c r="B959" t="b">
        <v>0</v>
      </c>
    </row>
    <row r="960" spans="1:2" x14ac:dyDescent="0.2">
      <c r="A960" t="s">
        <v>3030</v>
      </c>
      <c r="B960" t="b">
        <v>0</v>
      </c>
    </row>
    <row r="961" spans="1:2" x14ac:dyDescent="0.2">
      <c r="A961" t="s">
        <v>3031</v>
      </c>
      <c r="B961" t="b">
        <v>0</v>
      </c>
    </row>
    <row r="962" spans="1:2" x14ac:dyDescent="0.2">
      <c r="A962" t="s">
        <v>3032</v>
      </c>
      <c r="B962" t="b">
        <v>0</v>
      </c>
    </row>
    <row r="963" spans="1:2" x14ac:dyDescent="0.2">
      <c r="A963" t="s">
        <v>3033</v>
      </c>
      <c r="B963" t="b">
        <v>0</v>
      </c>
    </row>
    <row r="964" spans="1:2" x14ac:dyDescent="0.2">
      <c r="A964" t="s">
        <v>3034</v>
      </c>
      <c r="B964" t="b">
        <v>0</v>
      </c>
    </row>
    <row r="965" spans="1:2" x14ac:dyDescent="0.2">
      <c r="A965" t="s">
        <v>3035</v>
      </c>
      <c r="B965" t="b">
        <v>0</v>
      </c>
    </row>
    <row r="966" spans="1:2" x14ac:dyDescent="0.2">
      <c r="A966" t="s">
        <v>3036</v>
      </c>
      <c r="B966" t="b">
        <v>0</v>
      </c>
    </row>
    <row r="967" spans="1:2" x14ac:dyDescent="0.2">
      <c r="A967" t="s">
        <v>3037</v>
      </c>
      <c r="B967" t="b">
        <v>0</v>
      </c>
    </row>
    <row r="968" spans="1:2" x14ac:dyDescent="0.2">
      <c r="A968" t="s">
        <v>3038</v>
      </c>
      <c r="B968" t="b">
        <v>0</v>
      </c>
    </row>
    <row r="969" spans="1:2" x14ac:dyDescent="0.2">
      <c r="A969" t="s">
        <v>3039</v>
      </c>
      <c r="B969" t="b">
        <v>0</v>
      </c>
    </row>
    <row r="970" spans="1:2" x14ac:dyDescent="0.2">
      <c r="A970" t="s">
        <v>3040</v>
      </c>
      <c r="B970" t="b">
        <v>0</v>
      </c>
    </row>
    <row r="971" spans="1:2" x14ac:dyDescent="0.2">
      <c r="A971" t="s">
        <v>3041</v>
      </c>
      <c r="B971" t="b">
        <v>0</v>
      </c>
    </row>
    <row r="972" spans="1:2" x14ac:dyDescent="0.2">
      <c r="A972" t="s">
        <v>3042</v>
      </c>
      <c r="B972" t="b">
        <v>0</v>
      </c>
    </row>
    <row r="973" spans="1:2" x14ac:dyDescent="0.2">
      <c r="A973" t="s">
        <v>3043</v>
      </c>
      <c r="B973" t="b">
        <v>0</v>
      </c>
    </row>
    <row r="974" spans="1:2" x14ac:dyDescent="0.2">
      <c r="A974" t="s">
        <v>3044</v>
      </c>
      <c r="B974" t="b">
        <v>0</v>
      </c>
    </row>
    <row r="975" spans="1:2" x14ac:dyDescent="0.2">
      <c r="A975" t="s">
        <v>3045</v>
      </c>
      <c r="B975" t="b">
        <v>0</v>
      </c>
    </row>
    <row r="976" spans="1:2" x14ac:dyDescent="0.2">
      <c r="A976" t="s">
        <v>3046</v>
      </c>
      <c r="B976" t="b">
        <v>0</v>
      </c>
    </row>
    <row r="977" spans="1:2" x14ac:dyDescent="0.2">
      <c r="A977" t="s">
        <v>3047</v>
      </c>
      <c r="B977" t="b">
        <v>0</v>
      </c>
    </row>
    <row r="978" spans="1:2" x14ac:dyDescent="0.2">
      <c r="A978" t="s">
        <v>3048</v>
      </c>
      <c r="B978" t="b">
        <v>0</v>
      </c>
    </row>
    <row r="979" spans="1:2" x14ac:dyDescent="0.2">
      <c r="A979" t="s">
        <v>3049</v>
      </c>
      <c r="B979" t="b">
        <v>0</v>
      </c>
    </row>
    <row r="980" spans="1:2" x14ac:dyDescent="0.2">
      <c r="A980" t="s">
        <v>3050</v>
      </c>
      <c r="B980" t="b">
        <v>0</v>
      </c>
    </row>
    <row r="981" spans="1:2" x14ac:dyDescent="0.2">
      <c r="A981" t="s">
        <v>3051</v>
      </c>
      <c r="B981" t="b">
        <v>0</v>
      </c>
    </row>
    <row r="982" spans="1:2" x14ac:dyDescent="0.2">
      <c r="A982" t="s">
        <v>3052</v>
      </c>
      <c r="B982" t="b">
        <v>0</v>
      </c>
    </row>
    <row r="983" spans="1:2" x14ac:dyDescent="0.2">
      <c r="A983" t="s">
        <v>3053</v>
      </c>
      <c r="B983" t="b">
        <v>0</v>
      </c>
    </row>
    <row r="984" spans="1:2" x14ac:dyDescent="0.2">
      <c r="A984" t="s">
        <v>3054</v>
      </c>
      <c r="B984" t="b">
        <v>0</v>
      </c>
    </row>
    <row r="985" spans="1:2" x14ac:dyDescent="0.2">
      <c r="A985" t="s">
        <v>3055</v>
      </c>
      <c r="B985" t="b">
        <v>0</v>
      </c>
    </row>
    <row r="986" spans="1:2" x14ac:dyDescent="0.2">
      <c r="A986" t="s">
        <v>3056</v>
      </c>
      <c r="B986" t="b">
        <v>0</v>
      </c>
    </row>
    <row r="987" spans="1:2" x14ac:dyDescent="0.2">
      <c r="A987" t="s">
        <v>3057</v>
      </c>
      <c r="B987" t="b">
        <v>0</v>
      </c>
    </row>
    <row r="988" spans="1:2" x14ac:dyDescent="0.2">
      <c r="A988" t="s">
        <v>3058</v>
      </c>
      <c r="B988" t="b">
        <v>0</v>
      </c>
    </row>
    <row r="989" spans="1:2" x14ac:dyDescent="0.2">
      <c r="A989" t="s">
        <v>3059</v>
      </c>
      <c r="B989" t="b">
        <v>0</v>
      </c>
    </row>
    <row r="990" spans="1:2" x14ac:dyDescent="0.2">
      <c r="A990" t="s">
        <v>3060</v>
      </c>
      <c r="B990" t="b">
        <v>0</v>
      </c>
    </row>
    <row r="991" spans="1:2" x14ac:dyDescent="0.2">
      <c r="A991" t="s">
        <v>3061</v>
      </c>
      <c r="B991" t="b">
        <v>0</v>
      </c>
    </row>
    <row r="992" spans="1:2" x14ac:dyDescent="0.2">
      <c r="A992" t="s">
        <v>3062</v>
      </c>
      <c r="B992" t="b">
        <v>0</v>
      </c>
    </row>
    <row r="993" spans="1:2" x14ac:dyDescent="0.2">
      <c r="A993" t="s">
        <v>3063</v>
      </c>
      <c r="B993" t="b">
        <v>0</v>
      </c>
    </row>
    <row r="994" spans="1:2" x14ac:dyDescent="0.2">
      <c r="A994" t="s">
        <v>3064</v>
      </c>
      <c r="B994" t="b">
        <v>0</v>
      </c>
    </row>
    <row r="995" spans="1:2" x14ac:dyDescent="0.2">
      <c r="A995" t="s">
        <v>3065</v>
      </c>
      <c r="B995" t="b">
        <v>0</v>
      </c>
    </row>
    <row r="996" spans="1:2" x14ac:dyDescent="0.2">
      <c r="A996" t="s">
        <v>3066</v>
      </c>
      <c r="B996" t="b">
        <v>0</v>
      </c>
    </row>
    <row r="997" spans="1:2" x14ac:dyDescent="0.2">
      <c r="A997" t="s">
        <v>3067</v>
      </c>
      <c r="B997" t="b">
        <v>0</v>
      </c>
    </row>
    <row r="998" spans="1:2" x14ac:dyDescent="0.2">
      <c r="A998" t="s">
        <v>3068</v>
      </c>
      <c r="B998" t="b">
        <v>0</v>
      </c>
    </row>
    <row r="999" spans="1:2" x14ac:dyDescent="0.2">
      <c r="A999" t="s">
        <v>3069</v>
      </c>
      <c r="B999" t="b">
        <v>0</v>
      </c>
    </row>
    <row r="1000" spans="1:2" x14ac:dyDescent="0.2">
      <c r="A1000" t="s">
        <v>3070</v>
      </c>
      <c r="B1000" t="b">
        <v>0</v>
      </c>
    </row>
    <row r="1001" spans="1:2" x14ac:dyDescent="0.2">
      <c r="A1001" t="s">
        <v>3071</v>
      </c>
      <c r="B1001" t="b">
        <v>0</v>
      </c>
    </row>
    <row r="1002" spans="1:2" x14ac:dyDescent="0.2">
      <c r="A1002" t="s">
        <v>3072</v>
      </c>
      <c r="B1002" t="b">
        <v>0</v>
      </c>
    </row>
    <row r="1003" spans="1:2" x14ac:dyDescent="0.2">
      <c r="A1003" t="s">
        <v>3073</v>
      </c>
      <c r="B1003" t="b">
        <v>0</v>
      </c>
    </row>
    <row r="1004" spans="1:2" x14ac:dyDescent="0.2">
      <c r="A1004" t="s">
        <v>3074</v>
      </c>
      <c r="B1004" t="b">
        <v>0</v>
      </c>
    </row>
    <row r="1005" spans="1:2" x14ac:dyDescent="0.2">
      <c r="A1005" t="s">
        <v>3075</v>
      </c>
      <c r="B1005" t="b">
        <v>0</v>
      </c>
    </row>
    <row r="1006" spans="1:2" x14ac:dyDescent="0.2">
      <c r="A1006" t="s">
        <v>3076</v>
      </c>
      <c r="B1006" t="b">
        <v>0</v>
      </c>
    </row>
    <row r="1007" spans="1:2" x14ac:dyDescent="0.2">
      <c r="A1007" t="s">
        <v>3077</v>
      </c>
      <c r="B1007" t="b">
        <v>0</v>
      </c>
    </row>
    <row r="1008" spans="1:2" x14ac:dyDescent="0.2">
      <c r="A1008" t="s">
        <v>3078</v>
      </c>
      <c r="B1008" t="b">
        <v>0</v>
      </c>
    </row>
    <row r="1009" spans="1:2" x14ac:dyDescent="0.2">
      <c r="A1009" t="s">
        <v>3079</v>
      </c>
      <c r="B1009" t="b">
        <v>0</v>
      </c>
    </row>
    <row r="1010" spans="1:2" x14ac:dyDescent="0.2">
      <c r="A1010" t="s">
        <v>3080</v>
      </c>
      <c r="B1010" t="b">
        <v>0</v>
      </c>
    </row>
    <row r="1011" spans="1:2" x14ac:dyDescent="0.2">
      <c r="A1011" t="s">
        <v>3081</v>
      </c>
      <c r="B1011" t="b">
        <v>0</v>
      </c>
    </row>
    <row r="1012" spans="1:2" x14ac:dyDescent="0.2">
      <c r="A1012" t="s">
        <v>3082</v>
      </c>
      <c r="B1012" t="b">
        <v>0</v>
      </c>
    </row>
    <row r="1013" spans="1:2" x14ac:dyDescent="0.2">
      <c r="A1013" t="s">
        <v>3083</v>
      </c>
      <c r="B1013" t="b">
        <v>0</v>
      </c>
    </row>
    <row r="1014" spans="1:2" x14ac:dyDescent="0.2">
      <c r="A1014" t="s">
        <v>3084</v>
      </c>
      <c r="B1014" t="b">
        <v>0</v>
      </c>
    </row>
    <row r="1015" spans="1:2" x14ac:dyDescent="0.2">
      <c r="A1015" t="s">
        <v>3085</v>
      </c>
      <c r="B1015" t="b">
        <v>0</v>
      </c>
    </row>
    <row r="1016" spans="1:2" x14ac:dyDescent="0.2">
      <c r="A1016" t="s">
        <v>3086</v>
      </c>
      <c r="B1016" t="b">
        <v>0</v>
      </c>
    </row>
    <row r="1017" spans="1:2" x14ac:dyDescent="0.2">
      <c r="A1017" t="s">
        <v>3087</v>
      </c>
      <c r="B1017" t="b">
        <v>0</v>
      </c>
    </row>
    <row r="1018" spans="1:2" x14ac:dyDescent="0.2">
      <c r="A1018" t="s">
        <v>3088</v>
      </c>
      <c r="B1018" t="b">
        <v>0</v>
      </c>
    </row>
    <row r="1019" spans="1:2" x14ac:dyDescent="0.2">
      <c r="A1019" t="s">
        <v>3089</v>
      </c>
      <c r="B1019" t="b">
        <v>0</v>
      </c>
    </row>
    <row r="1020" spans="1:2" x14ac:dyDescent="0.2">
      <c r="A1020" t="s">
        <v>3090</v>
      </c>
      <c r="B1020" t="b">
        <v>0</v>
      </c>
    </row>
    <row r="1021" spans="1:2" x14ac:dyDescent="0.2">
      <c r="A1021" t="s">
        <v>3091</v>
      </c>
      <c r="B1021" t="b">
        <v>0</v>
      </c>
    </row>
    <row r="1022" spans="1:2" x14ac:dyDescent="0.2">
      <c r="A1022" t="s">
        <v>3092</v>
      </c>
      <c r="B1022" t="b">
        <v>0</v>
      </c>
    </row>
    <row r="1023" spans="1:2" x14ac:dyDescent="0.2">
      <c r="A1023" t="s">
        <v>3093</v>
      </c>
      <c r="B1023" t="b">
        <v>0</v>
      </c>
    </row>
    <row r="1024" spans="1:2" x14ac:dyDescent="0.2">
      <c r="A1024" t="s">
        <v>3094</v>
      </c>
      <c r="B1024" t="b">
        <v>0</v>
      </c>
    </row>
    <row r="1025" spans="1:2" x14ac:dyDescent="0.2">
      <c r="A1025" t="s">
        <v>3095</v>
      </c>
      <c r="B1025" t="b">
        <v>0</v>
      </c>
    </row>
    <row r="1026" spans="1:2" x14ac:dyDescent="0.2">
      <c r="A1026" t="s">
        <v>3096</v>
      </c>
      <c r="B1026" t="b">
        <v>0</v>
      </c>
    </row>
    <row r="1027" spans="1:2" x14ac:dyDescent="0.2">
      <c r="A1027" t="s">
        <v>3097</v>
      </c>
      <c r="B1027" t="b">
        <v>0</v>
      </c>
    </row>
    <row r="1028" spans="1:2" x14ac:dyDescent="0.2">
      <c r="A1028" t="s">
        <v>3098</v>
      </c>
      <c r="B1028" t="b">
        <v>0</v>
      </c>
    </row>
    <row r="1029" spans="1:2" x14ac:dyDescent="0.2">
      <c r="A1029" t="s">
        <v>3099</v>
      </c>
      <c r="B1029" t="b">
        <v>0</v>
      </c>
    </row>
    <row r="1030" spans="1:2" x14ac:dyDescent="0.2">
      <c r="A1030" t="s">
        <v>3100</v>
      </c>
      <c r="B1030" t="b">
        <v>0</v>
      </c>
    </row>
    <row r="1031" spans="1:2" x14ac:dyDescent="0.2">
      <c r="A1031" t="s">
        <v>3101</v>
      </c>
      <c r="B1031" t="b">
        <v>0</v>
      </c>
    </row>
    <row r="1032" spans="1:2" x14ac:dyDescent="0.2">
      <c r="A1032" t="s">
        <v>3102</v>
      </c>
      <c r="B1032" t="b">
        <v>0</v>
      </c>
    </row>
    <row r="1033" spans="1:2" x14ac:dyDescent="0.2">
      <c r="A1033" t="s">
        <v>3103</v>
      </c>
      <c r="B1033" t="b">
        <v>0</v>
      </c>
    </row>
    <row r="1034" spans="1:2" x14ac:dyDescent="0.2">
      <c r="A1034" t="s">
        <v>3104</v>
      </c>
      <c r="B1034" t="b">
        <v>0</v>
      </c>
    </row>
    <row r="1035" spans="1:2" x14ac:dyDescent="0.2">
      <c r="A1035" t="s">
        <v>3105</v>
      </c>
      <c r="B1035" t="b">
        <v>0</v>
      </c>
    </row>
    <row r="1036" spans="1:2" x14ac:dyDescent="0.2">
      <c r="A1036" t="s">
        <v>3106</v>
      </c>
      <c r="B1036" t="b">
        <v>0</v>
      </c>
    </row>
    <row r="1037" spans="1:2" x14ac:dyDescent="0.2">
      <c r="A1037" t="s">
        <v>3107</v>
      </c>
      <c r="B1037" t="b">
        <v>0</v>
      </c>
    </row>
    <row r="1038" spans="1:2" x14ac:dyDescent="0.2">
      <c r="A1038" t="s">
        <v>3108</v>
      </c>
      <c r="B1038" t="b">
        <v>0</v>
      </c>
    </row>
    <row r="1039" spans="1:2" x14ac:dyDescent="0.2">
      <c r="A1039" t="s">
        <v>3109</v>
      </c>
      <c r="B1039" t="b">
        <v>0</v>
      </c>
    </row>
    <row r="1040" spans="1:2" x14ac:dyDescent="0.2">
      <c r="A1040" t="s">
        <v>3110</v>
      </c>
      <c r="B1040" t="b">
        <v>0</v>
      </c>
    </row>
    <row r="1041" spans="1:2" x14ac:dyDescent="0.2">
      <c r="A1041" t="s">
        <v>3111</v>
      </c>
      <c r="B1041" t="b">
        <v>0</v>
      </c>
    </row>
    <row r="1042" spans="1:2" x14ac:dyDescent="0.2">
      <c r="A1042" t="s">
        <v>3112</v>
      </c>
      <c r="B1042" t="b">
        <v>0</v>
      </c>
    </row>
    <row r="1043" spans="1:2" x14ac:dyDescent="0.2">
      <c r="A1043" t="s">
        <v>3113</v>
      </c>
      <c r="B1043" t="b">
        <v>0</v>
      </c>
    </row>
    <row r="1044" spans="1:2" x14ac:dyDescent="0.2">
      <c r="A1044" t="s">
        <v>3114</v>
      </c>
      <c r="B1044" t="b">
        <v>0</v>
      </c>
    </row>
    <row r="1045" spans="1:2" x14ac:dyDescent="0.2">
      <c r="A1045" t="s">
        <v>3115</v>
      </c>
      <c r="B1045" t="b">
        <v>0</v>
      </c>
    </row>
    <row r="1046" spans="1:2" x14ac:dyDescent="0.2">
      <c r="A1046" t="s">
        <v>3116</v>
      </c>
      <c r="B1046" t="b">
        <v>0</v>
      </c>
    </row>
    <row r="1047" spans="1:2" x14ac:dyDescent="0.2">
      <c r="A1047" t="s">
        <v>3117</v>
      </c>
      <c r="B1047" t="b">
        <v>0</v>
      </c>
    </row>
    <row r="1048" spans="1:2" x14ac:dyDescent="0.2">
      <c r="A1048" t="s">
        <v>3118</v>
      </c>
      <c r="B1048" t="b">
        <v>0</v>
      </c>
    </row>
    <row r="1049" spans="1:2" x14ac:dyDescent="0.2">
      <c r="A1049" t="s">
        <v>3119</v>
      </c>
      <c r="B1049" t="b">
        <v>0</v>
      </c>
    </row>
    <row r="1050" spans="1:2" x14ac:dyDescent="0.2">
      <c r="A1050" t="s">
        <v>3120</v>
      </c>
      <c r="B1050" t="b">
        <v>0</v>
      </c>
    </row>
    <row r="1051" spans="1:2" x14ac:dyDescent="0.2">
      <c r="A1051" t="s">
        <v>3121</v>
      </c>
      <c r="B1051" t="b">
        <v>0</v>
      </c>
    </row>
    <row r="1052" spans="1:2" x14ac:dyDescent="0.2">
      <c r="A1052" t="s">
        <v>3122</v>
      </c>
      <c r="B1052" t="b">
        <v>0</v>
      </c>
    </row>
    <row r="1053" spans="1:2" x14ac:dyDescent="0.2">
      <c r="A1053" t="s">
        <v>3123</v>
      </c>
      <c r="B1053" t="b">
        <v>0</v>
      </c>
    </row>
    <row r="1054" spans="1:2" x14ac:dyDescent="0.2">
      <c r="A1054" t="s">
        <v>3124</v>
      </c>
      <c r="B1054" t="b">
        <v>0</v>
      </c>
    </row>
    <row r="1055" spans="1:2" x14ac:dyDescent="0.2">
      <c r="A1055" t="s">
        <v>3125</v>
      </c>
      <c r="B1055" t="b">
        <v>0</v>
      </c>
    </row>
    <row r="1056" spans="1:2" x14ac:dyDescent="0.2">
      <c r="A1056" t="s">
        <v>3126</v>
      </c>
      <c r="B1056" t="b">
        <v>0</v>
      </c>
    </row>
    <row r="1057" spans="1:2" x14ac:dyDescent="0.2">
      <c r="A1057" t="s">
        <v>3127</v>
      </c>
      <c r="B1057" t="b">
        <v>0</v>
      </c>
    </row>
    <row r="1058" spans="1:2" x14ac:dyDescent="0.2">
      <c r="A1058" t="s">
        <v>3128</v>
      </c>
      <c r="B1058" t="b">
        <v>0</v>
      </c>
    </row>
    <row r="1059" spans="1:2" x14ac:dyDescent="0.2">
      <c r="A1059" t="s">
        <v>3129</v>
      </c>
      <c r="B1059" t="b">
        <v>0</v>
      </c>
    </row>
    <row r="1060" spans="1:2" x14ac:dyDescent="0.2">
      <c r="A1060" t="s">
        <v>3130</v>
      </c>
      <c r="B1060" t="b">
        <v>0</v>
      </c>
    </row>
    <row r="1061" spans="1:2" x14ac:dyDescent="0.2">
      <c r="A1061" t="s">
        <v>3131</v>
      </c>
      <c r="B1061" t="b">
        <v>0</v>
      </c>
    </row>
    <row r="1062" spans="1:2" x14ac:dyDescent="0.2">
      <c r="A1062" t="s">
        <v>3132</v>
      </c>
      <c r="B1062" t="b">
        <v>0</v>
      </c>
    </row>
    <row r="1063" spans="1:2" x14ac:dyDescent="0.2">
      <c r="A1063" t="s">
        <v>3133</v>
      </c>
      <c r="B1063" t="b">
        <v>0</v>
      </c>
    </row>
    <row r="1064" spans="1:2" x14ac:dyDescent="0.2">
      <c r="A1064" t="s">
        <v>3134</v>
      </c>
      <c r="B1064" t="b">
        <v>0</v>
      </c>
    </row>
    <row r="1065" spans="1:2" x14ac:dyDescent="0.2">
      <c r="A1065" t="s">
        <v>3135</v>
      </c>
      <c r="B1065" t="b">
        <v>0</v>
      </c>
    </row>
    <row r="1066" spans="1:2" x14ac:dyDescent="0.2">
      <c r="A1066" t="s">
        <v>3136</v>
      </c>
      <c r="B1066" t="b">
        <v>0</v>
      </c>
    </row>
    <row r="1067" spans="1:2" x14ac:dyDescent="0.2">
      <c r="A1067" t="s">
        <v>3137</v>
      </c>
      <c r="B1067" t="b">
        <v>0</v>
      </c>
    </row>
    <row r="1068" spans="1:2" x14ac:dyDescent="0.2">
      <c r="A1068" t="s">
        <v>3138</v>
      </c>
      <c r="B1068" t="b">
        <v>0</v>
      </c>
    </row>
    <row r="1069" spans="1:2" x14ac:dyDescent="0.2">
      <c r="A1069" t="s">
        <v>3139</v>
      </c>
      <c r="B1069" t="b">
        <v>0</v>
      </c>
    </row>
    <row r="1070" spans="1:2" x14ac:dyDescent="0.2">
      <c r="A1070" t="s">
        <v>3140</v>
      </c>
      <c r="B1070" t="b">
        <v>0</v>
      </c>
    </row>
    <row r="1071" spans="1:2" x14ac:dyDescent="0.2">
      <c r="A1071" t="s">
        <v>3141</v>
      </c>
      <c r="B1071" t="b">
        <v>0</v>
      </c>
    </row>
    <row r="1072" spans="1:2" x14ac:dyDescent="0.2">
      <c r="A1072" t="s">
        <v>3142</v>
      </c>
      <c r="B1072" t="b">
        <v>0</v>
      </c>
    </row>
    <row r="1073" spans="1:2" x14ac:dyDescent="0.2">
      <c r="A1073" t="s">
        <v>3143</v>
      </c>
      <c r="B1073" t="b">
        <v>0</v>
      </c>
    </row>
    <row r="1074" spans="1:2" x14ac:dyDescent="0.2">
      <c r="A1074" t="s">
        <v>3144</v>
      </c>
      <c r="B1074" t="b">
        <v>0</v>
      </c>
    </row>
    <row r="1075" spans="1:2" x14ac:dyDescent="0.2">
      <c r="A1075" t="s">
        <v>3145</v>
      </c>
      <c r="B1075" t="b">
        <v>0</v>
      </c>
    </row>
    <row r="1076" spans="1:2" x14ac:dyDescent="0.2">
      <c r="A1076" t="s">
        <v>3146</v>
      </c>
      <c r="B1076" t="b">
        <v>0</v>
      </c>
    </row>
    <row r="1077" spans="1:2" x14ac:dyDescent="0.2">
      <c r="A1077" t="s">
        <v>3147</v>
      </c>
      <c r="B1077" t="b">
        <v>0</v>
      </c>
    </row>
    <row r="1078" spans="1:2" x14ac:dyDescent="0.2">
      <c r="A1078" t="s">
        <v>3148</v>
      </c>
      <c r="B1078" t="b">
        <v>0</v>
      </c>
    </row>
    <row r="1079" spans="1:2" x14ac:dyDescent="0.2">
      <c r="A1079" t="s">
        <v>3149</v>
      </c>
      <c r="B1079" t="b">
        <v>0</v>
      </c>
    </row>
    <row r="1080" spans="1:2" x14ac:dyDescent="0.2">
      <c r="A1080" t="s">
        <v>3150</v>
      </c>
      <c r="B1080" t="b">
        <v>0</v>
      </c>
    </row>
    <row r="1081" spans="1:2" x14ac:dyDescent="0.2">
      <c r="A1081" t="s">
        <v>3151</v>
      </c>
      <c r="B1081" t="b">
        <v>0</v>
      </c>
    </row>
    <row r="1082" spans="1:2" x14ac:dyDescent="0.2">
      <c r="A1082" t="s">
        <v>3152</v>
      </c>
      <c r="B1082" t="b">
        <v>0</v>
      </c>
    </row>
    <row r="1083" spans="1:2" x14ac:dyDescent="0.2">
      <c r="A1083" t="s">
        <v>3153</v>
      </c>
      <c r="B1083" t="b">
        <v>0</v>
      </c>
    </row>
    <row r="1084" spans="1:2" x14ac:dyDescent="0.2">
      <c r="A1084" t="s">
        <v>3154</v>
      </c>
      <c r="B1084" t="b">
        <v>0</v>
      </c>
    </row>
    <row r="1085" spans="1:2" x14ac:dyDescent="0.2">
      <c r="A1085" t="s">
        <v>3155</v>
      </c>
      <c r="B1085" t="b">
        <v>0</v>
      </c>
    </row>
    <row r="1086" spans="1:2" x14ac:dyDescent="0.2">
      <c r="A1086" t="s">
        <v>3156</v>
      </c>
      <c r="B1086" t="b">
        <v>0</v>
      </c>
    </row>
    <row r="1087" spans="1:2" x14ac:dyDescent="0.2">
      <c r="A1087" t="s">
        <v>3157</v>
      </c>
      <c r="B1087" t="b">
        <v>0</v>
      </c>
    </row>
    <row r="1088" spans="1:2" x14ac:dyDescent="0.2">
      <c r="A1088" t="s">
        <v>3158</v>
      </c>
      <c r="B1088" t="b">
        <v>0</v>
      </c>
    </row>
    <row r="1089" spans="1:2" x14ac:dyDescent="0.2">
      <c r="A1089" t="s">
        <v>3159</v>
      </c>
      <c r="B1089" t="b">
        <v>0</v>
      </c>
    </row>
    <row r="1090" spans="1:2" x14ac:dyDescent="0.2">
      <c r="A1090" t="s">
        <v>3160</v>
      </c>
      <c r="B1090" t="b">
        <v>0</v>
      </c>
    </row>
    <row r="1091" spans="1:2" x14ac:dyDescent="0.2">
      <c r="A1091" t="s">
        <v>3161</v>
      </c>
      <c r="B1091" t="b">
        <v>0</v>
      </c>
    </row>
    <row r="1092" spans="1:2" x14ac:dyDescent="0.2">
      <c r="A1092" t="s">
        <v>3162</v>
      </c>
      <c r="B1092" t="b">
        <v>0</v>
      </c>
    </row>
    <row r="1093" spans="1:2" x14ac:dyDescent="0.2">
      <c r="A1093" t="s">
        <v>3163</v>
      </c>
      <c r="B1093" t="b">
        <v>0</v>
      </c>
    </row>
    <row r="1094" spans="1:2" x14ac:dyDescent="0.2">
      <c r="A1094" t="s">
        <v>3164</v>
      </c>
      <c r="B1094" t="b">
        <v>0</v>
      </c>
    </row>
    <row r="1095" spans="1:2" x14ac:dyDescent="0.2">
      <c r="A1095" t="s">
        <v>3165</v>
      </c>
      <c r="B1095" t="b">
        <v>0</v>
      </c>
    </row>
    <row r="1096" spans="1:2" x14ac:dyDescent="0.2">
      <c r="A1096" t="s">
        <v>3166</v>
      </c>
      <c r="B1096" t="b">
        <v>0</v>
      </c>
    </row>
    <row r="1097" spans="1:2" x14ac:dyDescent="0.2">
      <c r="A1097" t="s">
        <v>3167</v>
      </c>
      <c r="B1097" t="b">
        <v>0</v>
      </c>
    </row>
    <row r="1098" spans="1:2" x14ac:dyDescent="0.2">
      <c r="A1098" t="s">
        <v>3168</v>
      </c>
      <c r="B1098" t="b">
        <v>0</v>
      </c>
    </row>
    <row r="1099" spans="1:2" x14ac:dyDescent="0.2">
      <c r="A1099" t="s">
        <v>3169</v>
      </c>
      <c r="B1099" t="b">
        <v>0</v>
      </c>
    </row>
    <row r="1100" spans="1:2" x14ac:dyDescent="0.2">
      <c r="A1100" t="s">
        <v>3170</v>
      </c>
      <c r="B1100" t="b">
        <v>0</v>
      </c>
    </row>
    <row r="1101" spans="1:2" x14ac:dyDescent="0.2">
      <c r="A1101" t="s">
        <v>3171</v>
      </c>
      <c r="B1101" t="b">
        <v>0</v>
      </c>
    </row>
    <row r="1102" spans="1:2" x14ac:dyDescent="0.2">
      <c r="A1102" t="s">
        <v>3172</v>
      </c>
      <c r="B1102" t="b">
        <v>0</v>
      </c>
    </row>
    <row r="1103" spans="1:2" x14ac:dyDescent="0.2">
      <c r="A1103" t="s">
        <v>3173</v>
      </c>
      <c r="B1103" t="b">
        <v>0</v>
      </c>
    </row>
    <row r="1104" spans="1:2" x14ac:dyDescent="0.2">
      <c r="A1104" t="s">
        <v>3174</v>
      </c>
      <c r="B1104" t="b">
        <v>0</v>
      </c>
    </row>
    <row r="1105" spans="1:2" x14ac:dyDescent="0.2">
      <c r="A1105" t="s">
        <v>3175</v>
      </c>
      <c r="B1105" t="b">
        <v>0</v>
      </c>
    </row>
    <row r="1106" spans="1:2" x14ac:dyDescent="0.2">
      <c r="A1106" t="s">
        <v>3176</v>
      </c>
      <c r="B1106" t="b">
        <v>0</v>
      </c>
    </row>
    <row r="1107" spans="1:2" x14ac:dyDescent="0.2">
      <c r="A1107" t="s">
        <v>3177</v>
      </c>
      <c r="B1107" t="b">
        <v>0</v>
      </c>
    </row>
    <row r="1108" spans="1:2" x14ac:dyDescent="0.2">
      <c r="A1108" t="s">
        <v>3178</v>
      </c>
      <c r="B1108" t="b">
        <v>0</v>
      </c>
    </row>
    <row r="1109" spans="1:2" x14ac:dyDescent="0.2">
      <c r="A1109" t="s">
        <v>3179</v>
      </c>
      <c r="B1109" t="b">
        <v>0</v>
      </c>
    </row>
    <row r="1110" spans="1:2" x14ac:dyDescent="0.2">
      <c r="A1110" t="s">
        <v>3180</v>
      </c>
      <c r="B1110" t="b">
        <v>0</v>
      </c>
    </row>
    <row r="1111" spans="1:2" x14ac:dyDescent="0.2">
      <c r="A1111" t="s">
        <v>3181</v>
      </c>
      <c r="B1111" t="b">
        <v>0</v>
      </c>
    </row>
    <row r="1112" spans="1:2" x14ac:dyDescent="0.2">
      <c r="A1112" t="s">
        <v>3182</v>
      </c>
      <c r="B1112" t="b">
        <v>0</v>
      </c>
    </row>
    <row r="1113" spans="1:2" x14ac:dyDescent="0.2">
      <c r="A1113" t="s">
        <v>3183</v>
      </c>
      <c r="B1113" t="b">
        <v>0</v>
      </c>
    </row>
    <row r="1114" spans="1:2" x14ac:dyDescent="0.2">
      <c r="A1114" t="s">
        <v>3184</v>
      </c>
      <c r="B1114" t="b">
        <v>0</v>
      </c>
    </row>
    <row r="1115" spans="1:2" x14ac:dyDescent="0.2">
      <c r="A1115" t="s">
        <v>3185</v>
      </c>
      <c r="B1115" t="b">
        <v>0</v>
      </c>
    </row>
    <row r="1116" spans="1:2" x14ac:dyDescent="0.2">
      <c r="A1116" t="s">
        <v>3186</v>
      </c>
      <c r="B1116" t="b">
        <v>0</v>
      </c>
    </row>
    <row r="1117" spans="1:2" x14ac:dyDescent="0.2">
      <c r="A1117" t="s">
        <v>3187</v>
      </c>
      <c r="B1117" t="b">
        <v>0</v>
      </c>
    </row>
    <row r="1118" spans="1:2" x14ac:dyDescent="0.2">
      <c r="A1118" t="s">
        <v>3188</v>
      </c>
      <c r="B1118" t="b">
        <v>0</v>
      </c>
    </row>
    <row r="1119" spans="1:2" x14ac:dyDescent="0.2">
      <c r="A1119" t="s">
        <v>3189</v>
      </c>
      <c r="B1119" t="b">
        <v>0</v>
      </c>
    </row>
    <row r="1120" spans="1:2" x14ac:dyDescent="0.2">
      <c r="A1120" t="s">
        <v>3190</v>
      </c>
      <c r="B1120" t="b">
        <v>0</v>
      </c>
    </row>
    <row r="1121" spans="1:2" x14ac:dyDescent="0.2">
      <c r="A1121" t="s">
        <v>3191</v>
      </c>
      <c r="B1121" t="b">
        <v>0</v>
      </c>
    </row>
    <row r="1122" spans="1:2" x14ac:dyDescent="0.2">
      <c r="A1122" t="s">
        <v>3192</v>
      </c>
      <c r="B1122" t="b">
        <v>0</v>
      </c>
    </row>
    <row r="1123" spans="1:2" x14ac:dyDescent="0.2">
      <c r="A1123" t="s">
        <v>3193</v>
      </c>
      <c r="B1123" t="b">
        <v>0</v>
      </c>
    </row>
    <row r="1124" spans="1:2" x14ac:dyDescent="0.2">
      <c r="A1124" t="s">
        <v>3194</v>
      </c>
      <c r="B1124" t="b">
        <v>0</v>
      </c>
    </row>
    <row r="1125" spans="1:2" x14ac:dyDescent="0.2">
      <c r="A1125" t="s">
        <v>3195</v>
      </c>
      <c r="B1125" t="b">
        <v>0</v>
      </c>
    </row>
    <row r="1126" spans="1:2" x14ac:dyDescent="0.2">
      <c r="A1126" t="s">
        <v>3196</v>
      </c>
      <c r="B1126" t="b">
        <v>0</v>
      </c>
    </row>
    <row r="1127" spans="1:2" x14ac:dyDescent="0.2">
      <c r="A1127" t="s">
        <v>3197</v>
      </c>
      <c r="B1127" t="b">
        <v>0</v>
      </c>
    </row>
    <row r="1128" spans="1:2" x14ac:dyDescent="0.2">
      <c r="A1128" t="s">
        <v>3198</v>
      </c>
      <c r="B1128" t="b">
        <v>0</v>
      </c>
    </row>
    <row r="1129" spans="1:2" x14ac:dyDescent="0.2">
      <c r="A1129" t="s">
        <v>3199</v>
      </c>
      <c r="B1129" t="b">
        <v>0</v>
      </c>
    </row>
    <row r="1130" spans="1:2" x14ac:dyDescent="0.2">
      <c r="A1130" t="s">
        <v>3200</v>
      </c>
      <c r="B1130" t="b">
        <v>0</v>
      </c>
    </row>
    <row r="1131" spans="1:2" x14ac:dyDescent="0.2">
      <c r="A1131" t="s">
        <v>3201</v>
      </c>
      <c r="B1131" t="b">
        <v>0</v>
      </c>
    </row>
    <row r="1132" spans="1:2" x14ac:dyDescent="0.2">
      <c r="A1132" t="s">
        <v>3202</v>
      </c>
      <c r="B1132" t="b">
        <v>0</v>
      </c>
    </row>
    <row r="1133" spans="1:2" x14ac:dyDescent="0.2">
      <c r="A1133" t="s">
        <v>3203</v>
      </c>
      <c r="B1133" t="b">
        <v>0</v>
      </c>
    </row>
    <row r="1134" spans="1:2" x14ac:dyDescent="0.2">
      <c r="A1134" t="s">
        <v>3204</v>
      </c>
      <c r="B1134" t="b">
        <v>0</v>
      </c>
    </row>
    <row r="1135" spans="1:2" x14ac:dyDescent="0.2">
      <c r="A1135" t="s">
        <v>3205</v>
      </c>
      <c r="B1135" t="s">
        <v>4694</v>
      </c>
    </row>
    <row r="1136" spans="1:2" x14ac:dyDescent="0.2">
      <c r="A1136" t="s">
        <v>3206</v>
      </c>
      <c r="B1136" t="b">
        <v>0</v>
      </c>
    </row>
    <row r="1137" spans="1:2" x14ac:dyDescent="0.2">
      <c r="A1137" t="s">
        <v>3207</v>
      </c>
      <c r="B1137" t="b">
        <v>0</v>
      </c>
    </row>
    <row r="1138" spans="1:2" x14ac:dyDescent="0.2">
      <c r="A1138" t="s">
        <v>3208</v>
      </c>
      <c r="B1138" t="b">
        <v>0</v>
      </c>
    </row>
    <row r="1139" spans="1:2" x14ac:dyDescent="0.2">
      <c r="A1139" t="s">
        <v>3209</v>
      </c>
      <c r="B1139" t="b">
        <v>0</v>
      </c>
    </row>
    <row r="1140" spans="1:2" x14ac:dyDescent="0.2">
      <c r="A1140" t="s">
        <v>3210</v>
      </c>
      <c r="B1140" t="b">
        <v>0</v>
      </c>
    </row>
    <row r="1141" spans="1:2" x14ac:dyDescent="0.2">
      <c r="A1141" t="s">
        <v>3211</v>
      </c>
      <c r="B1141" t="b">
        <v>0</v>
      </c>
    </row>
    <row r="1142" spans="1:2" x14ac:dyDescent="0.2">
      <c r="A1142" t="s">
        <v>3212</v>
      </c>
      <c r="B1142" t="b">
        <v>0</v>
      </c>
    </row>
    <row r="1143" spans="1:2" x14ac:dyDescent="0.2">
      <c r="A1143" t="s">
        <v>3213</v>
      </c>
      <c r="B1143" t="b">
        <v>0</v>
      </c>
    </row>
    <row r="1144" spans="1:2" x14ac:dyDescent="0.2">
      <c r="A1144" t="s">
        <v>3214</v>
      </c>
      <c r="B1144" t="b">
        <v>0</v>
      </c>
    </row>
    <row r="1145" spans="1:2" x14ac:dyDescent="0.2">
      <c r="A1145" t="s">
        <v>3215</v>
      </c>
      <c r="B1145" t="b">
        <v>0</v>
      </c>
    </row>
    <row r="1146" spans="1:2" x14ac:dyDescent="0.2">
      <c r="A1146" t="s">
        <v>3216</v>
      </c>
      <c r="B1146" t="b">
        <v>0</v>
      </c>
    </row>
    <row r="1147" spans="1:2" x14ac:dyDescent="0.2">
      <c r="A1147" t="s">
        <v>3217</v>
      </c>
      <c r="B1147" t="b">
        <v>0</v>
      </c>
    </row>
    <row r="1148" spans="1:2" x14ac:dyDescent="0.2">
      <c r="A1148" t="s">
        <v>3218</v>
      </c>
      <c r="B1148" t="b">
        <v>0</v>
      </c>
    </row>
    <row r="1149" spans="1:2" x14ac:dyDescent="0.2">
      <c r="A1149" t="s">
        <v>3219</v>
      </c>
      <c r="B1149" t="b">
        <v>0</v>
      </c>
    </row>
    <row r="1150" spans="1:2" x14ac:dyDescent="0.2">
      <c r="A1150" t="s">
        <v>3220</v>
      </c>
      <c r="B1150" t="b">
        <v>0</v>
      </c>
    </row>
    <row r="1151" spans="1:2" x14ac:dyDescent="0.2">
      <c r="A1151" t="s">
        <v>3221</v>
      </c>
      <c r="B1151" t="b">
        <v>0</v>
      </c>
    </row>
    <row r="1152" spans="1:2" x14ac:dyDescent="0.2">
      <c r="A1152" t="s">
        <v>3222</v>
      </c>
      <c r="B1152" t="b">
        <v>0</v>
      </c>
    </row>
    <row r="1153" spans="1:2" x14ac:dyDescent="0.2">
      <c r="A1153" t="s">
        <v>3223</v>
      </c>
      <c r="B1153" t="b">
        <v>0</v>
      </c>
    </row>
    <row r="1154" spans="1:2" x14ac:dyDescent="0.2">
      <c r="A1154" t="s">
        <v>3224</v>
      </c>
      <c r="B1154" t="b">
        <v>0</v>
      </c>
    </row>
    <row r="1155" spans="1:2" x14ac:dyDescent="0.2">
      <c r="A1155" t="s">
        <v>3225</v>
      </c>
      <c r="B1155" t="b">
        <v>0</v>
      </c>
    </row>
    <row r="1156" spans="1:2" x14ac:dyDescent="0.2">
      <c r="A1156" t="s">
        <v>3226</v>
      </c>
      <c r="B1156" t="b">
        <v>0</v>
      </c>
    </row>
    <row r="1157" spans="1:2" x14ac:dyDescent="0.2">
      <c r="A1157" t="s">
        <v>3227</v>
      </c>
      <c r="B1157" t="b">
        <v>0</v>
      </c>
    </row>
    <row r="1158" spans="1:2" x14ac:dyDescent="0.2">
      <c r="A1158" t="s">
        <v>3228</v>
      </c>
      <c r="B1158" t="b">
        <v>0</v>
      </c>
    </row>
    <row r="1159" spans="1:2" x14ac:dyDescent="0.2">
      <c r="A1159" t="s">
        <v>3229</v>
      </c>
      <c r="B1159" t="b">
        <v>0</v>
      </c>
    </row>
    <row r="1160" spans="1:2" x14ac:dyDescent="0.2">
      <c r="A1160" t="s">
        <v>3230</v>
      </c>
      <c r="B1160" t="b">
        <v>0</v>
      </c>
    </row>
    <row r="1161" spans="1:2" x14ac:dyDescent="0.2">
      <c r="A1161" t="s">
        <v>3231</v>
      </c>
      <c r="B1161" t="b">
        <v>0</v>
      </c>
    </row>
    <row r="1162" spans="1:2" x14ac:dyDescent="0.2">
      <c r="A1162" t="s">
        <v>3232</v>
      </c>
      <c r="B1162" t="b">
        <v>0</v>
      </c>
    </row>
    <row r="1163" spans="1:2" x14ac:dyDescent="0.2">
      <c r="A1163" t="s">
        <v>3233</v>
      </c>
      <c r="B1163" t="b">
        <v>0</v>
      </c>
    </row>
    <row r="1164" spans="1:2" x14ac:dyDescent="0.2">
      <c r="A1164" t="s">
        <v>3234</v>
      </c>
      <c r="B1164" t="b">
        <v>0</v>
      </c>
    </row>
    <row r="1165" spans="1:2" x14ac:dyDescent="0.2">
      <c r="A1165" t="s">
        <v>3235</v>
      </c>
      <c r="B1165" t="b">
        <v>0</v>
      </c>
    </row>
    <row r="1166" spans="1:2" x14ac:dyDescent="0.2">
      <c r="A1166" t="s">
        <v>3236</v>
      </c>
      <c r="B1166" t="b">
        <v>0</v>
      </c>
    </row>
    <row r="1167" spans="1:2" x14ac:dyDescent="0.2">
      <c r="A1167" t="s">
        <v>3237</v>
      </c>
      <c r="B1167" t="b">
        <v>0</v>
      </c>
    </row>
    <row r="1168" spans="1:2" x14ac:dyDescent="0.2">
      <c r="A1168" t="s">
        <v>3540</v>
      </c>
      <c r="B1168">
        <v>0</v>
      </c>
    </row>
    <row r="1169" spans="1:2" x14ac:dyDescent="0.2">
      <c r="A1169" t="s">
        <v>3541</v>
      </c>
      <c r="B1169">
        <v>0</v>
      </c>
    </row>
    <row r="1170" spans="1:2" x14ac:dyDescent="0.2">
      <c r="A1170" t="s">
        <v>3538</v>
      </c>
      <c r="B1170">
        <v>0</v>
      </c>
    </row>
    <row r="1171" spans="1:2" x14ac:dyDescent="0.2">
      <c r="A1171" t="s">
        <v>3537</v>
      </c>
      <c r="B1171">
        <v>2</v>
      </c>
    </row>
    <row r="1172" spans="1:2" x14ac:dyDescent="0.2">
      <c r="A1172" t="s">
        <v>3539</v>
      </c>
      <c r="B1172">
        <v>0</v>
      </c>
    </row>
    <row r="1173" spans="1:2" x14ac:dyDescent="0.2">
      <c r="A1173" t="s">
        <v>2127</v>
      </c>
      <c r="B1173" t="b">
        <v>0</v>
      </c>
    </row>
    <row r="1174" spans="1:2" x14ac:dyDescent="0.2">
      <c r="A1174" t="s">
        <v>2128</v>
      </c>
      <c r="B1174" t="b">
        <v>0</v>
      </c>
    </row>
    <row r="1175" spans="1:2" x14ac:dyDescent="0.2">
      <c r="A1175" t="s">
        <v>2129</v>
      </c>
      <c r="B1175" t="b">
        <v>0</v>
      </c>
    </row>
    <row r="1176" spans="1:2" x14ac:dyDescent="0.2">
      <c r="A1176" t="s">
        <v>2130</v>
      </c>
      <c r="B1176" t="b">
        <v>0</v>
      </c>
    </row>
    <row r="1177" spans="1:2" x14ac:dyDescent="0.2">
      <c r="A1177" t="s">
        <v>2131</v>
      </c>
      <c r="B1177" t="b">
        <v>0</v>
      </c>
    </row>
    <row r="1178" spans="1:2" x14ac:dyDescent="0.2">
      <c r="A1178" t="s">
        <v>2132</v>
      </c>
      <c r="B1178" t="b">
        <v>0</v>
      </c>
    </row>
    <row r="1179" spans="1:2" x14ac:dyDescent="0.2">
      <c r="A1179" t="s">
        <v>2133</v>
      </c>
      <c r="B1179" t="b">
        <v>0</v>
      </c>
    </row>
    <row r="1180" spans="1:2" x14ac:dyDescent="0.2">
      <c r="A1180" t="s">
        <v>2134</v>
      </c>
      <c r="B1180" t="b">
        <v>0</v>
      </c>
    </row>
    <row r="1181" spans="1:2" x14ac:dyDescent="0.2">
      <c r="A1181" t="s">
        <v>2135</v>
      </c>
      <c r="B1181" t="b">
        <v>0</v>
      </c>
    </row>
    <row r="1182" spans="1:2" x14ac:dyDescent="0.2">
      <c r="A1182" t="s">
        <v>2136</v>
      </c>
      <c r="B1182" t="b">
        <v>0</v>
      </c>
    </row>
    <row r="1183" spans="1:2" x14ac:dyDescent="0.2">
      <c r="A1183" t="s">
        <v>2137</v>
      </c>
      <c r="B1183" t="b">
        <v>0</v>
      </c>
    </row>
    <row r="1184" spans="1:2" x14ac:dyDescent="0.2">
      <c r="A1184" t="s">
        <v>2138</v>
      </c>
      <c r="B1184" t="b">
        <v>0</v>
      </c>
    </row>
    <row r="1185" spans="1:2" x14ac:dyDescent="0.2">
      <c r="A1185" t="s">
        <v>2139</v>
      </c>
      <c r="B1185" t="b">
        <v>0</v>
      </c>
    </row>
    <row r="1186" spans="1:2" x14ac:dyDescent="0.2">
      <c r="A1186" t="s">
        <v>2140</v>
      </c>
      <c r="B1186" t="b">
        <v>0</v>
      </c>
    </row>
    <row r="1187" spans="1:2" x14ac:dyDescent="0.2">
      <c r="A1187" t="s">
        <v>2141</v>
      </c>
      <c r="B1187" t="b">
        <v>0</v>
      </c>
    </row>
    <row r="1188" spans="1:2" x14ac:dyDescent="0.2">
      <c r="A1188" t="s">
        <v>2142</v>
      </c>
      <c r="B1188" t="b">
        <v>0</v>
      </c>
    </row>
    <row r="1189" spans="1:2" x14ac:dyDescent="0.2">
      <c r="A1189" t="s">
        <v>2143</v>
      </c>
      <c r="B1189" t="b">
        <v>0</v>
      </c>
    </row>
    <row r="1190" spans="1:2" x14ac:dyDescent="0.2">
      <c r="A1190" t="s">
        <v>2144</v>
      </c>
      <c r="B1190" t="b">
        <v>0</v>
      </c>
    </row>
    <row r="1191" spans="1:2" x14ac:dyDescent="0.2">
      <c r="A1191" t="s">
        <v>2145</v>
      </c>
      <c r="B1191" t="b">
        <v>0</v>
      </c>
    </row>
    <row r="1192" spans="1:2" x14ac:dyDescent="0.2">
      <c r="A1192" t="s">
        <v>2146</v>
      </c>
      <c r="B1192" t="b">
        <v>0</v>
      </c>
    </row>
    <row r="1193" spans="1:2" x14ac:dyDescent="0.2">
      <c r="A1193" t="s">
        <v>2147</v>
      </c>
      <c r="B1193" t="b">
        <v>0</v>
      </c>
    </row>
    <row r="1194" spans="1:2" x14ac:dyDescent="0.2">
      <c r="A1194" t="s">
        <v>2148</v>
      </c>
      <c r="B1194" t="b">
        <v>0</v>
      </c>
    </row>
    <row r="1195" spans="1:2" x14ac:dyDescent="0.2">
      <c r="A1195" t="s">
        <v>2149</v>
      </c>
      <c r="B1195" t="b">
        <v>0</v>
      </c>
    </row>
    <row r="1196" spans="1:2" x14ac:dyDescent="0.2">
      <c r="A1196" t="s">
        <v>2150</v>
      </c>
      <c r="B1196" t="b">
        <v>0</v>
      </c>
    </row>
    <row r="1197" spans="1:2" x14ac:dyDescent="0.2">
      <c r="A1197" t="s">
        <v>2151</v>
      </c>
      <c r="B1197" t="b">
        <v>0</v>
      </c>
    </row>
    <row r="1198" spans="1:2" x14ac:dyDescent="0.2">
      <c r="A1198" t="s">
        <v>2152</v>
      </c>
      <c r="B1198" t="b">
        <v>0</v>
      </c>
    </row>
    <row r="1199" spans="1:2" x14ac:dyDescent="0.2">
      <c r="A1199" t="s">
        <v>2153</v>
      </c>
      <c r="B1199" t="b">
        <v>0</v>
      </c>
    </row>
    <row r="1200" spans="1:2" x14ac:dyDescent="0.2">
      <c r="A1200" t="s">
        <v>2154</v>
      </c>
      <c r="B1200" t="b">
        <v>0</v>
      </c>
    </row>
    <row r="1201" spans="1:2" x14ac:dyDescent="0.2">
      <c r="A1201" t="s">
        <v>2155</v>
      </c>
      <c r="B1201" t="b">
        <v>0</v>
      </c>
    </row>
    <row r="1202" spans="1:2" x14ac:dyDescent="0.2">
      <c r="A1202" t="s">
        <v>2156</v>
      </c>
      <c r="B1202" t="b">
        <v>0</v>
      </c>
    </row>
    <row r="1203" spans="1:2" x14ac:dyDescent="0.2">
      <c r="A1203" t="s">
        <v>2157</v>
      </c>
      <c r="B1203" t="b">
        <v>0</v>
      </c>
    </row>
    <row r="1204" spans="1:2" x14ac:dyDescent="0.2">
      <c r="A1204" t="s">
        <v>2158</v>
      </c>
      <c r="B1204" t="b">
        <v>0</v>
      </c>
    </row>
    <row r="1205" spans="1:2" x14ac:dyDescent="0.2">
      <c r="A1205" t="s">
        <v>2159</v>
      </c>
      <c r="B1205" t="b">
        <v>0</v>
      </c>
    </row>
    <row r="1206" spans="1:2" x14ac:dyDescent="0.2">
      <c r="A1206" t="s">
        <v>2160</v>
      </c>
      <c r="B1206" t="b">
        <v>0</v>
      </c>
    </row>
    <row r="1207" spans="1:2" x14ac:dyDescent="0.2">
      <c r="A1207" t="s">
        <v>2161</v>
      </c>
      <c r="B1207" t="b">
        <v>0</v>
      </c>
    </row>
    <row r="1208" spans="1:2" x14ac:dyDescent="0.2">
      <c r="A1208" t="s">
        <v>2162</v>
      </c>
      <c r="B1208" t="b">
        <v>0</v>
      </c>
    </row>
    <row r="1209" spans="1:2" x14ac:dyDescent="0.2">
      <c r="A1209" t="s">
        <v>2163</v>
      </c>
      <c r="B1209" t="b">
        <v>0</v>
      </c>
    </row>
    <row r="1210" spans="1:2" x14ac:dyDescent="0.2">
      <c r="A1210" t="s">
        <v>2164</v>
      </c>
      <c r="B1210" t="b">
        <v>0</v>
      </c>
    </row>
    <row r="1211" spans="1:2" x14ac:dyDescent="0.2">
      <c r="A1211" t="s">
        <v>2165</v>
      </c>
      <c r="B1211" t="b">
        <v>0</v>
      </c>
    </row>
    <row r="1212" spans="1:2" x14ac:dyDescent="0.2">
      <c r="A1212" t="s">
        <v>2166</v>
      </c>
      <c r="B1212" t="b">
        <v>0</v>
      </c>
    </row>
    <row r="1213" spans="1:2" x14ac:dyDescent="0.2">
      <c r="A1213" t="s">
        <v>2167</v>
      </c>
      <c r="B1213" t="b">
        <v>0</v>
      </c>
    </row>
    <row r="1214" spans="1:2" x14ac:dyDescent="0.2">
      <c r="A1214" t="s">
        <v>2168</v>
      </c>
      <c r="B1214" t="b">
        <v>0</v>
      </c>
    </row>
    <row r="1215" spans="1:2" x14ac:dyDescent="0.2">
      <c r="A1215" t="s">
        <v>2169</v>
      </c>
      <c r="B1215">
        <v>0</v>
      </c>
    </row>
    <row r="1216" spans="1:2" x14ac:dyDescent="0.2">
      <c r="A1216" t="s">
        <v>2170</v>
      </c>
      <c r="B1216">
        <v>0</v>
      </c>
    </row>
    <row r="1217" spans="1:2" x14ac:dyDescent="0.2">
      <c r="A1217" t="s">
        <v>2171</v>
      </c>
      <c r="B1217">
        <v>0</v>
      </c>
    </row>
    <row r="1218" spans="1:2" x14ac:dyDescent="0.2">
      <c r="A1218" t="s">
        <v>2172</v>
      </c>
      <c r="B1218">
        <v>0</v>
      </c>
    </row>
    <row r="1219" spans="1:2" x14ac:dyDescent="0.2">
      <c r="A1219" t="s">
        <v>2173</v>
      </c>
      <c r="B1219">
        <v>0</v>
      </c>
    </row>
    <row r="1220" spans="1:2" x14ac:dyDescent="0.2">
      <c r="A1220" t="s">
        <v>2174</v>
      </c>
      <c r="B1220">
        <v>0</v>
      </c>
    </row>
    <row r="1221" spans="1:2" x14ac:dyDescent="0.2">
      <c r="A1221" t="s">
        <v>2175</v>
      </c>
      <c r="B1221">
        <v>0</v>
      </c>
    </row>
    <row r="1222" spans="1:2" x14ac:dyDescent="0.2">
      <c r="A1222" t="s">
        <v>2176</v>
      </c>
      <c r="B1222">
        <v>0</v>
      </c>
    </row>
    <row r="1223" spans="1:2" x14ac:dyDescent="0.2">
      <c r="A1223" t="s">
        <v>2177</v>
      </c>
      <c r="B1223">
        <v>0</v>
      </c>
    </row>
    <row r="1224" spans="1:2" x14ac:dyDescent="0.2">
      <c r="A1224" t="s">
        <v>2178</v>
      </c>
      <c r="B1224" t="s">
        <v>4694</v>
      </c>
    </row>
    <row r="1225" spans="1:2" x14ac:dyDescent="0.2">
      <c r="A1225" t="s">
        <v>2179</v>
      </c>
      <c r="B1225">
        <v>0</v>
      </c>
    </row>
    <row r="1226" spans="1:2" x14ac:dyDescent="0.2">
      <c r="A1226" t="s">
        <v>2180</v>
      </c>
      <c r="B1226">
        <v>1</v>
      </c>
    </row>
    <row r="1227" spans="1:2" x14ac:dyDescent="0.2">
      <c r="A1227" t="s">
        <v>2181</v>
      </c>
      <c r="B1227">
        <v>1</v>
      </c>
    </row>
    <row r="1228" spans="1:2" x14ac:dyDescent="0.2">
      <c r="A1228" t="s">
        <v>2182</v>
      </c>
      <c r="B1228">
        <v>1</v>
      </c>
    </row>
    <row r="1229" spans="1:2" x14ac:dyDescent="0.2">
      <c r="A1229" t="s">
        <v>2183</v>
      </c>
      <c r="B1229">
        <v>1</v>
      </c>
    </row>
    <row r="1230" spans="1:2" x14ac:dyDescent="0.2">
      <c r="A1230" t="s">
        <v>2184</v>
      </c>
      <c r="B1230">
        <v>1</v>
      </c>
    </row>
    <row r="1231" spans="1:2" x14ac:dyDescent="0.2">
      <c r="A1231" t="s">
        <v>2185</v>
      </c>
      <c r="B1231">
        <v>1</v>
      </c>
    </row>
    <row r="1232" spans="1:2" x14ac:dyDescent="0.2">
      <c r="A1232" t="s">
        <v>2186</v>
      </c>
      <c r="B1232">
        <v>1</v>
      </c>
    </row>
    <row r="1233" spans="1:2" x14ac:dyDescent="0.2">
      <c r="A1233" t="s">
        <v>2187</v>
      </c>
      <c r="B1233">
        <v>1</v>
      </c>
    </row>
    <row r="1234" spans="1:2" x14ac:dyDescent="0.2">
      <c r="A1234" t="s">
        <v>2188</v>
      </c>
      <c r="B1234">
        <v>1</v>
      </c>
    </row>
    <row r="1235" spans="1:2" x14ac:dyDescent="0.2">
      <c r="A1235" t="s">
        <v>2189</v>
      </c>
      <c r="B1235">
        <v>1</v>
      </c>
    </row>
    <row r="1236" spans="1:2" x14ac:dyDescent="0.2">
      <c r="A1236" t="s">
        <v>3238</v>
      </c>
      <c r="B1236" t="s">
        <v>4694</v>
      </c>
    </row>
    <row r="1237" spans="1:2" x14ac:dyDescent="0.2">
      <c r="A1237" t="s">
        <v>2190</v>
      </c>
      <c r="B1237" t="s">
        <v>4694</v>
      </c>
    </row>
    <row r="1238" spans="1:2" x14ac:dyDescent="0.2">
      <c r="A1238" t="s">
        <v>2191</v>
      </c>
      <c r="B1238">
        <v>0</v>
      </c>
    </row>
    <row r="1239" spans="1:2" x14ac:dyDescent="0.2">
      <c r="A1239" t="s">
        <v>2006</v>
      </c>
      <c r="B1239" t="s">
        <v>4694</v>
      </c>
    </row>
    <row r="1240" spans="1:2" x14ac:dyDescent="0.2">
      <c r="A1240" t="s">
        <v>3239</v>
      </c>
      <c r="B1240">
        <v>1</v>
      </c>
    </row>
    <row r="1241" spans="1:2" x14ac:dyDescent="0.2">
      <c r="A1241" t="s">
        <v>3240</v>
      </c>
      <c r="B1241">
        <v>1</v>
      </c>
    </row>
    <row r="1242" spans="1:2" x14ac:dyDescent="0.2">
      <c r="A1242" t="s">
        <v>3241</v>
      </c>
      <c r="B1242">
        <v>1</v>
      </c>
    </row>
    <row r="1243" spans="1:2" x14ac:dyDescent="0.2">
      <c r="A1243" t="s">
        <v>3242</v>
      </c>
      <c r="B1243">
        <v>1</v>
      </c>
    </row>
    <row r="1244" spans="1:2" x14ac:dyDescent="0.2">
      <c r="A1244" t="s">
        <v>3243</v>
      </c>
      <c r="B1244">
        <v>1</v>
      </c>
    </row>
    <row r="1245" spans="1:2" x14ac:dyDescent="0.2">
      <c r="A1245" t="s">
        <v>3244</v>
      </c>
      <c r="B1245">
        <v>1</v>
      </c>
    </row>
    <row r="1246" spans="1:2" x14ac:dyDescent="0.2">
      <c r="A1246" t="s">
        <v>3245</v>
      </c>
      <c r="B1246">
        <v>1</v>
      </c>
    </row>
    <row r="1247" spans="1:2" x14ac:dyDescent="0.2">
      <c r="A1247" t="s">
        <v>3246</v>
      </c>
      <c r="B1247">
        <v>1</v>
      </c>
    </row>
    <row r="1248" spans="1:2" x14ac:dyDescent="0.2">
      <c r="A1248" t="s">
        <v>3247</v>
      </c>
      <c r="B1248" t="s">
        <v>4694</v>
      </c>
    </row>
    <row r="1249" spans="1:2" x14ac:dyDescent="0.2">
      <c r="A1249" t="s">
        <v>3248</v>
      </c>
      <c r="B1249">
        <v>1</v>
      </c>
    </row>
    <row r="1250" spans="1:2" x14ac:dyDescent="0.2">
      <c r="A1250" t="s">
        <v>3249</v>
      </c>
      <c r="B1250">
        <v>0</v>
      </c>
    </row>
    <row r="1251" spans="1:2" x14ac:dyDescent="0.2">
      <c r="A1251" t="s">
        <v>3250</v>
      </c>
      <c r="B1251">
        <v>0</v>
      </c>
    </row>
    <row r="1252" spans="1:2" x14ac:dyDescent="0.2">
      <c r="A1252" t="s">
        <v>3251</v>
      </c>
      <c r="B1252">
        <v>0</v>
      </c>
    </row>
    <row r="1253" spans="1:2" x14ac:dyDescent="0.2">
      <c r="A1253" t="s">
        <v>3252</v>
      </c>
      <c r="B1253">
        <v>0</v>
      </c>
    </row>
    <row r="1254" spans="1:2" x14ac:dyDescent="0.2">
      <c r="A1254" t="s">
        <v>3253</v>
      </c>
      <c r="B1254">
        <v>0</v>
      </c>
    </row>
    <row r="1255" spans="1:2" x14ac:dyDescent="0.2">
      <c r="A1255" t="s">
        <v>3254</v>
      </c>
      <c r="B1255">
        <v>0</v>
      </c>
    </row>
    <row r="1256" spans="1:2" x14ac:dyDescent="0.2">
      <c r="A1256" t="s">
        <v>3255</v>
      </c>
      <c r="B1256">
        <v>0</v>
      </c>
    </row>
    <row r="1257" spans="1:2" x14ac:dyDescent="0.2">
      <c r="A1257" t="s">
        <v>3256</v>
      </c>
      <c r="B1257">
        <v>0</v>
      </c>
    </row>
    <row r="1258" spans="1:2" x14ac:dyDescent="0.2">
      <c r="A1258" t="s">
        <v>3257</v>
      </c>
      <c r="B1258">
        <v>0</v>
      </c>
    </row>
    <row r="1259" spans="1:2" x14ac:dyDescent="0.2">
      <c r="A1259" t="s">
        <v>3258</v>
      </c>
      <c r="B1259">
        <v>0</v>
      </c>
    </row>
    <row r="1260" spans="1:2" x14ac:dyDescent="0.2">
      <c r="A1260" t="s">
        <v>3259</v>
      </c>
      <c r="B1260">
        <v>0</v>
      </c>
    </row>
    <row r="1261" spans="1:2" x14ac:dyDescent="0.2">
      <c r="A1261" t="s">
        <v>3260</v>
      </c>
      <c r="B1261">
        <v>0</v>
      </c>
    </row>
    <row r="1262" spans="1:2" x14ac:dyDescent="0.2">
      <c r="A1262" t="s">
        <v>3261</v>
      </c>
      <c r="B1262">
        <v>0</v>
      </c>
    </row>
    <row r="1263" spans="1:2" x14ac:dyDescent="0.2">
      <c r="A1263" t="s">
        <v>3262</v>
      </c>
      <c r="B1263">
        <v>0</v>
      </c>
    </row>
    <row r="1264" spans="1:2" x14ac:dyDescent="0.2">
      <c r="A1264" t="s">
        <v>3263</v>
      </c>
      <c r="B1264">
        <v>0</v>
      </c>
    </row>
    <row r="1265" spans="1:2" x14ac:dyDescent="0.2">
      <c r="A1265" t="s">
        <v>3264</v>
      </c>
      <c r="B1265">
        <v>0</v>
      </c>
    </row>
    <row r="1266" spans="1:2" x14ac:dyDescent="0.2">
      <c r="A1266" t="s">
        <v>1159</v>
      </c>
      <c r="B1266">
        <v>1</v>
      </c>
    </row>
    <row r="1267" spans="1:2" x14ac:dyDescent="0.2">
      <c r="A1267" t="s">
        <v>1160</v>
      </c>
      <c r="B1267">
        <v>1</v>
      </c>
    </row>
    <row r="1268" spans="1:2" x14ac:dyDescent="0.2">
      <c r="A1268" t="s">
        <v>1161</v>
      </c>
      <c r="B1268">
        <v>1</v>
      </c>
    </row>
    <row r="1269" spans="1:2" x14ac:dyDescent="0.2">
      <c r="A1269" t="s">
        <v>1162</v>
      </c>
      <c r="B1269">
        <v>1</v>
      </c>
    </row>
    <row r="1270" spans="1:2" x14ac:dyDescent="0.2">
      <c r="A1270" t="s">
        <v>1163</v>
      </c>
      <c r="B1270">
        <v>1</v>
      </c>
    </row>
    <row r="1271" spans="1:2" x14ac:dyDescent="0.2">
      <c r="A1271" t="s">
        <v>1164</v>
      </c>
      <c r="B1271">
        <v>1</v>
      </c>
    </row>
    <row r="1272" spans="1:2" x14ac:dyDescent="0.2">
      <c r="A1272" t="s">
        <v>3265</v>
      </c>
      <c r="B1272" t="s">
        <v>4694</v>
      </c>
    </row>
    <row r="1273" spans="1:2" x14ac:dyDescent="0.2">
      <c r="A1273" t="s">
        <v>3266</v>
      </c>
      <c r="B1273" t="b">
        <v>0</v>
      </c>
    </row>
    <row r="1274" spans="1:2" x14ac:dyDescent="0.2">
      <c r="A1274" t="s">
        <v>3267</v>
      </c>
      <c r="B1274" t="b">
        <v>0</v>
      </c>
    </row>
    <row r="1275" spans="1:2" x14ac:dyDescent="0.2">
      <c r="A1275" t="s">
        <v>3268</v>
      </c>
      <c r="B1275" t="b">
        <v>0</v>
      </c>
    </row>
    <row r="1276" spans="1:2" x14ac:dyDescent="0.2">
      <c r="A1276" t="s">
        <v>3269</v>
      </c>
      <c r="B1276" t="b">
        <v>0</v>
      </c>
    </row>
    <row r="1277" spans="1:2" x14ac:dyDescent="0.2">
      <c r="A1277" t="s">
        <v>3270</v>
      </c>
      <c r="B1277" t="b">
        <v>0</v>
      </c>
    </row>
    <row r="1278" spans="1:2" x14ac:dyDescent="0.2">
      <c r="A1278" t="s">
        <v>3271</v>
      </c>
      <c r="B1278" t="b">
        <v>0</v>
      </c>
    </row>
    <row r="1279" spans="1:2" x14ac:dyDescent="0.2">
      <c r="A1279" t="s">
        <v>3272</v>
      </c>
      <c r="B1279" t="b">
        <v>0</v>
      </c>
    </row>
    <row r="1280" spans="1:2" x14ac:dyDescent="0.2">
      <c r="A1280" t="s">
        <v>3273</v>
      </c>
      <c r="B1280" t="b">
        <v>0</v>
      </c>
    </row>
    <row r="1281" spans="1:2" x14ac:dyDescent="0.2">
      <c r="A1281" t="s">
        <v>3274</v>
      </c>
      <c r="B1281" t="b">
        <v>0</v>
      </c>
    </row>
    <row r="1282" spans="1:2" x14ac:dyDescent="0.2">
      <c r="A1282" t="s">
        <v>3275</v>
      </c>
      <c r="B1282" t="b">
        <v>0</v>
      </c>
    </row>
    <row r="1283" spans="1:2" x14ac:dyDescent="0.2">
      <c r="A1283" t="s">
        <v>3276</v>
      </c>
      <c r="B1283" t="b">
        <v>0</v>
      </c>
    </row>
    <row r="1284" spans="1:2" x14ac:dyDescent="0.2">
      <c r="A1284" t="s">
        <v>3277</v>
      </c>
      <c r="B1284" t="b">
        <v>0</v>
      </c>
    </row>
    <row r="1285" spans="1:2" x14ac:dyDescent="0.2">
      <c r="A1285" t="s">
        <v>3278</v>
      </c>
      <c r="B1285" t="b">
        <v>0</v>
      </c>
    </row>
    <row r="1286" spans="1:2" x14ac:dyDescent="0.2">
      <c r="A1286" t="s">
        <v>3279</v>
      </c>
      <c r="B1286" t="b">
        <v>0</v>
      </c>
    </row>
    <row r="1287" spans="1:2" x14ac:dyDescent="0.2">
      <c r="A1287" t="s">
        <v>3280</v>
      </c>
      <c r="B1287" t="b">
        <v>0</v>
      </c>
    </row>
    <row r="1288" spans="1:2" x14ac:dyDescent="0.2">
      <c r="A1288" t="s">
        <v>3281</v>
      </c>
      <c r="B1288" t="b">
        <v>0</v>
      </c>
    </row>
    <row r="1289" spans="1:2" x14ac:dyDescent="0.2">
      <c r="A1289" t="s">
        <v>3282</v>
      </c>
      <c r="B1289" t="b">
        <v>0</v>
      </c>
    </row>
    <row r="1290" spans="1:2" x14ac:dyDescent="0.2">
      <c r="A1290" t="s">
        <v>3283</v>
      </c>
      <c r="B1290" t="b">
        <v>0</v>
      </c>
    </row>
    <row r="1291" spans="1:2" x14ac:dyDescent="0.2">
      <c r="A1291" t="s">
        <v>3284</v>
      </c>
      <c r="B1291" t="b">
        <v>0</v>
      </c>
    </row>
    <row r="1292" spans="1:2" x14ac:dyDescent="0.2">
      <c r="A1292" t="s">
        <v>3285</v>
      </c>
      <c r="B1292" t="b">
        <v>0</v>
      </c>
    </row>
    <row r="1293" spans="1:2" x14ac:dyDescent="0.2">
      <c r="A1293" t="s">
        <v>3286</v>
      </c>
      <c r="B1293" t="b">
        <v>0</v>
      </c>
    </row>
    <row r="1294" spans="1:2" x14ac:dyDescent="0.2">
      <c r="A1294" t="s">
        <v>3287</v>
      </c>
      <c r="B1294" t="b">
        <v>0</v>
      </c>
    </row>
    <row r="1295" spans="1:2" x14ac:dyDescent="0.2">
      <c r="A1295" t="s">
        <v>3288</v>
      </c>
      <c r="B1295" t="b">
        <v>0</v>
      </c>
    </row>
    <row r="1296" spans="1:2" x14ac:dyDescent="0.2">
      <c r="A1296" t="s">
        <v>3289</v>
      </c>
      <c r="B1296" t="b">
        <v>0</v>
      </c>
    </row>
    <row r="1297" spans="1:2" x14ac:dyDescent="0.2">
      <c r="A1297" t="s">
        <v>3290</v>
      </c>
      <c r="B1297" t="b">
        <v>0</v>
      </c>
    </row>
    <row r="1298" spans="1:2" x14ac:dyDescent="0.2">
      <c r="A1298" t="s">
        <v>3291</v>
      </c>
      <c r="B1298" t="b">
        <v>0</v>
      </c>
    </row>
    <row r="1299" spans="1:2" x14ac:dyDescent="0.2">
      <c r="A1299" t="s">
        <v>3292</v>
      </c>
      <c r="B1299" t="b">
        <v>0</v>
      </c>
    </row>
    <row r="1300" spans="1:2" x14ac:dyDescent="0.2">
      <c r="A1300" t="s">
        <v>3293</v>
      </c>
      <c r="B1300" t="b">
        <v>0</v>
      </c>
    </row>
    <row r="1301" spans="1:2" x14ac:dyDescent="0.2">
      <c r="A1301" t="s">
        <v>3294</v>
      </c>
      <c r="B1301" t="b">
        <v>0</v>
      </c>
    </row>
    <row r="1302" spans="1:2" x14ac:dyDescent="0.2">
      <c r="A1302" t="s">
        <v>3295</v>
      </c>
      <c r="B1302" t="b">
        <v>0</v>
      </c>
    </row>
    <row r="1303" spans="1:2" x14ac:dyDescent="0.2">
      <c r="A1303" t="s">
        <v>3296</v>
      </c>
      <c r="B1303" t="b">
        <v>0</v>
      </c>
    </row>
    <row r="1304" spans="1:2" x14ac:dyDescent="0.2">
      <c r="A1304" t="s">
        <v>3297</v>
      </c>
      <c r="B1304" t="b">
        <v>0</v>
      </c>
    </row>
    <row r="1305" spans="1:2" x14ac:dyDescent="0.2">
      <c r="A1305" t="s">
        <v>3298</v>
      </c>
      <c r="B1305" t="b">
        <v>0</v>
      </c>
    </row>
    <row r="1306" spans="1:2" x14ac:dyDescent="0.2">
      <c r="A1306" t="s">
        <v>3299</v>
      </c>
      <c r="B1306" t="b">
        <v>0</v>
      </c>
    </row>
    <row r="1307" spans="1:2" x14ac:dyDescent="0.2">
      <c r="A1307" t="s">
        <v>3300</v>
      </c>
      <c r="B1307" t="b">
        <v>0</v>
      </c>
    </row>
    <row r="1308" spans="1:2" x14ac:dyDescent="0.2">
      <c r="A1308" t="s">
        <v>3301</v>
      </c>
      <c r="B1308" t="b">
        <v>0</v>
      </c>
    </row>
    <row r="1309" spans="1:2" x14ac:dyDescent="0.2">
      <c r="A1309" t="s">
        <v>3302</v>
      </c>
      <c r="B1309" t="b">
        <v>0</v>
      </c>
    </row>
    <row r="1310" spans="1:2" x14ac:dyDescent="0.2">
      <c r="A1310" t="s">
        <v>3303</v>
      </c>
      <c r="B1310" t="b">
        <v>0</v>
      </c>
    </row>
    <row r="1311" spans="1:2" x14ac:dyDescent="0.2">
      <c r="A1311" t="s">
        <v>3304</v>
      </c>
      <c r="B1311" t="b">
        <v>0</v>
      </c>
    </row>
    <row r="1312" spans="1:2" x14ac:dyDescent="0.2">
      <c r="A1312" t="s">
        <v>3305</v>
      </c>
      <c r="B1312" t="b">
        <v>0</v>
      </c>
    </row>
    <row r="1313" spans="1:2" x14ac:dyDescent="0.2">
      <c r="A1313" t="s">
        <v>3306</v>
      </c>
      <c r="B1313" t="b">
        <v>0</v>
      </c>
    </row>
    <row r="1314" spans="1:2" x14ac:dyDescent="0.2">
      <c r="A1314" t="s">
        <v>3307</v>
      </c>
      <c r="B1314" t="b">
        <v>0</v>
      </c>
    </row>
    <row r="1315" spans="1:2" x14ac:dyDescent="0.2">
      <c r="A1315" t="s">
        <v>3308</v>
      </c>
      <c r="B1315" t="b">
        <v>0</v>
      </c>
    </row>
    <row r="1316" spans="1:2" x14ac:dyDescent="0.2">
      <c r="A1316" t="s">
        <v>3309</v>
      </c>
      <c r="B1316" t="b">
        <v>0</v>
      </c>
    </row>
    <row r="1317" spans="1:2" x14ac:dyDescent="0.2">
      <c r="A1317" t="s">
        <v>3310</v>
      </c>
      <c r="B1317" t="b">
        <v>0</v>
      </c>
    </row>
    <row r="1318" spans="1:2" x14ac:dyDescent="0.2">
      <c r="A1318" t="s">
        <v>3311</v>
      </c>
      <c r="B1318" t="b">
        <v>0</v>
      </c>
    </row>
    <row r="1319" spans="1:2" x14ac:dyDescent="0.2">
      <c r="A1319" t="s">
        <v>3312</v>
      </c>
      <c r="B1319" t="b">
        <v>0</v>
      </c>
    </row>
    <row r="1320" spans="1:2" x14ac:dyDescent="0.2">
      <c r="A1320" t="s">
        <v>3313</v>
      </c>
      <c r="B1320" t="b">
        <v>0</v>
      </c>
    </row>
    <row r="1321" spans="1:2" x14ac:dyDescent="0.2">
      <c r="A1321" t="s">
        <v>3314</v>
      </c>
      <c r="B1321" t="b">
        <v>0</v>
      </c>
    </row>
    <row r="1322" spans="1:2" x14ac:dyDescent="0.2">
      <c r="A1322" t="s">
        <v>3315</v>
      </c>
      <c r="B1322" t="b">
        <v>0</v>
      </c>
    </row>
    <row r="1323" spans="1:2" x14ac:dyDescent="0.2">
      <c r="A1323" t="s">
        <v>3316</v>
      </c>
      <c r="B1323" t="b">
        <v>0</v>
      </c>
    </row>
    <row r="1324" spans="1:2" x14ac:dyDescent="0.2">
      <c r="A1324" t="s">
        <v>3317</v>
      </c>
      <c r="B1324" t="b">
        <v>0</v>
      </c>
    </row>
    <row r="1325" spans="1:2" x14ac:dyDescent="0.2">
      <c r="A1325" t="s">
        <v>3318</v>
      </c>
      <c r="B1325" t="b">
        <v>0</v>
      </c>
    </row>
    <row r="1326" spans="1:2" x14ac:dyDescent="0.2">
      <c r="A1326" t="s">
        <v>3319</v>
      </c>
      <c r="B1326" t="b">
        <v>0</v>
      </c>
    </row>
    <row r="1327" spans="1:2" x14ac:dyDescent="0.2">
      <c r="A1327" t="s">
        <v>3320</v>
      </c>
      <c r="B1327" t="b">
        <v>0</v>
      </c>
    </row>
    <row r="1328" spans="1:2" x14ac:dyDescent="0.2">
      <c r="A1328" t="s">
        <v>3321</v>
      </c>
      <c r="B1328" t="b">
        <v>0</v>
      </c>
    </row>
    <row r="1329" spans="1:2" x14ac:dyDescent="0.2">
      <c r="A1329" t="s">
        <v>3322</v>
      </c>
      <c r="B1329" t="b">
        <v>0</v>
      </c>
    </row>
    <row r="1330" spans="1:2" x14ac:dyDescent="0.2">
      <c r="A1330" t="s">
        <v>3323</v>
      </c>
      <c r="B1330" t="b">
        <v>0</v>
      </c>
    </row>
    <row r="1331" spans="1:2" x14ac:dyDescent="0.2">
      <c r="A1331" t="s">
        <v>3324</v>
      </c>
      <c r="B1331" t="b">
        <v>0</v>
      </c>
    </row>
    <row r="1332" spans="1:2" x14ac:dyDescent="0.2">
      <c r="A1332" t="s">
        <v>3325</v>
      </c>
      <c r="B1332" t="b">
        <v>0</v>
      </c>
    </row>
    <row r="1333" spans="1:2" x14ac:dyDescent="0.2">
      <c r="A1333" t="s">
        <v>3326</v>
      </c>
      <c r="B1333" t="b">
        <v>0</v>
      </c>
    </row>
    <row r="1334" spans="1:2" x14ac:dyDescent="0.2">
      <c r="A1334" t="s">
        <v>3327</v>
      </c>
      <c r="B1334" t="b">
        <v>0</v>
      </c>
    </row>
    <row r="1335" spans="1:2" x14ac:dyDescent="0.2">
      <c r="A1335" t="s">
        <v>3328</v>
      </c>
      <c r="B1335" t="b">
        <v>0</v>
      </c>
    </row>
    <row r="1336" spans="1:2" x14ac:dyDescent="0.2">
      <c r="A1336" t="s">
        <v>3329</v>
      </c>
      <c r="B1336" t="b">
        <v>0</v>
      </c>
    </row>
    <row r="1337" spans="1:2" x14ac:dyDescent="0.2">
      <c r="A1337" t="s">
        <v>3330</v>
      </c>
      <c r="B1337" t="b">
        <v>0</v>
      </c>
    </row>
    <row r="1338" spans="1:2" x14ac:dyDescent="0.2">
      <c r="A1338" t="s">
        <v>3331</v>
      </c>
      <c r="B1338" t="b">
        <v>0</v>
      </c>
    </row>
    <row r="1339" spans="1:2" x14ac:dyDescent="0.2">
      <c r="A1339" t="s">
        <v>3332</v>
      </c>
      <c r="B1339" t="b">
        <v>0</v>
      </c>
    </row>
    <row r="1340" spans="1:2" x14ac:dyDescent="0.2">
      <c r="A1340" t="s">
        <v>3333</v>
      </c>
      <c r="B1340" t="b">
        <v>0</v>
      </c>
    </row>
    <row r="1341" spans="1:2" x14ac:dyDescent="0.2">
      <c r="A1341" t="s">
        <v>3334</v>
      </c>
      <c r="B1341" t="b">
        <v>0</v>
      </c>
    </row>
    <row r="1342" spans="1:2" x14ac:dyDescent="0.2">
      <c r="A1342" t="s">
        <v>3335</v>
      </c>
      <c r="B1342" t="b">
        <v>0</v>
      </c>
    </row>
    <row r="1343" spans="1:2" x14ac:dyDescent="0.2">
      <c r="A1343" t="s">
        <v>3336</v>
      </c>
      <c r="B1343" t="b">
        <v>0</v>
      </c>
    </row>
    <row r="1344" spans="1:2" x14ac:dyDescent="0.2">
      <c r="A1344" t="s">
        <v>3337</v>
      </c>
      <c r="B1344" t="b">
        <v>0</v>
      </c>
    </row>
    <row r="1345" spans="1:2" x14ac:dyDescent="0.2">
      <c r="A1345" t="s">
        <v>3338</v>
      </c>
      <c r="B1345" t="b">
        <v>0</v>
      </c>
    </row>
    <row r="1346" spans="1:2" x14ac:dyDescent="0.2">
      <c r="A1346" t="s">
        <v>3339</v>
      </c>
      <c r="B1346" t="b">
        <v>0</v>
      </c>
    </row>
    <row r="1347" spans="1:2" x14ac:dyDescent="0.2">
      <c r="A1347" t="s">
        <v>3340</v>
      </c>
      <c r="B1347" t="b">
        <v>0</v>
      </c>
    </row>
    <row r="1348" spans="1:2" x14ac:dyDescent="0.2">
      <c r="A1348" t="s">
        <v>3341</v>
      </c>
      <c r="B1348" t="b">
        <v>0</v>
      </c>
    </row>
    <row r="1349" spans="1:2" x14ac:dyDescent="0.2">
      <c r="A1349" t="s">
        <v>3342</v>
      </c>
      <c r="B1349" t="b">
        <v>0</v>
      </c>
    </row>
    <row r="1350" spans="1:2" x14ac:dyDescent="0.2">
      <c r="A1350" t="s">
        <v>3343</v>
      </c>
      <c r="B1350" t="b">
        <v>0</v>
      </c>
    </row>
    <row r="1351" spans="1:2" x14ac:dyDescent="0.2">
      <c r="A1351" t="s">
        <v>3344</v>
      </c>
      <c r="B1351" t="b">
        <v>0</v>
      </c>
    </row>
    <row r="1352" spans="1:2" x14ac:dyDescent="0.2">
      <c r="A1352" t="s">
        <v>3345</v>
      </c>
      <c r="B1352" t="b">
        <v>0</v>
      </c>
    </row>
    <row r="1353" spans="1:2" x14ac:dyDescent="0.2">
      <c r="A1353" t="s">
        <v>3346</v>
      </c>
      <c r="B1353" t="b">
        <v>0</v>
      </c>
    </row>
    <row r="1354" spans="1:2" x14ac:dyDescent="0.2">
      <c r="A1354" t="s">
        <v>3347</v>
      </c>
      <c r="B1354" t="b">
        <v>0</v>
      </c>
    </row>
    <row r="1355" spans="1:2" x14ac:dyDescent="0.2">
      <c r="A1355" t="s">
        <v>3348</v>
      </c>
      <c r="B1355" t="b">
        <v>0</v>
      </c>
    </row>
    <row r="1356" spans="1:2" x14ac:dyDescent="0.2">
      <c r="A1356" t="s">
        <v>3349</v>
      </c>
      <c r="B1356" t="b">
        <v>0</v>
      </c>
    </row>
    <row r="1357" spans="1:2" x14ac:dyDescent="0.2">
      <c r="A1357" t="s">
        <v>3350</v>
      </c>
      <c r="B1357" t="b">
        <v>0</v>
      </c>
    </row>
    <row r="1358" spans="1:2" x14ac:dyDescent="0.2">
      <c r="A1358" t="s">
        <v>3351</v>
      </c>
      <c r="B1358" t="b">
        <v>0</v>
      </c>
    </row>
    <row r="1359" spans="1:2" x14ac:dyDescent="0.2">
      <c r="A1359" t="s">
        <v>3352</v>
      </c>
      <c r="B1359" t="b">
        <v>0</v>
      </c>
    </row>
    <row r="1360" spans="1:2" x14ac:dyDescent="0.2">
      <c r="A1360" t="s">
        <v>3353</v>
      </c>
      <c r="B1360" t="b">
        <v>0</v>
      </c>
    </row>
    <row r="1361" spans="1:2" x14ac:dyDescent="0.2">
      <c r="A1361" t="s">
        <v>3354</v>
      </c>
      <c r="B1361" t="b">
        <v>0</v>
      </c>
    </row>
    <row r="1362" spans="1:2" x14ac:dyDescent="0.2">
      <c r="A1362" t="s">
        <v>3355</v>
      </c>
      <c r="B1362" t="b">
        <v>0</v>
      </c>
    </row>
    <row r="1363" spans="1:2" x14ac:dyDescent="0.2">
      <c r="A1363" t="s">
        <v>3356</v>
      </c>
      <c r="B1363" t="b">
        <v>0</v>
      </c>
    </row>
    <row r="1364" spans="1:2" x14ac:dyDescent="0.2">
      <c r="A1364" t="s">
        <v>3357</v>
      </c>
      <c r="B1364" t="b">
        <v>0</v>
      </c>
    </row>
    <row r="1365" spans="1:2" x14ac:dyDescent="0.2">
      <c r="A1365" t="s">
        <v>3358</v>
      </c>
      <c r="B1365" t="b">
        <v>0</v>
      </c>
    </row>
    <row r="1366" spans="1:2" x14ac:dyDescent="0.2">
      <c r="A1366" t="s">
        <v>3359</v>
      </c>
      <c r="B1366" t="b">
        <v>0</v>
      </c>
    </row>
    <row r="1367" spans="1:2" x14ac:dyDescent="0.2">
      <c r="A1367" t="s">
        <v>3360</v>
      </c>
      <c r="B1367" t="b">
        <v>0</v>
      </c>
    </row>
    <row r="1368" spans="1:2" x14ac:dyDescent="0.2">
      <c r="A1368" t="s">
        <v>3361</v>
      </c>
      <c r="B1368" t="b">
        <v>0</v>
      </c>
    </row>
    <row r="1369" spans="1:2" x14ac:dyDescent="0.2">
      <c r="A1369" t="s">
        <v>3362</v>
      </c>
      <c r="B1369" t="b">
        <v>0</v>
      </c>
    </row>
    <row r="1370" spans="1:2" x14ac:dyDescent="0.2">
      <c r="A1370" t="s">
        <v>3363</v>
      </c>
      <c r="B1370" t="b">
        <v>0</v>
      </c>
    </row>
    <row r="1371" spans="1:2" x14ac:dyDescent="0.2">
      <c r="A1371" t="s">
        <v>3364</v>
      </c>
      <c r="B1371" t="b">
        <v>0</v>
      </c>
    </row>
    <row r="1372" spans="1:2" x14ac:dyDescent="0.2">
      <c r="A1372" t="s">
        <v>3365</v>
      </c>
      <c r="B1372" t="b">
        <v>0</v>
      </c>
    </row>
    <row r="1373" spans="1:2" x14ac:dyDescent="0.2">
      <c r="A1373" t="s">
        <v>3366</v>
      </c>
      <c r="B1373" t="b">
        <v>0</v>
      </c>
    </row>
    <row r="1374" spans="1:2" x14ac:dyDescent="0.2">
      <c r="A1374" t="s">
        <v>3367</v>
      </c>
      <c r="B1374" t="b">
        <v>0</v>
      </c>
    </row>
    <row r="1375" spans="1:2" x14ac:dyDescent="0.2">
      <c r="A1375" t="s">
        <v>3368</v>
      </c>
      <c r="B1375" t="b">
        <v>0</v>
      </c>
    </row>
    <row r="1376" spans="1:2" x14ac:dyDescent="0.2">
      <c r="A1376" t="s">
        <v>3369</v>
      </c>
      <c r="B1376" t="b">
        <v>0</v>
      </c>
    </row>
    <row r="1377" spans="1:2" x14ac:dyDescent="0.2">
      <c r="A1377" t="s">
        <v>3370</v>
      </c>
      <c r="B1377" t="b">
        <v>0</v>
      </c>
    </row>
    <row r="1378" spans="1:2" x14ac:dyDescent="0.2">
      <c r="A1378" t="s">
        <v>3371</v>
      </c>
      <c r="B1378" t="b">
        <v>0</v>
      </c>
    </row>
    <row r="1379" spans="1:2" x14ac:dyDescent="0.2">
      <c r="A1379" t="s">
        <v>3372</v>
      </c>
      <c r="B1379" t="b">
        <v>0</v>
      </c>
    </row>
    <row r="1380" spans="1:2" x14ac:dyDescent="0.2">
      <c r="A1380" t="s">
        <v>3373</v>
      </c>
      <c r="B1380" t="b">
        <v>0</v>
      </c>
    </row>
    <row r="1381" spans="1:2" x14ac:dyDescent="0.2">
      <c r="A1381" t="s">
        <v>3374</v>
      </c>
      <c r="B1381" t="b">
        <v>0</v>
      </c>
    </row>
    <row r="1382" spans="1:2" x14ac:dyDescent="0.2">
      <c r="A1382" t="s">
        <v>3375</v>
      </c>
      <c r="B1382" t="b">
        <v>0</v>
      </c>
    </row>
    <row r="1383" spans="1:2" x14ac:dyDescent="0.2">
      <c r="A1383" t="s">
        <v>3376</v>
      </c>
      <c r="B1383" t="b">
        <v>0</v>
      </c>
    </row>
    <row r="1384" spans="1:2" x14ac:dyDescent="0.2">
      <c r="A1384" t="s">
        <v>3377</v>
      </c>
      <c r="B1384" t="b">
        <v>0</v>
      </c>
    </row>
    <row r="1385" spans="1:2" x14ac:dyDescent="0.2">
      <c r="A1385" t="s">
        <v>3378</v>
      </c>
      <c r="B1385" t="b">
        <v>0</v>
      </c>
    </row>
    <row r="1386" spans="1:2" x14ac:dyDescent="0.2">
      <c r="A1386" t="s">
        <v>3379</v>
      </c>
      <c r="B1386" t="b">
        <v>0</v>
      </c>
    </row>
    <row r="1387" spans="1:2" x14ac:dyDescent="0.2">
      <c r="A1387" t="s">
        <v>3380</v>
      </c>
      <c r="B1387" t="b">
        <v>0</v>
      </c>
    </row>
    <row r="1388" spans="1:2" x14ac:dyDescent="0.2">
      <c r="A1388" t="s">
        <v>3381</v>
      </c>
      <c r="B1388" t="b">
        <v>0</v>
      </c>
    </row>
    <row r="1389" spans="1:2" x14ac:dyDescent="0.2">
      <c r="A1389" t="s">
        <v>3382</v>
      </c>
      <c r="B1389" t="b">
        <v>0</v>
      </c>
    </row>
    <row r="1390" spans="1:2" x14ac:dyDescent="0.2">
      <c r="A1390" t="s">
        <v>3383</v>
      </c>
      <c r="B1390" t="b">
        <v>0</v>
      </c>
    </row>
    <row r="1391" spans="1:2" x14ac:dyDescent="0.2">
      <c r="A1391" t="s">
        <v>3384</v>
      </c>
      <c r="B1391" t="b">
        <v>0</v>
      </c>
    </row>
    <row r="1392" spans="1:2" x14ac:dyDescent="0.2">
      <c r="A1392" t="s">
        <v>3385</v>
      </c>
      <c r="B1392" t="b">
        <v>0</v>
      </c>
    </row>
    <row r="1393" spans="1:2" x14ac:dyDescent="0.2">
      <c r="A1393" t="s">
        <v>3386</v>
      </c>
      <c r="B1393" t="b">
        <v>0</v>
      </c>
    </row>
    <row r="1394" spans="1:2" x14ac:dyDescent="0.2">
      <c r="A1394" t="s">
        <v>3387</v>
      </c>
      <c r="B1394" t="b">
        <v>0</v>
      </c>
    </row>
    <row r="1395" spans="1:2" x14ac:dyDescent="0.2">
      <c r="A1395" t="s">
        <v>3388</v>
      </c>
      <c r="B1395" t="b">
        <v>0</v>
      </c>
    </row>
    <row r="1396" spans="1:2" x14ac:dyDescent="0.2">
      <c r="A1396" t="s">
        <v>3389</v>
      </c>
      <c r="B1396" t="b">
        <v>0</v>
      </c>
    </row>
    <row r="1397" spans="1:2" x14ac:dyDescent="0.2">
      <c r="A1397" t="s">
        <v>3390</v>
      </c>
      <c r="B1397" t="b">
        <v>0</v>
      </c>
    </row>
    <row r="1398" spans="1:2" x14ac:dyDescent="0.2">
      <c r="A1398" t="s">
        <v>3391</v>
      </c>
      <c r="B1398" t="s">
        <v>4694</v>
      </c>
    </row>
    <row r="1399" spans="1:2" x14ac:dyDescent="0.2">
      <c r="A1399" t="s">
        <v>3392</v>
      </c>
      <c r="B1399" t="b">
        <v>0</v>
      </c>
    </row>
    <row r="1400" spans="1:2" x14ac:dyDescent="0.2">
      <c r="A1400" t="s">
        <v>3393</v>
      </c>
      <c r="B1400" t="b">
        <v>0</v>
      </c>
    </row>
    <row r="1401" spans="1:2" x14ac:dyDescent="0.2">
      <c r="A1401" t="s">
        <v>3394</v>
      </c>
      <c r="B1401" t="b">
        <v>0</v>
      </c>
    </row>
    <row r="1402" spans="1:2" x14ac:dyDescent="0.2">
      <c r="A1402" t="s">
        <v>3395</v>
      </c>
      <c r="B1402" t="b">
        <v>0</v>
      </c>
    </row>
    <row r="1403" spans="1:2" x14ac:dyDescent="0.2">
      <c r="A1403" t="s">
        <v>3396</v>
      </c>
      <c r="B1403" t="b">
        <v>0</v>
      </c>
    </row>
    <row r="1404" spans="1:2" x14ac:dyDescent="0.2">
      <c r="A1404" t="s">
        <v>3397</v>
      </c>
      <c r="B1404" t="b">
        <v>0</v>
      </c>
    </row>
    <row r="1405" spans="1:2" x14ac:dyDescent="0.2">
      <c r="A1405" t="s">
        <v>3398</v>
      </c>
      <c r="B1405" t="b">
        <v>0</v>
      </c>
    </row>
    <row r="1406" spans="1:2" x14ac:dyDescent="0.2">
      <c r="A1406" t="s">
        <v>3399</v>
      </c>
      <c r="B1406" t="b">
        <v>0</v>
      </c>
    </row>
    <row r="1407" spans="1:2" x14ac:dyDescent="0.2">
      <c r="A1407" t="s">
        <v>3400</v>
      </c>
      <c r="B1407" t="b">
        <v>0</v>
      </c>
    </row>
    <row r="1408" spans="1:2" x14ac:dyDescent="0.2">
      <c r="A1408" t="s">
        <v>3401</v>
      </c>
      <c r="B1408" t="b">
        <v>0</v>
      </c>
    </row>
    <row r="1409" spans="1:2" x14ac:dyDescent="0.2">
      <c r="A1409" t="s">
        <v>3402</v>
      </c>
      <c r="B1409" t="b">
        <v>0</v>
      </c>
    </row>
    <row r="1410" spans="1:2" x14ac:dyDescent="0.2">
      <c r="A1410" t="s">
        <v>3403</v>
      </c>
      <c r="B1410" t="b">
        <v>0</v>
      </c>
    </row>
    <row r="1411" spans="1:2" x14ac:dyDescent="0.2">
      <c r="A1411" t="s">
        <v>3404</v>
      </c>
      <c r="B1411" t="b">
        <v>0</v>
      </c>
    </row>
    <row r="1412" spans="1:2" x14ac:dyDescent="0.2">
      <c r="A1412" t="s">
        <v>3405</v>
      </c>
      <c r="B1412" t="b">
        <v>0</v>
      </c>
    </row>
    <row r="1413" spans="1:2" x14ac:dyDescent="0.2">
      <c r="A1413" t="s">
        <v>3406</v>
      </c>
      <c r="B1413" t="b">
        <v>0</v>
      </c>
    </row>
    <row r="1414" spans="1:2" x14ac:dyDescent="0.2">
      <c r="A1414" t="s">
        <v>3407</v>
      </c>
      <c r="B1414" t="b">
        <v>0</v>
      </c>
    </row>
    <row r="1415" spans="1:2" x14ac:dyDescent="0.2">
      <c r="A1415" t="s">
        <v>3408</v>
      </c>
      <c r="B1415" t="b">
        <v>0</v>
      </c>
    </row>
    <row r="1416" spans="1:2" x14ac:dyDescent="0.2">
      <c r="A1416" t="s">
        <v>3409</v>
      </c>
      <c r="B1416" t="b">
        <v>0</v>
      </c>
    </row>
    <row r="1417" spans="1:2" x14ac:dyDescent="0.2">
      <c r="A1417" t="s">
        <v>3410</v>
      </c>
      <c r="B1417" t="b">
        <v>0</v>
      </c>
    </row>
    <row r="1418" spans="1:2" x14ac:dyDescent="0.2">
      <c r="A1418" t="s">
        <v>3411</v>
      </c>
      <c r="B1418" t="b">
        <v>0</v>
      </c>
    </row>
    <row r="1419" spans="1:2" x14ac:dyDescent="0.2">
      <c r="A1419" t="s">
        <v>3412</v>
      </c>
      <c r="B1419" t="b">
        <v>0</v>
      </c>
    </row>
    <row r="1420" spans="1:2" x14ac:dyDescent="0.2">
      <c r="A1420" t="s">
        <v>3413</v>
      </c>
      <c r="B1420" t="b">
        <v>0</v>
      </c>
    </row>
    <row r="1421" spans="1:2" x14ac:dyDescent="0.2">
      <c r="A1421" t="s">
        <v>3414</v>
      </c>
      <c r="B1421" t="b">
        <v>0</v>
      </c>
    </row>
    <row r="1422" spans="1:2" x14ac:dyDescent="0.2">
      <c r="A1422" t="s">
        <v>3415</v>
      </c>
      <c r="B1422" t="b">
        <v>0</v>
      </c>
    </row>
    <row r="1423" spans="1:2" x14ac:dyDescent="0.2">
      <c r="A1423" t="s">
        <v>3416</v>
      </c>
      <c r="B1423" t="b">
        <v>0</v>
      </c>
    </row>
    <row r="1424" spans="1:2" x14ac:dyDescent="0.2">
      <c r="A1424" t="s">
        <v>3417</v>
      </c>
      <c r="B1424" t="b">
        <v>0</v>
      </c>
    </row>
    <row r="1425" spans="1:2" x14ac:dyDescent="0.2">
      <c r="A1425" t="s">
        <v>3418</v>
      </c>
      <c r="B1425" t="b">
        <v>0</v>
      </c>
    </row>
    <row r="1426" spans="1:2" x14ac:dyDescent="0.2">
      <c r="A1426" t="s">
        <v>3419</v>
      </c>
      <c r="B1426" t="b">
        <v>0</v>
      </c>
    </row>
    <row r="1427" spans="1:2" x14ac:dyDescent="0.2">
      <c r="A1427" t="s">
        <v>3420</v>
      </c>
      <c r="B1427" t="b">
        <v>0</v>
      </c>
    </row>
    <row r="1428" spans="1:2" x14ac:dyDescent="0.2">
      <c r="A1428" t="s">
        <v>3421</v>
      </c>
      <c r="B1428" t="b">
        <v>0</v>
      </c>
    </row>
    <row r="1429" spans="1:2" x14ac:dyDescent="0.2">
      <c r="A1429" t="s">
        <v>3422</v>
      </c>
      <c r="B1429" t="b">
        <v>0</v>
      </c>
    </row>
    <row r="1430" spans="1:2" x14ac:dyDescent="0.2">
      <c r="A1430" t="s">
        <v>3423</v>
      </c>
      <c r="B1430" t="b">
        <v>0</v>
      </c>
    </row>
    <row r="1431" spans="1:2" x14ac:dyDescent="0.2">
      <c r="A1431" t="s">
        <v>3424</v>
      </c>
      <c r="B1431">
        <v>1</v>
      </c>
    </row>
    <row r="1432" spans="1:2" x14ac:dyDescent="0.2">
      <c r="A1432" t="s">
        <v>3425</v>
      </c>
      <c r="B1432">
        <v>1</v>
      </c>
    </row>
    <row r="1433" spans="1:2" x14ac:dyDescent="0.2">
      <c r="A1433" t="s">
        <v>3426</v>
      </c>
      <c r="B1433">
        <v>1</v>
      </c>
    </row>
    <row r="1434" spans="1:2" x14ac:dyDescent="0.2">
      <c r="A1434" t="s">
        <v>3427</v>
      </c>
      <c r="B1434">
        <v>1</v>
      </c>
    </row>
    <row r="1435" spans="1:2" x14ac:dyDescent="0.2">
      <c r="A1435" t="s">
        <v>3428</v>
      </c>
      <c r="B1435">
        <v>1</v>
      </c>
    </row>
    <row r="1436" spans="1:2" x14ac:dyDescent="0.2">
      <c r="A1436" t="s">
        <v>3429</v>
      </c>
      <c r="B1436">
        <v>1</v>
      </c>
    </row>
    <row r="1437" spans="1:2" x14ac:dyDescent="0.2">
      <c r="A1437" t="s">
        <v>3430</v>
      </c>
      <c r="B1437">
        <v>1</v>
      </c>
    </row>
    <row r="1438" spans="1:2" x14ac:dyDescent="0.2">
      <c r="A1438" t="s">
        <v>3431</v>
      </c>
      <c r="B1438">
        <v>1</v>
      </c>
    </row>
    <row r="1439" spans="1:2" x14ac:dyDescent="0.2">
      <c r="A1439" t="s">
        <v>3432</v>
      </c>
      <c r="B1439">
        <v>1</v>
      </c>
    </row>
    <row r="1440" spans="1:2" x14ac:dyDescent="0.2">
      <c r="A1440" t="s">
        <v>3433</v>
      </c>
      <c r="B1440">
        <v>1</v>
      </c>
    </row>
    <row r="1441" spans="1:2" x14ac:dyDescent="0.2">
      <c r="A1441" t="s">
        <v>3434</v>
      </c>
      <c r="B1441">
        <v>1</v>
      </c>
    </row>
    <row r="1442" spans="1:2" x14ac:dyDescent="0.2">
      <c r="A1442" t="s">
        <v>3435</v>
      </c>
      <c r="B1442">
        <v>1</v>
      </c>
    </row>
    <row r="1443" spans="1:2" x14ac:dyDescent="0.2">
      <c r="A1443" t="s">
        <v>3436</v>
      </c>
      <c r="B1443">
        <v>1</v>
      </c>
    </row>
    <row r="1444" spans="1:2" x14ac:dyDescent="0.2">
      <c r="A1444" t="s">
        <v>3437</v>
      </c>
      <c r="B1444">
        <v>1</v>
      </c>
    </row>
    <row r="1445" spans="1:2" x14ac:dyDescent="0.2">
      <c r="A1445" t="s">
        <v>3438</v>
      </c>
      <c r="B1445">
        <v>1</v>
      </c>
    </row>
    <row r="1446" spans="1:2" x14ac:dyDescent="0.2">
      <c r="A1446" t="s">
        <v>4408</v>
      </c>
      <c r="B1446" t="s">
        <v>4694</v>
      </c>
    </row>
    <row r="1447" spans="1:2" x14ac:dyDescent="0.2">
      <c r="A1447" t="s">
        <v>4410</v>
      </c>
      <c r="B1447" t="s">
        <v>4694</v>
      </c>
    </row>
    <row r="1448" spans="1:2" x14ac:dyDescent="0.2">
      <c r="A1448" t="s">
        <v>4412</v>
      </c>
      <c r="B1448" t="s">
        <v>4694</v>
      </c>
    </row>
    <row r="1449" spans="1:2" x14ac:dyDescent="0.2">
      <c r="A1449" t="s">
        <v>4414</v>
      </c>
      <c r="B1449" t="s">
        <v>4694</v>
      </c>
    </row>
    <row r="1450" spans="1:2" x14ac:dyDescent="0.2">
      <c r="A1450" t="s">
        <v>4416</v>
      </c>
      <c r="B1450" t="s">
        <v>4694</v>
      </c>
    </row>
    <row r="1451" spans="1:2" x14ac:dyDescent="0.2">
      <c r="A1451" t="s">
        <v>3439</v>
      </c>
      <c r="B1451">
        <v>1</v>
      </c>
    </row>
    <row r="1452" spans="1:2" x14ac:dyDescent="0.2">
      <c r="A1452" t="s">
        <v>3440</v>
      </c>
      <c r="B1452">
        <v>1</v>
      </c>
    </row>
    <row r="1453" spans="1:2" x14ac:dyDescent="0.2">
      <c r="A1453" t="s">
        <v>3441</v>
      </c>
      <c r="B1453">
        <v>1</v>
      </c>
    </row>
    <row r="1454" spans="1:2" x14ac:dyDescent="0.2">
      <c r="A1454" t="s">
        <v>3442</v>
      </c>
      <c r="B1454">
        <v>1</v>
      </c>
    </row>
    <row r="1455" spans="1:2" x14ac:dyDescent="0.2">
      <c r="A1455" t="s">
        <v>3443</v>
      </c>
      <c r="B1455">
        <v>1</v>
      </c>
    </row>
    <row r="1456" spans="1:2" x14ac:dyDescent="0.2">
      <c r="A1456" t="s">
        <v>3444</v>
      </c>
      <c r="B1456">
        <v>1</v>
      </c>
    </row>
    <row r="1457" spans="1:2" x14ac:dyDescent="0.2">
      <c r="A1457" t="s">
        <v>3445</v>
      </c>
      <c r="B1457">
        <v>1</v>
      </c>
    </row>
    <row r="1458" spans="1:2" x14ac:dyDescent="0.2">
      <c r="A1458" t="s">
        <v>3446</v>
      </c>
      <c r="B1458">
        <v>1</v>
      </c>
    </row>
    <row r="1459" spans="1:2" x14ac:dyDescent="0.2">
      <c r="A1459" t="s">
        <v>3447</v>
      </c>
      <c r="B1459">
        <v>1</v>
      </c>
    </row>
    <row r="1460" spans="1:2" x14ac:dyDescent="0.2">
      <c r="A1460" t="s">
        <v>3448</v>
      </c>
      <c r="B1460">
        <v>1</v>
      </c>
    </row>
    <row r="1461" spans="1:2" x14ac:dyDescent="0.2">
      <c r="A1461" t="s">
        <v>3449</v>
      </c>
      <c r="B1461">
        <v>1</v>
      </c>
    </row>
    <row r="1462" spans="1:2" x14ac:dyDescent="0.2">
      <c r="A1462" t="s">
        <v>3450</v>
      </c>
      <c r="B1462">
        <v>1</v>
      </c>
    </row>
    <row r="1463" spans="1:2" x14ac:dyDescent="0.2">
      <c r="A1463" t="s">
        <v>3451</v>
      </c>
      <c r="B1463">
        <v>1</v>
      </c>
    </row>
    <row r="1464" spans="1:2" x14ac:dyDescent="0.2">
      <c r="A1464" t="s">
        <v>3452</v>
      </c>
      <c r="B1464">
        <v>1</v>
      </c>
    </row>
    <row r="1465" spans="1:2" x14ac:dyDescent="0.2">
      <c r="A1465" t="s">
        <v>3453</v>
      </c>
      <c r="B1465">
        <v>1</v>
      </c>
    </row>
    <row r="1466" spans="1:2" x14ac:dyDescent="0.2">
      <c r="A1466" t="s">
        <v>4418</v>
      </c>
      <c r="B1466">
        <v>1</v>
      </c>
    </row>
    <row r="1467" spans="1:2" x14ac:dyDescent="0.2">
      <c r="A1467" t="s">
        <v>4420</v>
      </c>
      <c r="B1467">
        <v>1</v>
      </c>
    </row>
    <row r="1468" spans="1:2" x14ac:dyDescent="0.2">
      <c r="A1468" t="s">
        <v>4422</v>
      </c>
      <c r="B1468">
        <v>1</v>
      </c>
    </row>
    <row r="1469" spans="1:2" x14ac:dyDescent="0.2">
      <c r="A1469" t="s">
        <v>4424</v>
      </c>
      <c r="B1469">
        <v>1</v>
      </c>
    </row>
    <row r="1470" spans="1:2" x14ac:dyDescent="0.2">
      <c r="A1470" t="s">
        <v>4426</v>
      </c>
      <c r="B1470">
        <v>1</v>
      </c>
    </row>
    <row r="1471" spans="1:2" x14ac:dyDescent="0.2">
      <c r="A1471" t="s">
        <v>3454</v>
      </c>
      <c r="B1471">
        <v>0</v>
      </c>
    </row>
    <row r="1472" spans="1:2" x14ac:dyDescent="0.2">
      <c r="A1472" t="s">
        <v>3455</v>
      </c>
      <c r="B1472">
        <v>0</v>
      </c>
    </row>
    <row r="1473" spans="1:2" x14ac:dyDescent="0.2">
      <c r="A1473" t="s">
        <v>3456</v>
      </c>
      <c r="B1473">
        <v>0</v>
      </c>
    </row>
    <row r="1474" spans="1:2" x14ac:dyDescent="0.2">
      <c r="A1474" t="s">
        <v>3457</v>
      </c>
      <c r="B1474">
        <v>0</v>
      </c>
    </row>
    <row r="1475" spans="1:2" x14ac:dyDescent="0.2">
      <c r="A1475" t="s">
        <v>3458</v>
      </c>
      <c r="B1475">
        <v>0</v>
      </c>
    </row>
    <row r="1476" spans="1:2" x14ac:dyDescent="0.2">
      <c r="A1476" t="s">
        <v>3459</v>
      </c>
      <c r="B1476">
        <v>0</v>
      </c>
    </row>
    <row r="1477" spans="1:2" x14ac:dyDescent="0.2">
      <c r="A1477" t="s">
        <v>3460</v>
      </c>
      <c r="B1477">
        <v>0</v>
      </c>
    </row>
    <row r="1478" spans="1:2" x14ac:dyDescent="0.2">
      <c r="A1478" t="s">
        <v>3461</v>
      </c>
      <c r="B1478">
        <v>0</v>
      </c>
    </row>
    <row r="1479" spans="1:2" x14ac:dyDescent="0.2">
      <c r="A1479" t="s">
        <v>3462</v>
      </c>
      <c r="B1479">
        <v>0</v>
      </c>
    </row>
    <row r="1480" spans="1:2" x14ac:dyDescent="0.2">
      <c r="A1480" t="s">
        <v>3463</v>
      </c>
      <c r="B1480">
        <v>0</v>
      </c>
    </row>
    <row r="1481" spans="1:2" x14ac:dyDescent="0.2">
      <c r="A1481" t="s">
        <v>3464</v>
      </c>
      <c r="B1481">
        <v>0</v>
      </c>
    </row>
    <row r="1482" spans="1:2" x14ac:dyDescent="0.2">
      <c r="A1482" t="s">
        <v>3465</v>
      </c>
      <c r="B1482">
        <v>0</v>
      </c>
    </row>
    <row r="1483" spans="1:2" x14ac:dyDescent="0.2">
      <c r="A1483" t="s">
        <v>3466</v>
      </c>
      <c r="B1483">
        <v>0</v>
      </c>
    </row>
    <row r="1484" spans="1:2" x14ac:dyDescent="0.2">
      <c r="A1484" t="s">
        <v>3467</v>
      </c>
      <c r="B1484">
        <v>0</v>
      </c>
    </row>
    <row r="1485" spans="1:2" x14ac:dyDescent="0.2">
      <c r="A1485" t="s">
        <v>3468</v>
      </c>
      <c r="B1485">
        <v>0</v>
      </c>
    </row>
    <row r="1486" spans="1:2" x14ac:dyDescent="0.2">
      <c r="A1486" t="s">
        <v>4428</v>
      </c>
      <c r="B1486">
        <v>0</v>
      </c>
    </row>
    <row r="1487" spans="1:2" x14ac:dyDescent="0.2">
      <c r="A1487" t="s">
        <v>4430</v>
      </c>
      <c r="B1487">
        <v>0</v>
      </c>
    </row>
    <row r="1488" spans="1:2" x14ac:dyDescent="0.2">
      <c r="A1488" t="s">
        <v>4432</v>
      </c>
      <c r="B1488">
        <v>0</v>
      </c>
    </row>
    <row r="1489" spans="1:2" x14ac:dyDescent="0.2">
      <c r="A1489" t="s">
        <v>4434</v>
      </c>
      <c r="B1489">
        <v>0</v>
      </c>
    </row>
    <row r="1490" spans="1:2" x14ac:dyDescent="0.2">
      <c r="A1490" t="s">
        <v>4436</v>
      </c>
      <c r="B1490">
        <v>0</v>
      </c>
    </row>
    <row r="1491" spans="1:2" x14ac:dyDescent="0.2">
      <c r="A1491" t="s">
        <v>3469</v>
      </c>
      <c r="B1491" t="s">
        <v>4694</v>
      </c>
    </row>
    <row r="1492" spans="1:2" x14ac:dyDescent="0.2">
      <c r="A1492" t="s">
        <v>3470</v>
      </c>
      <c r="B1492">
        <v>0</v>
      </c>
    </row>
    <row r="1493" spans="1:2" x14ac:dyDescent="0.2">
      <c r="A1493" t="s">
        <v>3471</v>
      </c>
      <c r="B1493">
        <v>0</v>
      </c>
    </row>
    <row r="1494" spans="1:2" x14ac:dyDescent="0.2">
      <c r="A1494" t="s">
        <v>3472</v>
      </c>
      <c r="B1494">
        <v>0</v>
      </c>
    </row>
    <row r="1495" spans="1:2" x14ac:dyDescent="0.2">
      <c r="A1495" t="s">
        <v>3473</v>
      </c>
      <c r="B1495">
        <v>0</v>
      </c>
    </row>
    <row r="1496" spans="1:2" x14ac:dyDescent="0.2">
      <c r="A1496" t="s">
        <v>3474</v>
      </c>
      <c r="B1496">
        <v>0</v>
      </c>
    </row>
    <row r="1497" spans="1:2" x14ac:dyDescent="0.2">
      <c r="A1497" t="s">
        <v>3475</v>
      </c>
      <c r="B1497">
        <v>0</v>
      </c>
    </row>
    <row r="1498" spans="1:2" x14ac:dyDescent="0.2">
      <c r="A1498" t="s">
        <v>3476</v>
      </c>
      <c r="B1498">
        <v>0</v>
      </c>
    </row>
    <row r="1499" spans="1:2" x14ac:dyDescent="0.2">
      <c r="A1499" t="s">
        <v>3477</v>
      </c>
      <c r="B1499">
        <v>0</v>
      </c>
    </row>
    <row r="1500" spans="1:2" x14ac:dyDescent="0.2">
      <c r="A1500" t="s">
        <v>3478</v>
      </c>
      <c r="B1500">
        <v>0</v>
      </c>
    </row>
    <row r="1501" spans="1:2" x14ac:dyDescent="0.2">
      <c r="A1501" t="s">
        <v>3479</v>
      </c>
      <c r="B1501">
        <v>0</v>
      </c>
    </row>
    <row r="1502" spans="1:2" x14ac:dyDescent="0.2">
      <c r="A1502" t="s">
        <v>3480</v>
      </c>
      <c r="B1502">
        <v>0</v>
      </c>
    </row>
    <row r="1503" spans="1:2" x14ac:dyDescent="0.2">
      <c r="A1503" t="s">
        <v>3481</v>
      </c>
      <c r="B1503">
        <v>0</v>
      </c>
    </row>
    <row r="1504" spans="1:2" x14ac:dyDescent="0.2">
      <c r="A1504" t="s">
        <v>3482</v>
      </c>
      <c r="B1504">
        <v>0</v>
      </c>
    </row>
    <row r="1505" spans="1:2" x14ac:dyDescent="0.2">
      <c r="A1505" t="s">
        <v>3483</v>
      </c>
      <c r="B1505">
        <v>0</v>
      </c>
    </row>
    <row r="1506" spans="1:2" x14ac:dyDescent="0.2">
      <c r="A1506" t="s">
        <v>3484</v>
      </c>
      <c r="B1506">
        <v>0</v>
      </c>
    </row>
    <row r="1507" spans="1:2" x14ac:dyDescent="0.2">
      <c r="A1507" t="s">
        <v>4438</v>
      </c>
      <c r="B1507">
        <v>0</v>
      </c>
    </row>
    <row r="1508" spans="1:2" x14ac:dyDescent="0.2">
      <c r="A1508" t="s">
        <v>4440</v>
      </c>
      <c r="B1508">
        <v>0</v>
      </c>
    </row>
    <row r="1509" spans="1:2" x14ac:dyDescent="0.2">
      <c r="A1509" t="s">
        <v>4442</v>
      </c>
      <c r="B1509">
        <v>0</v>
      </c>
    </row>
    <row r="1510" spans="1:2" x14ac:dyDescent="0.2">
      <c r="A1510" t="s">
        <v>4444</v>
      </c>
      <c r="B1510">
        <v>0</v>
      </c>
    </row>
    <row r="1511" spans="1:2" x14ac:dyDescent="0.2">
      <c r="A1511" t="s">
        <v>4446</v>
      </c>
      <c r="B1511">
        <v>0</v>
      </c>
    </row>
    <row r="1512" spans="1:2" x14ac:dyDescent="0.2">
      <c r="A1512" t="s">
        <v>3485</v>
      </c>
      <c r="B1512">
        <v>0</v>
      </c>
    </row>
    <row r="1513" spans="1:2" x14ac:dyDescent="0.2">
      <c r="A1513" t="s">
        <v>3486</v>
      </c>
      <c r="B1513">
        <v>0</v>
      </c>
    </row>
    <row r="1514" spans="1:2" x14ac:dyDescent="0.2">
      <c r="A1514" t="s">
        <v>3487</v>
      </c>
      <c r="B1514">
        <v>0</v>
      </c>
    </row>
    <row r="1515" spans="1:2" x14ac:dyDescent="0.2">
      <c r="A1515" t="s">
        <v>3488</v>
      </c>
      <c r="B1515">
        <v>0</v>
      </c>
    </row>
    <row r="1516" spans="1:2" x14ac:dyDescent="0.2">
      <c r="A1516" t="s">
        <v>3489</v>
      </c>
      <c r="B1516">
        <v>0</v>
      </c>
    </row>
    <row r="1517" spans="1:2" x14ac:dyDescent="0.2">
      <c r="A1517" t="s">
        <v>3490</v>
      </c>
      <c r="B1517">
        <v>0</v>
      </c>
    </row>
    <row r="1518" spans="1:2" x14ac:dyDescent="0.2">
      <c r="A1518" t="s">
        <v>3491</v>
      </c>
      <c r="B1518">
        <v>0</v>
      </c>
    </row>
    <row r="1519" spans="1:2" x14ac:dyDescent="0.2">
      <c r="A1519" t="s">
        <v>3492</v>
      </c>
      <c r="B1519">
        <v>0</v>
      </c>
    </row>
    <row r="1520" spans="1:2" x14ac:dyDescent="0.2">
      <c r="A1520" t="s">
        <v>3493</v>
      </c>
      <c r="B1520">
        <v>0</v>
      </c>
    </row>
    <row r="1521" spans="1:2" x14ac:dyDescent="0.2">
      <c r="A1521" t="s">
        <v>3494</v>
      </c>
      <c r="B1521">
        <v>0</v>
      </c>
    </row>
    <row r="1522" spans="1:2" x14ac:dyDescent="0.2">
      <c r="A1522" t="s">
        <v>3495</v>
      </c>
      <c r="B1522">
        <v>0</v>
      </c>
    </row>
    <row r="1523" spans="1:2" x14ac:dyDescent="0.2">
      <c r="A1523" t="s">
        <v>3496</v>
      </c>
      <c r="B1523">
        <v>0</v>
      </c>
    </row>
    <row r="1524" spans="1:2" x14ac:dyDescent="0.2">
      <c r="A1524" t="s">
        <v>3497</v>
      </c>
      <c r="B1524">
        <v>0</v>
      </c>
    </row>
    <row r="1525" spans="1:2" x14ac:dyDescent="0.2">
      <c r="A1525" t="s">
        <v>3498</v>
      </c>
      <c r="B1525">
        <v>0</v>
      </c>
    </row>
    <row r="1526" spans="1:2" x14ac:dyDescent="0.2">
      <c r="A1526" t="s">
        <v>3499</v>
      </c>
      <c r="B1526">
        <v>0</v>
      </c>
    </row>
    <row r="1527" spans="1:2" x14ac:dyDescent="0.2">
      <c r="A1527" t="s">
        <v>4448</v>
      </c>
      <c r="B1527">
        <v>0</v>
      </c>
    </row>
    <row r="1528" spans="1:2" x14ac:dyDescent="0.2">
      <c r="A1528" t="s">
        <v>4450</v>
      </c>
      <c r="B1528">
        <v>0</v>
      </c>
    </row>
    <row r="1529" spans="1:2" x14ac:dyDescent="0.2">
      <c r="A1529" t="s">
        <v>4452</v>
      </c>
      <c r="B1529">
        <v>0</v>
      </c>
    </row>
    <row r="1530" spans="1:2" x14ac:dyDescent="0.2">
      <c r="A1530" t="s">
        <v>4454</v>
      </c>
      <c r="B1530">
        <v>0</v>
      </c>
    </row>
    <row r="1531" spans="1:2" x14ac:dyDescent="0.2">
      <c r="A1531" t="s">
        <v>4456</v>
      </c>
      <c r="B1531">
        <v>0</v>
      </c>
    </row>
    <row r="1532" spans="1:2" x14ac:dyDescent="0.2">
      <c r="A1532" t="s">
        <v>3500</v>
      </c>
      <c r="B1532">
        <v>1</v>
      </c>
    </row>
    <row r="1533" spans="1:2" x14ac:dyDescent="0.2">
      <c r="A1533" t="s">
        <v>3501</v>
      </c>
      <c r="B1533">
        <v>1</v>
      </c>
    </row>
    <row r="1534" spans="1:2" x14ac:dyDescent="0.2">
      <c r="A1534" t="s">
        <v>3502</v>
      </c>
      <c r="B1534">
        <v>2</v>
      </c>
    </row>
    <row r="1535" spans="1:2" x14ac:dyDescent="0.2">
      <c r="A1535" t="s">
        <v>3503</v>
      </c>
      <c r="B1535">
        <v>20</v>
      </c>
    </row>
    <row r="1536" spans="1:2" x14ac:dyDescent="0.2">
      <c r="A1536" t="s">
        <v>3504</v>
      </c>
      <c r="B1536">
        <v>30</v>
      </c>
    </row>
    <row r="1537" spans="1:2" x14ac:dyDescent="0.2">
      <c r="A1537" t="s">
        <v>3505</v>
      </c>
      <c r="B1537">
        <v>1</v>
      </c>
    </row>
    <row r="1538" spans="1:2" x14ac:dyDescent="0.2">
      <c r="A1538" t="s">
        <v>3506</v>
      </c>
      <c r="B1538">
        <v>1</v>
      </c>
    </row>
    <row r="1539" spans="1:2" x14ac:dyDescent="0.2">
      <c r="A1539" t="s">
        <v>3507</v>
      </c>
      <c r="B1539">
        <v>10</v>
      </c>
    </row>
    <row r="1540" spans="1:2" x14ac:dyDescent="0.2">
      <c r="A1540" t="s">
        <v>3508</v>
      </c>
      <c r="B1540" t="b">
        <v>0</v>
      </c>
    </row>
    <row r="1541" spans="1:2" x14ac:dyDescent="0.2">
      <c r="A1541" t="s">
        <v>3509</v>
      </c>
      <c r="B1541">
        <v>0</v>
      </c>
    </row>
    <row r="1542" spans="1:2" x14ac:dyDescent="0.2">
      <c r="A1542" t="s">
        <v>3510</v>
      </c>
      <c r="B1542" t="b">
        <v>0</v>
      </c>
    </row>
    <row r="1543" spans="1:2" x14ac:dyDescent="0.2">
      <c r="A1543" t="s">
        <v>3511</v>
      </c>
      <c r="B1543" t="b">
        <v>0</v>
      </c>
    </row>
    <row r="1544" spans="1:2" x14ac:dyDescent="0.2">
      <c r="A1544" t="s">
        <v>3512</v>
      </c>
      <c r="B1544">
        <v>0</v>
      </c>
    </row>
    <row r="1545" spans="1:2" x14ac:dyDescent="0.2">
      <c r="A1545" t="s">
        <v>3513</v>
      </c>
      <c r="B1545">
        <v>0</v>
      </c>
    </row>
    <row r="1546" spans="1:2" x14ac:dyDescent="0.2">
      <c r="A1546" t="s">
        <v>3514</v>
      </c>
      <c r="B1546">
        <v>1</v>
      </c>
    </row>
    <row r="1547" spans="1:2" x14ac:dyDescent="0.2">
      <c r="A1547" t="s">
        <v>3515</v>
      </c>
      <c r="B1547" t="b">
        <v>0</v>
      </c>
    </row>
    <row r="1548" spans="1:2" x14ac:dyDescent="0.2">
      <c r="A1548" t="s">
        <v>3516</v>
      </c>
      <c r="B1548">
        <v>0</v>
      </c>
    </row>
    <row r="1549" spans="1:2" x14ac:dyDescent="0.2">
      <c r="A1549" t="s">
        <v>3517</v>
      </c>
      <c r="B1549">
        <v>0</v>
      </c>
    </row>
    <row r="1550" spans="1:2" x14ac:dyDescent="0.2">
      <c r="A1550" t="s">
        <v>3518</v>
      </c>
      <c r="B1550" t="b">
        <v>0</v>
      </c>
    </row>
    <row r="1551" spans="1:2" x14ac:dyDescent="0.2">
      <c r="A1551" t="s">
        <v>3519</v>
      </c>
      <c r="B1551">
        <v>0</v>
      </c>
    </row>
    <row r="1552" spans="1:2" x14ac:dyDescent="0.2">
      <c r="A1552" t="s">
        <v>3520</v>
      </c>
      <c r="B1552" t="b">
        <v>0</v>
      </c>
    </row>
    <row r="1553" spans="1:2" x14ac:dyDescent="0.2">
      <c r="A1553" t="s">
        <v>3521</v>
      </c>
      <c r="B1553" t="b">
        <v>0</v>
      </c>
    </row>
    <row r="1554" spans="1:2" x14ac:dyDescent="0.2">
      <c r="A1554" t="s">
        <v>3522</v>
      </c>
      <c r="B1554">
        <v>0</v>
      </c>
    </row>
    <row r="1555" spans="1:2" x14ac:dyDescent="0.2">
      <c r="A1555" t="s">
        <v>3523</v>
      </c>
      <c r="B1555">
        <v>0</v>
      </c>
    </row>
    <row r="1556" spans="1:2" x14ac:dyDescent="0.2">
      <c r="A1556" t="s">
        <v>3524</v>
      </c>
      <c r="B1556">
        <v>0</v>
      </c>
    </row>
    <row r="1557" spans="1:2" x14ac:dyDescent="0.2">
      <c r="A1557" t="s">
        <v>3525</v>
      </c>
      <c r="B1557">
        <v>0</v>
      </c>
    </row>
    <row r="1558" spans="1:2" x14ac:dyDescent="0.2">
      <c r="A1558" t="s">
        <v>3526</v>
      </c>
      <c r="B1558">
        <v>0</v>
      </c>
    </row>
    <row r="1559" spans="1:2" x14ac:dyDescent="0.2">
      <c r="A1559" t="s">
        <v>3527</v>
      </c>
      <c r="B1559" t="b">
        <v>0</v>
      </c>
    </row>
    <row r="1560" spans="1:2" x14ac:dyDescent="0.2">
      <c r="A1560" t="s">
        <v>3528</v>
      </c>
      <c r="B1560">
        <v>1</v>
      </c>
    </row>
    <row r="1561" spans="1:2" x14ac:dyDescent="0.2">
      <c r="A1561" t="s">
        <v>3529</v>
      </c>
      <c r="B1561">
        <v>1</v>
      </c>
    </row>
    <row r="1562" spans="1:2" x14ac:dyDescent="0.2">
      <c r="A1562" t="s">
        <v>3530</v>
      </c>
      <c r="B1562">
        <v>0</v>
      </c>
    </row>
    <row r="1563" spans="1:2" x14ac:dyDescent="0.2">
      <c r="A1563" t="s">
        <v>3531</v>
      </c>
      <c r="B1563">
        <v>1</v>
      </c>
    </row>
    <row r="1564" spans="1:2" x14ac:dyDescent="0.2">
      <c r="A1564" t="s">
        <v>3532</v>
      </c>
      <c r="B1564">
        <v>0</v>
      </c>
    </row>
    <row r="1565" spans="1:2" x14ac:dyDescent="0.2">
      <c r="A1565" t="s">
        <v>3533</v>
      </c>
      <c r="B1565" t="b">
        <v>0</v>
      </c>
    </row>
    <row r="1566" spans="1:2" x14ac:dyDescent="0.2">
      <c r="A1566" t="s">
        <v>3534</v>
      </c>
      <c r="B1566">
        <v>1</v>
      </c>
    </row>
    <row r="1567" spans="1:2" x14ac:dyDescent="0.2">
      <c r="A1567" t="s">
        <v>3535</v>
      </c>
      <c r="B1567">
        <v>0</v>
      </c>
    </row>
  </sheetData>
  <customSheetViews>
    <customSheetView guid="{33CCADFA-0D48-46A6-8927-2B2144029216}" state="veryHidden">
      <selection sqref="A1:B605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8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atient">
    <tabColor rgb="FFFF0000"/>
  </sheetPr>
  <dimension ref="A1"/>
  <sheetViews>
    <sheetView topLeftCell="A3" workbookViewId="0">
      <selection activeCell="K36" sqref="K36:L38"/>
    </sheetView>
  </sheetViews>
  <sheetFormatPr defaultRowHeight="12.75" x14ac:dyDescent="0.2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Text">
    <tabColor rgb="FF00B0F0"/>
  </sheetPr>
  <dimension ref="A1:FIO153"/>
  <sheetViews>
    <sheetView topLeftCell="A107" zoomScaleNormal="100" workbookViewId="0">
      <selection activeCell="C116" sqref="C116"/>
    </sheetView>
  </sheetViews>
  <sheetFormatPr defaultRowHeight="12.75" x14ac:dyDescent="0.2"/>
  <cols>
    <col min="1" max="1" width="22.85546875" bestFit="1" customWidth="1"/>
    <col min="2" max="2" width="6.28515625" customWidth="1"/>
    <col min="3" max="3" width="69.7109375" customWidth="1"/>
  </cols>
  <sheetData>
    <row r="1" spans="1:3 4305:4305" x14ac:dyDescent="0.2">
      <c r="A1" s="356" t="s">
        <v>296</v>
      </c>
      <c r="B1" s="129" t="s">
        <v>433</v>
      </c>
      <c r="C1" s="128" t="str">
        <f>PedPrtAfspr!F2&amp;" geb: "&amp;TEXT(PedPrtAfspr!F3,"dd-mmm-jj")&amp;". Gewicht: "&amp;ROUND(_Pat_Gewicht/10,1)&amp;" kg"</f>
        <v>,  geb: 01-jan-04. Gewicht: 0 kg</v>
      </c>
    </row>
    <row r="2" spans="1:3 4305:4305" x14ac:dyDescent="0.2">
      <c r="A2" t="s">
        <v>296</v>
      </c>
      <c r="B2" s="130" t="s">
        <v>434</v>
      </c>
      <c r="C2" s="128">
        <f>__2_AchterNaam</f>
        <v>0</v>
      </c>
      <c r="FIO2">
        <v>30</v>
      </c>
    </row>
    <row r="3" spans="1:3 4305:4305" x14ac:dyDescent="0.2">
      <c r="A3" t="s">
        <v>296</v>
      </c>
      <c r="B3" s="130" t="s">
        <v>435</v>
      </c>
      <c r="C3" s="128">
        <f>__3_VoorNaam</f>
        <v>0</v>
      </c>
    </row>
    <row r="4" spans="1:3 4305:4305" x14ac:dyDescent="0.2">
      <c r="A4" t="s">
        <v>296</v>
      </c>
      <c r="B4" s="130" t="s">
        <v>436</v>
      </c>
      <c r="C4" s="128" t="str">
        <f>TEXT(PedPrtAfspr!F3,"dd-mmm-jj")</f>
        <v>01-jan-04</v>
      </c>
    </row>
    <row r="5" spans="1:3 4305:4305" x14ac:dyDescent="0.2">
      <c r="A5" t="s">
        <v>296</v>
      </c>
      <c r="B5" s="130" t="s">
        <v>437</v>
      </c>
      <c r="C5" s="17">
        <f>__0_PatNum</f>
        <v>0</v>
      </c>
    </row>
    <row r="6" spans="1:3 4305:4305" x14ac:dyDescent="0.2">
      <c r="A6" s="356" t="s">
        <v>453</v>
      </c>
      <c r="B6" s="130" t="s">
        <v>433</v>
      </c>
      <c r="C6" t="str">
        <f>IF(PedPrtAfspr!C51&lt;&gt;0,PedPrtAfspr!C51&amp;" "&amp;PedPrtAfspr!E51&amp;" "&amp;PedPrtAfspr!F51&amp;" "&amp;PedPrtAfspr!G51&amp;", totaal "&amp;PedPrtAfspr!J51&amp;" "&amp;PedPrtAfspr!I51,"")</f>
        <v xml:space="preserve">1  in    (= ), totaal  </v>
      </c>
    </row>
    <row r="7" spans="1:3 4305:4305" x14ac:dyDescent="0.2">
      <c r="A7" t="s">
        <v>453</v>
      </c>
      <c r="B7" s="130" t="s">
        <v>434</v>
      </c>
      <c r="C7" t="str">
        <f>IF(PedPrtAfspr!C52&lt;&gt;0,PedPrtAfspr!C52&amp;" "&amp;PedPrtAfspr!E52&amp;" "&amp;PedPrtAfspr!F52&amp;" "&amp;PedPrtAfspr!G52&amp;", totaal "&amp;PedPrtAfspr!J52&amp;" "&amp;PedPrtAfspr!I52,"")</f>
        <v xml:space="preserve">1  in    (= ), totaal  </v>
      </c>
    </row>
    <row r="8" spans="1:3 4305:4305" x14ac:dyDescent="0.2">
      <c r="A8" t="s">
        <v>453</v>
      </c>
      <c r="B8" s="130" t="s">
        <v>435</v>
      </c>
      <c r="C8" t="str">
        <f>IF(PedPrtAfspr!C53&lt;&gt;0,PedPrtAfspr!C53&amp;" "&amp;PedPrtAfspr!E53&amp;" "&amp;PedPrtAfspr!F53&amp;" "&amp;PedPrtAfspr!G53&amp;", totaal "&amp;PedPrtAfspr!J53&amp;" "&amp;PedPrtAfspr!I53,"")</f>
        <v xml:space="preserve">1  in    (= ), totaal  </v>
      </c>
    </row>
    <row r="9" spans="1:3 4305:4305" x14ac:dyDescent="0.2">
      <c r="A9" t="s">
        <v>453</v>
      </c>
      <c r="B9" s="129" t="s">
        <v>436</v>
      </c>
      <c r="C9" t="str">
        <f>IF(PedPrtAfspr!C54&lt;&gt;0,PedPrtAfspr!C54&amp;" "&amp;PedPrtAfspr!E54&amp;" "&amp;PedPrtAfspr!F54&amp;" "&amp;PedPrtAfspr!G54&amp;", totaal "&amp;PedPrtAfspr!J54&amp;" "&amp;PedPrtAfspr!I54,"")</f>
        <v xml:space="preserve">1  in    (= ), totaal  </v>
      </c>
    </row>
    <row r="10" spans="1:3 4305:4305" x14ac:dyDescent="0.2">
      <c r="A10" t="s">
        <v>453</v>
      </c>
      <c r="B10" s="129" t="s">
        <v>437</v>
      </c>
      <c r="C10" t="str">
        <f>IF(PedPrtAfspr!C55&lt;&gt;0,PedPrtAfspr!C55&amp;" "&amp;PedPrtAfspr!E55&amp;" "&amp;PedPrtAfspr!F55&amp;" "&amp;PedPrtAfspr!G55&amp;", totaal "&amp;PedPrtAfspr!J55&amp;" "&amp;PedPrtAfspr!I55,"")</f>
        <v xml:space="preserve">1  in    (= ), totaal  </v>
      </c>
    </row>
    <row r="11" spans="1:3 4305:4305" x14ac:dyDescent="0.2">
      <c r="A11" t="s">
        <v>453</v>
      </c>
      <c r="B11" s="129" t="s">
        <v>438</v>
      </c>
      <c r="C11" t="str">
        <f>IF(PedPrtAfspr!C56&lt;&gt;0,PedPrtAfspr!C56&amp;" "&amp;PedPrtAfspr!E56&amp;" "&amp;PedPrtAfspr!F56&amp;" "&amp;PedPrtAfspr!G56&amp;", totaal "&amp;PedPrtAfspr!J56&amp;" "&amp;PedPrtAfspr!I56,"")</f>
        <v xml:space="preserve">1  in    (= ), totaal  </v>
      </c>
    </row>
    <row r="12" spans="1:3 4305:4305" x14ac:dyDescent="0.2">
      <c r="A12" t="s">
        <v>453</v>
      </c>
      <c r="B12" s="129" t="s">
        <v>439</v>
      </c>
      <c r="C12" t="str">
        <f>IF(PedPrtAfspr!C57&lt;&gt;0,PedPrtAfspr!C57&amp;" "&amp;PedPrtAfspr!E57&amp;" "&amp;PedPrtAfspr!F57&amp;" "&amp;PedPrtAfspr!G57&amp;", totaal "&amp;PedPrtAfspr!J57&amp;" "&amp;PedPrtAfspr!I57,"")</f>
        <v xml:space="preserve">1  in    (= ), totaal  </v>
      </c>
    </row>
    <row r="13" spans="1:3 4305:4305" x14ac:dyDescent="0.2">
      <c r="A13" t="s">
        <v>453</v>
      </c>
      <c r="B13" s="129" t="s">
        <v>440</v>
      </c>
      <c r="C13" t="str">
        <f>IF(PedPrtAfspr!C58&lt;&gt;0,PedPrtAfspr!C58&amp;" "&amp;PedPrtAfspr!E58&amp;" "&amp;PedPrtAfspr!F58&amp;" "&amp;PedPrtAfspr!G58&amp;", totaal "&amp;PedPrtAfspr!J58&amp;" "&amp;PedPrtAfspr!I58,"")</f>
        <v xml:space="preserve">1  in    (= ), totaal  </v>
      </c>
    </row>
    <row r="14" spans="1:3 4305:4305" x14ac:dyDescent="0.2">
      <c r="A14" t="s">
        <v>453</v>
      </c>
      <c r="B14" s="129" t="s">
        <v>441</v>
      </c>
      <c r="C14" t="str">
        <f>IF(PedPrtAfspr!C59&lt;&gt;0,PedPrtAfspr!C59&amp;" "&amp;PedPrtAfspr!E59&amp;" "&amp;PedPrtAfspr!F59&amp;" "&amp;PedPrtAfspr!G59&amp;", totaal "&amp;PedPrtAfspr!J59&amp;" "&amp;PedPrtAfspr!I59,"")</f>
        <v xml:space="preserve">1  in    (= ), totaal  </v>
      </c>
    </row>
    <row r="15" spans="1:3 4305:4305" x14ac:dyDescent="0.2">
      <c r="A15" t="s">
        <v>453</v>
      </c>
      <c r="B15" s="129">
        <v>10</v>
      </c>
      <c r="C15" t="str">
        <f>IF(PedPrtAfspr!C60&lt;&gt;0,PedPrtAfspr!C60&amp;" "&amp;PedPrtAfspr!E60&amp;" "&amp;PedPrtAfspr!F60&amp;" "&amp;PedPrtAfspr!G60&amp;", totaal "&amp;PedPrtAfspr!J60&amp;" "&amp;PedPrtAfspr!I60,"")</f>
        <v xml:space="preserve">1  in    (= ), totaal  </v>
      </c>
    </row>
    <row r="16" spans="1:3 4305:4305" x14ac:dyDescent="0.2">
      <c r="A16" t="s">
        <v>453</v>
      </c>
      <c r="B16" s="129">
        <v>11</v>
      </c>
      <c r="C16" t="str">
        <f>IF(PedPrtAfspr!C61&lt;&gt;0,PedPrtAfspr!C61&amp;" "&amp;PedPrtAfspr!E61&amp;" "&amp;PedPrtAfspr!F61&amp;" "&amp;PedPrtAfspr!G61&amp;", totaal "&amp;PedPrtAfspr!J61&amp;" "&amp;PedPrtAfspr!I61,"")</f>
        <v xml:space="preserve"> 0 in   , totaal  </v>
      </c>
    </row>
    <row r="17" spans="1:6" x14ac:dyDescent="0.2">
      <c r="A17" t="s">
        <v>453</v>
      </c>
      <c r="B17" s="129">
        <v>12</v>
      </c>
      <c r="C17" t="str">
        <f>IF(PedPrtAfspr!C62&lt;&gt;0,PedPrtAfspr!C62&amp;" "&amp;PedPrtAfspr!E62&amp;" "&amp;PedPrtAfspr!F62&amp;" "&amp;PedPrtAfspr!G62&amp;", totaal "&amp;PedPrtAfspr!J62&amp;" "&amp;PedPrtAfspr!I62,"")</f>
        <v xml:space="preserve"> 0 in   , totaal  </v>
      </c>
    </row>
    <row r="18" spans="1:6" x14ac:dyDescent="0.2">
      <c r="A18" t="s">
        <v>453</v>
      </c>
      <c r="B18" s="129">
        <v>13</v>
      </c>
      <c r="C18" t="str">
        <f>IF(PedPrtAfspr!C63&lt;&gt;0,PedPrtAfspr!C63&amp;" "&amp;PedPrtAfspr!E63&amp;" "&amp;PedPrtAfspr!F63&amp;" "&amp;PedPrtAfspr!G63&amp;", totaal "&amp;PedPrtAfspr!J63&amp;" "&amp;PedPrtAfspr!I63,"")</f>
        <v xml:space="preserve"> 0 in   , totaal  </v>
      </c>
    </row>
    <row r="19" spans="1:6" x14ac:dyDescent="0.2">
      <c r="A19" t="s">
        <v>453</v>
      </c>
      <c r="B19" s="129">
        <v>14</v>
      </c>
      <c r="C19" t="str">
        <f>IF(PedPrtAfspr!C64&lt;&gt;0,PedPrtAfspr!C64&amp;" "&amp;PedPrtAfspr!E64&amp;" "&amp;PedPrtAfspr!F64&amp;" "&amp;PedPrtAfspr!G64&amp;", totaal "&amp;PedPrtAfspr!J64&amp;" "&amp;PedPrtAfspr!I64,"")</f>
        <v xml:space="preserve"> 0 in   , totaal  </v>
      </c>
    </row>
    <row r="20" spans="1:6" x14ac:dyDescent="0.2">
      <c r="A20" t="s">
        <v>453</v>
      </c>
      <c r="B20" s="129">
        <v>15</v>
      </c>
      <c r="C20" t="str">
        <f>IF(PedPrtAfspr!C65&lt;&gt;0,PedPrtAfspr!C65&amp;" "&amp;PedPrtAfspr!E65&amp;" "&amp;PedPrtAfspr!F65&amp;" "&amp;PedPrtAfspr!G65&amp;", totaal "&amp;PedPrtAfspr!J65&amp;" "&amp;PedPrtAfspr!I65,"")</f>
        <v xml:space="preserve"> 0 in   , totaal  </v>
      </c>
    </row>
    <row r="21" spans="1:6" x14ac:dyDescent="0.2">
      <c r="A21" t="s">
        <v>453</v>
      </c>
      <c r="B21" s="129">
        <v>16</v>
      </c>
      <c r="C21" t="str">
        <f>IF(GlobBerOpm!B3&lt;&gt;0,PedPrtAfspr!C67&amp;" "&amp;GlobBerOpm!B3,"")</f>
        <v/>
      </c>
    </row>
    <row r="22" spans="1:6" x14ac:dyDescent="0.2">
      <c r="A22" t="s">
        <v>454</v>
      </c>
      <c r="B22" s="129" t="s">
        <v>433</v>
      </c>
      <c r="C22" t="str">
        <f>GlobBerMedDisc!AC2</f>
        <v/>
      </c>
    </row>
    <row r="23" spans="1:6" x14ac:dyDescent="0.2">
      <c r="A23" t="s">
        <v>454</v>
      </c>
      <c r="B23" s="129" t="s">
        <v>434</v>
      </c>
      <c r="C23" t="str">
        <f>GlobBerMedDisc!AC3</f>
        <v/>
      </c>
    </row>
    <row r="24" spans="1:6" x14ac:dyDescent="0.2">
      <c r="A24" t="s">
        <v>454</v>
      </c>
      <c r="B24" s="129" t="s">
        <v>435</v>
      </c>
      <c r="C24" t="str">
        <f>GlobBerMedDisc!AC4</f>
        <v/>
      </c>
    </row>
    <row r="25" spans="1:6" x14ac:dyDescent="0.2">
      <c r="A25" t="s">
        <v>454</v>
      </c>
      <c r="B25" s="129" t="s">
        <v>436</v>
      </c>
      <c r="C25" t="str">
        <f>GlobBerMedDisc!AC5</f>
        <v/>
      </c>
    </row>
    <row r="26" spans="1:6" x14ac:dyDescent="0.2">
      <c r="A26" t="s">
        <v>454</v>
      </c>
      <c r="B26" s="129" t="s">
        <v>437</v>
      </c>
      <c r="C26" t="str">
        <f>GlobBerMedDisc!AC6</f>
        <v/>
      </c>
    </row>
    <row r="27" spans="1:6" x14ac:dyDescent="0.2">
      <c r="A27" t="s">
        <v>454</v>
      </c>
      <c r="B27" s="129" t="s">
        <v>438</v>
      </c>
      <c r="C27" t="str">
        <f>GlobBerMedDisc!AC7</f>
        <v/>
      </c>
    </row>
    <row r="28" spans="1:6" x14ac:dyDescent="0.2">
      <c r="A28" t="s">
        <v>454</v>
      </c>
      <c r="B28" s="129" t="s">
        <v>439</v>
      </c>
      <c r="C28" t="str">
        <f>GlobBerMedDisc!AC8</f>
        <v/>
      </c>
    </row>
    <row r="29" spans="1:6" x14ac:dyDescent="0.2">
      <c r="A29" t="s">
        <v>454</v>
      </c>
      <c r="B29" s="129" t="s">
        <v>440</v>
      </c>
      <c r="C29" t="str">
        <f>GlobBerMedDisc!AC9</f>
        <v/>
      </c>
      <c r="E29" s="315"/>
      <c r="F29" s="318"/>
    </row>
    <row r="30" spans="1:6" x14ac:dyDescent="0.2">
      <c r="A30" t="s">
        <v>454</v>
      </c>
      <c r="B30" s="129" t="s">
        <v>441</v>
      </c>
      <c r="C30" t="str">
        <f>GlobBerMedDisc!AC10</f>
        <v/>
      </c>
    </row>
    <row r="31" spans="1:6" x14ac:dyDescent="0.2">
      <c r="A31" t="s">
        <v>454</v>
      </c>
      <c r="B31" s="129">
        <v>10</v>
      </c>
      <c r="C31" t="str">
        <f>GlobBerMedDisc!AC11</f>
        <v/>
      </c>
    </row>
    <row r="32" spans="1:6" x14ac:dyDescent="0.2">
      <c r="A32" t="s">
        <v>454</v>
      </c>
      <c r="B32" s="129">
        <v>11</v>
      </c>
      <c r="C32" t="str">
        <f>GlobBerMedDisc!AC12</f>
        <v/>
      </c>
    </row>
    <row r="33" spans="1:7" x14ac:dyDescent="0.2">
      <c r="A33" t="s">
        <v>454</v>
      </c>
      <c r="B33" s="129">
        <v>12</v>
      </c>
      <c r="C33" t="str">
        <f>GlobBerMedDisc!AC13</f>
        <v/>
      </c>
    </row>
    <row r="34" spans="1:7" x14ac:dyDescent="0.2">
      <c r="A34" t="s">
        <v>454</v>
      </c>
      <c r="B34" s="129">
        <v>13</v>
      </c>
      <c r="C34" t="str">
        <f>GlobBerMedDisc!AC14</f>
        <v/>
      </c>
    </row>
    <row r="35" spans="1:7" x14ac:dyDescent="0.2">
      <c r="A35" t="s">
        <v>454</v>
      </c>
      <c r="B35" s="129">
        <v>14</v>
      </c>
      <c r="C35" t="str">
        <f>GlobBerMedDisc!AC15</f>
        <v/>
      </c>
    </row>
    <row r="36" spans="1:7" x14ac:dyDescent="0.2">
      <c r="A36" t="s">
        <v>454</v>
      </c>
      <c r="B36" s="129">
        <v>15</v>
      </c>
      <c r="C36" t="str">
        <f>GlobBerMedDisc!AC16</f>
        <v/>
      </c>
    </row>
    <row r="37" spans="1:7" x14ac:dyDescent="0.2">
      <c r="A37" t="s">
        <v>454</v>
      </c>
      <c r="B37" s="129">
        <v>16</v>
      </c>
      <c r="C37" t="str">
        <f>GlobBerMedDisc!AC17</f>
        <v/>
      </c>
    </row>
    <row r="38" spans="1:7" x14ac:dyDescent="0.2">
      <c r="A38" t="s">
        <v>454</v>
      </c>
      <c r="B38" s="129">
        <v>17</v>
      </c>
      <c r="C38" t="str">
        <f>GlobBerMedDisc!AC18</f>
        <v/>
      </c>
    </row>
    <row r="39" spans="1:7" x14ac:dyDescent="0.2">
      <c r="A39" t="s">
        <v>454</v>
      </c>
      <c r="B39" s="129">
        <v>18</v>
      </c>
      <c r="C39" t="str">
        <f>GlobBerMedDisc!AC19</f>
        <v/>
      </c>
    </row>
    <row r="40" spans="1:7" x14ac:dyDescent="0.2">
      <c r="A40" t="s">
        <v>454</v>
      </c>
      <c r="B40" s="129">
        <v>19</v>
      </c>
      <c r="C40" t="str">
        <f>GlobBerMedDisc!AC20</f>
        <v/>
      </c>
    </row>
    <row r="41" spans="1:7" x14ac:dyDescent="0.2">
      <c r="A41" t="s">
        <v>454</v>
      </c>
      <c r="B41" s="129">
        <v>20</v>
      </c>
      <c r="C41" t="str">
        <f>GlobBerMedDisc!AC21</f>
        <v/>
      </c>
    </row>
    <row r="42" spans="1:7" x14ac:dyDescent="0.2">
      <c r="A42" s="315" t="s">
        <v>454</v>
      </c>
      <c r="B42" s="318">
        <v>21</v>
      </c>
      <c r="C42" s="315" t="str">
        <f>GlobBerMedDisc!AC22</f>
        <v/>
      </c>
      <c r="F42" s="315"/>
      <c r="G42" s="315"/>
    </row>
    <row r="43" spans="1:7" x14ac:dyDescent="0.2">
      <c r="A43" s="315" t="s">
        <v>454</v>
      </c>
      <c r="B43" s="318">
        <v>22</v>
      </c>
      <c r="C43" s="315" t="str">
        <f>GlobBerMedDisc!AC23</f>
        <v/>
      </c>
      <c r="F43" s="315"/>
      <c r="G43" s="315"/>
    </row>
    <row r="44" spans="1:7" s="315" customFormat="1" x14ac:dyDescent="0.2">
      <c r="A44" s="315" t="s">
        <v>454</v>
      </c>
      <c r="B44" s="318">
        <v>23</v>
      </c>
      <c r="C44" s="315" t="str">
        <f>GlobBerMedDisc!AC24</f>
        <v/>
      </c>
      <c r="D44"/>
      <c r="E44"/>
    </row>
    <row r="45" spans="1:7" x14ac:dyDescent="0.2">
      <c r="A45" s="315" t="s">
        <v>454</v>
      </c>
      <c r="B45" s="318">
        <v>24</v>
      </c>
      <c r="C45" s="315" t="str">
        <f>GlobBerMedDisc!AC25</f>
        <v/>
      </c>
      <c r="F45" s="315"/>
      <c r="G45" s="315"/>
    </row>
    <row r="46" spans="1:7" x14ac:dyDescent="0.2">
      <c r="A46" s="315" t="s">
        <v>454</v>
      </c>
      <c r="B46" s="318">
        <v>25</v>
      </c>
      <c r="C46" s="315" t="str">
        <f>GlobBerMedDisc!AC26</f>
        <v/>
      </c>
    </row>
    <row r="47" spans="1:7" x14ac:dyDescent="0.2">
      <c r="A47" s="315" t="s">
        <v>454</v>
      </c>
      <c r="B47" s="318">
        <v>26</v>
      </c>
      <c r="C47" s="315" t="str">
        <f>GlobBerMedDisc!AC27</f>
        <v/>
      </c>
    </row>
    <row r="48" spans="1:7" x14ac:dyDescent="0.2">
      <c r="A48" s="315" t="s">
        <v>454</v>
      </c>
      <c r="B48" s="318">
        <v>27</v>
      </c>
      <c r="C48" s="315" t="str">
        <f>GlobBerMedDisc!AC28</f>
        <v/>
      </c>
    </row>
    <row r="49" spans="1:5" x14ac:dyDescent="0.2">
      <c r="A49" s="315" t="s">
        <v>454</v>
      </c>
      <c r="B49" s="318">
        <v>28</v>
      </c>
      <c r="C49" s="315" t="str">
        <f>GlobBerMedDisc!AC29</f>
        <v/>
      </c>
    </row>
    <row r="50" spans="1:5" x14ac:dyDescent="0.2">
      <c r="A50" s="315" t="s">
        <v>454</v>
      </c>
      <c r="B50" s="318">
        <v>29</v>
      </c>
      <c r="C50" s="315" t="str">
        <f>GlobBerMedDisc!AC30</f>
        <v/>
      </c>
    </row>
    <row r="51" spans="1:5" x14ac:dyDescent="0.2">
      <c r="A51" s="315" t="s">
        <v>454</v>
      </c>
      <c r="B51" s="318">
        <v>30</v>
      </c>
      <c r="C51" s="315" t="str">
        <f>GlobBerMedDisc!AC31</f>
        <v/>
      </c>
    </row>
    <row r="52" spans="1:5" x14ac:dyDescent="0.2">
      <c r="A52" s="316" t="s">
        <v>927</v>
      </c>
      <c r="B52" s="318" t="s">
        <v>433</v>
      </c>
      <c r="C52" s="315" t="str">
        <f>IF(PedGuiAfspr!C38="","",CONCATENATE(PedGuiAfspr!B38,": ",PedGuiAfspr!C38))</f>
        <v/>
      </c>
      <c r="D52" s="315"/>
      <c r="E52" s="316"/>
    </row>
    <row r="53" spans="1:5" x14ac:dyDescent="0.2">
      <c r="A53" s="316" t="s">
        <v>927</v>
      </c>
      <c r="B53" s="318" t="s">
        <v>434</v>
      </c>
      <c r="C53" s="315" t="str">
        <f>IF(PedGuiAfspr!C39="","",CONCATENATE(PedGuiAfspr!B39,": ",PedGuiAfspr!C39))</f>
        <v/>
      </c>
      <c r="D53" s="315"/>
      <c r="E53" s="316"/>
    </row>
    <row r="54" spans="1:5" x14ac:dyDescent="0.2">
      <c r="A54" s="316" t="s">
        <v>927</v>
      </c>
      <c r="B54" s="318" t="s">
        <v>435</v>
      </c>
      <c r="C54" s="315" t="str">
        <f>IF(PedGuiAfspr!C40="","",CONCATENATE(PedGuiAfspr!B40,": ",PedGuiAfspr!C40))</f>
        <v/>
      </c>
      <c r="D54" s="315"/>
      <c r="E54" s="316"/>
    </row>
    <row r="55" spans="1:5" x14ac:dyDescent="0.2">
      <c r="A55" s="316" t="s">
        <v>927</v>
      </c>
      <c r="B55" s="318" t="s">
        <v>436</v>
      </c>
      <c r="C55" s="315" t="str">
        <f>IF(PedGuiAfspr!C41="","",CONCATENATE(PedGuiAfspr!B41,": ",PedGuiAfspr!C41))</f>
        <v/>
      </c>
      <c r="D55" s="315"/>
      <c r="E55" s="316"/>
    </row>
    <row r="56" spans="1:5" x14ac:dyDescent="0.2">
      <c r="A56" t="s">
        <v>455</v>
      </c>
      <c r="B56" s="129" t="s">
        <v>433</v>
      </c>
      <c r="C56" t="str">
        <f>IF(PedPrtAfspr!C39&lt;&gt;0,PedPrtAfspr!C39,"")</f>
        <v/>
      </c>
    </row>
    <row r="57" spans="1:5" x14ac:dyDescent="0.2">
      <c r="A57" t="s">
        <v>455</v>
      </c>
      <c r="B57" s="129" t="s">
        <v>434</v>
      </c>
      <c r="C57" t="str">
        <f>IF(PedPrtAfspr!C40&lt;&gt;0,PedPrtAfspr!C40,"")</f>
        <v/>
      </c>
    </row>
    <row r="58" spans="1:5" x14ac:dyDescent="0.2">
      <c r="A58" t="s">
        <v>455</v>
      </c>
      <c r="B58" s="129" t="s">
        <v>435</v>
      </c>
      <c r="C58" t="str">
        <f>IF(PedPrtAfspr!C41&lt;&gt;0,PedPrtAfspr!C41,"")</f>
        <v/>
      </c>
    </row>
    <row r="59" spans="1:5" x14ac:dyDescent="0.2">
      <c r="A59" t="s">
        <v>455</v>
      </c>
      <c r="B59" s="129" t="s">
        <v>436</v>
      </c>
      <c r="C59" t="str">
        <f>IF(PedPrtAfspr!C42&lt;&gt;0,PedPrtAfspr!C42,"")</f>
        <v/>
      </c>
    </row>
    <row r="60" spans="1:5" x14ac:dyDescent="0.2">
      <c r="A60" t="s">
        <v>455</v>
      </c>
      <c r="B60" s="129" t="s">
        <v>437</v>
      </c>
      <c r="C60" t="str">
        <f>IF(PedPrtAfspr!C43&lt;&gt;0,PedPrtAfspr!C43,"")</f>
        <v/>
      </c>
    </row>
    <row r="61" spans="1:5" x14ac:dyDescent="0.2">
      <c r="A61" t="s">
        <v>455</v>
      </c>
      <c r="B61" s="129" t="s">
        <v>438</v>
      </c>
      <c r="C61" t="str">
        <f>IF(PedPrtAfspr!C44&lt;&gt;0,PedPrtAfspr!C44,"")</f>
        <v/>
      </c>
    </row>
    <row r="62" spans="1:5" x14ac:dyDescent="0.2">
      <c r="A62" t="s">
        <v>455</v>
      </c>
      <c r="B62" s="129" t="s">
        <v>439</v>
      </c>
      <c r="C62" t="str">
        <f>IF(PedPrtAfspr!D67&lt;&gt;0,"Opmerkingen: "&amp;PedPrtAfspr!D67,"")</f>
        <v/>
      </c>
    </row>
    <row r="63" spans="1:5" s="315" customFormat="1" x14ac:dyDescent="0.2">
      <c r="A63" s="316" t="s">
        <v>20</v>
      </c>
      <c r="B63" s="319" t="s">
        <v>433</v>
      </c>
      <c r="C63" s="315" t="str">
        <f>IF(PedBerIVenPM!H2&gt;1,"Pacemaker: "&amp;INDEX(tblPacemakerPositie,PedBerIVenPM!H2)&amp;", Modus:"&amp;INDEX(tblPacemakerModus,PedBerIVenPM!I2)&amp;"; Frequentie:"&amp;PedBerIVenPM!K1&amp;", Atriale output:"&amp;PedBerIVenPM!K2&amp;", Ventr. Output:"&amp;PedBerIVenPM!K3&amp;", AV interval:"&amp;PedBerIVenPM!K4&amp;", Atriale sens.:"&amp;PedBerIVenPM!K5&amp;", Ventr. sens.:"&amp;PedBerIVenPM!K6,"")</f>
        <v/>
      </c>
    </row>
    <row r="64" spans="1:5" x14ac:dyDescent="0.2">
      <c r="A64" t="s">
        <v>456</v>
      </c>
      <c r="B64" s="129" t="s">
        <v>433</v>
      </c>
      <c r="C64" t="e">
        <f>IF(PedPrtAfspr!G6&lt;&gt;"",PedPrtAfspr!G6&amp;": ","")&amp;IF(PedPrtAfspr!C7&lt;&gt;0,PedPrtAfspr!C7&amp;" ","")&amp;PedPrtAfspr!G7&amp;IF(PedPrtAfspr!D8&lt;&gt;""," "&amp;PedPrtAfspr!D8,"")&amp;IF(PedPrtAfspr!D9&lt;&gt;""," en "&amp;PedPrtAfspr!D9,"")&amp;IF(PedPrtAfspr!D10&lt;&gt;""," en "&amp;PedPrtAfspr!D10,"")</f>
        <v>#REF!</v>
      </c>
    </row>
    <row r="65" spans="1:3" x14ac:dyDescent="0.2">
      <c r="A65" t="s">
        <v>456</v>
      </c>
      <c r="B65" s="129" t="s">
        <v>434</v>
      </c>
      <c r="C65" t="str">
        <f>IF(PedPrtAfspr!D12&lt;&gt;0,"Opmerkingen: "&amp;PedPrtAfspr!D12,"")</f>
        <v>Opmerkingen: Opmerking bij enterale voeding</v>
      </c>
    </row>
    <row r="66" spans="1:3" x14ac:dyDescent="0.2">
      <c r="A66" t="s">
        <v>456</v>
      </c>
      <c r="B66" s="129" t="s">
        <v>435</v>
      </c>
      <c r="C66" t="str">
        <f>IF(PedPrtAfspr!E70&lt;&gt;"",PedPrtAfspr!D70&amp;": "&amp;PedPrtAfspr!E70,"")&amp;IF(PedPrtAfspr!F71&lt;&gt;""," met "&amp;PedPrtAfspr!D71&amp;" "&amp;PedPrtAfspr!F71,"")&amp;IF(PedPrtAfspr!F73&lt;&gt;"",", "&amp;PedPrtAfspr!D73&amp;" "&amp;PedPrtAfspr!F73,"")&amp;IF(PedPrtAfspr!F74&lt;&gt;"",", "&amp;PedPrtAfspr!D74&amp;" "&amp;PedPrtAfspr!F74,"")&amp;IF(PedPrtAfspr!F75&lt;&gt; "",", "&amp;PedPrtAfspr!D75&amp;" "&amp;PedPrtAfspr!F75,"")&amp;IF(PedPrtAfspr!E72&lt;&gt; "",", "&amp;PedPrtAfspr!D72&amp;" "&amp;PedPrtAfspr!E72,"")</f>
        <v/>
      </c>
    </row>
    <row r="67" spans="1:3" x14ac:dyDescent="0.2">
      <c r="A67" t="s">
        <v>456</v>
      </c>
      <c r="B67" s="129" t="s">
        <v>436</v>
      </c>
      <c r="C67" t="str">
        <f>IF(PedPrtAfspr!E77&lt;&gt;"",PedPrtAfspr!D77&amp;": "&amp;PedPrtAfspr!E77,"")&amp;IF(PedPrtAfspr!F78&lt;&gt;"",", "&amp;PedPrtAfspr!D78&amp;" "&amp;PedPrtAfspr!F78,"")&amp;IF(PedPrtAfspr!F79&lt;&gt;"",", "&amp;PedPrtAfspr!D79&amp;" "&amp;PedPrtAfspr!F79,"")&amp;IF(PedPrtAfspr!F80&lt;&gt;"",", "&amp;PedPrtAfspr!D80&amp;" "&amp;PedPrtAfspr!F80,"")&amp;IF(PedPrtAfspr!F81&lt;&gt;"",", "&amp;PedPrtAfspr!D81&amp;" "&amp;PedPrtAfspr!F81,"")&amp;IF(PedPrtAfspr!F82&lt;&gt;"",", "&amp;PedPrtAfspr!D82&amp;" "&amp;PedPrtAfspr!F82,"")&amp;IF(PedPrtAfspr!F83&lt;&gt;"",", "&amp;PedPrtAfspr!D83&amp;" "&amp;PedPrtAfspr!F83,"")</f>
        <v/>
      </c>
    </row>
    <row r="68" spans="1:3" x14ac:dyDescent="0.2">
      <c r="A68" t="s">
        <v>456</v>
      </c>
      <c r="B68" s="129" t="s">
        <v>437</v>
      </c>
      <c r="C68" t="str">
        <f>IF(PedPrtAfspr!E85&lt;&gt;" ",PedPrtAfspr!D85&amp;": "&amp;PedPrtAfspr!E85,"")</f>
        <v/>
      </c>
    </row>
    <row r="69" spans="1:3" x14ac:dyDescent="0.2">
      <c r="A69" t="s">
        <v>456</v>
      </c>
      <c r="B69" s="129" t="s">
        <v>438</v>
      </c>
      <c r="C69" t="str">
        <f>IF(PedPrtAfspr!E87&lt;&gt;"",PedPrtAfspr!D87&amp;": "&amp;PedPrtAfspr!E87,"")&amp;IF(PedPrtAfspr!F88&lt;&gt;"",", "&amp;PedPrtAfspr!D88&amp;" "&amp;PedPrtAfspr!F88,"")&amp;IF(PedPrtAfspr!F89&lt;&gt;"",", "&amp;PedPrtAfspr!D89&amp;" "&amp;PedPrtAfspr!F89,"")&amp;IF(PedPrtAfspr!F90&lt;&gt;"",", "&amp;PedPrtAfspr!D90&amp;" "&amp;PedPrtAfspr!F90,"")</f>
        <v/>
      </c>
    </row>
    <row r="70" spans="1:3" x14ac:dyDescent="0.2">
      <c r="A70" t="s">
        <v>456</v>
      </c>
      <c r="B70" s="129" t="s">
        <v>439</v>
      </c>
      <c r="C70" t="str">
        <f>IF(PedPrtAfspr!I70&lt;&gt;"",PedPrtAfspr!H70&amp;": "&amp;PedPrtAfspr!I70,"")&amp;IF(PedPrtAfspr!J71&lt;&gt;"",", "&amp;PedPrtAfspr!H71&amp;" "&amp;PedPrtAfspr!J71,"")&amp;IF(PedPrtAfspr!J72&lt;&gt;"",", "&amp;PedPrtAfspr!H72&amp;" "&amp;PedPrtAfspr!J72,"")&amp;IF(PedPrtAfspr!J73&lt;&gt;"",", "&amp;PedPrtAfspr!H73&amp;" "&amp;PedPrtAfspr!J73,"")</f>
        <v/>
      </c>
    </row>
    <row r="71" spans="1:3" x14ac:dyDescent="0.2">
      <c r="A71" t="s">
        <v>456</v>
      </c>
      <c r="B71" s="130" t="s">
        <v>440</v>
      </c>
      <c r="C71" t="str">
        <f>IF(PedGuiEntTPN!E39&lt;&gt;0,"Opmerkingen: "&amp;PedGuiEntTPN!E39,"")</f>
        <v/>
      </c>
    </row>
    <row r="72" spans="1:3" x14ac:dyDescent="0.2">
      <c r="A72" t="s">
        <v>147</v>
      </c>
      <c r="B72" s="129" t="s">
        <v>433</v>
      </c>
      <c r="C72" t="str">
        <f>IF(PedPrtAfspr!D15&lt;&gt;"",PedPrtAfspr!C15&amp;": "&amp;PedPrtAfspr!D15,"")</f>
        <v/>
      </c>
    </row>
    <row r="73" spans="1:3" x14ac:dyDescent="0.2">
      <c r="A73" t="s">
        <v>147</v>
      </c>
      <c r="B73" s="129" t="s">
        <v>434</v>
      </c>
      <c r="C73" t="str">
        <f>IF(PedPrtAfspr!D16&lt;&gt;"",PedPrtAfspr!C16&amp;": "&amp;PedPrtAfspr!D16,"")</f>
        <v/>
      </c>
    </row>
    <row r="74" spans="1:3" x14ac:dyDescent="0.2">
      <c r="A74" t="s">
        <v>147</v>
      </c>
      <c r="B74" s="129" t="s">
        <v>435</v>
      </c>
      <c r="C74" t="str">
        <f>IF(PedPrtAfspr!D17&lt;&gt;"",PedPrtAfspr!C17&amp;": "&amp;PedPrtAfspr!D17,"")</f>
        <v/>
      </c>
    </row>
    <row r="75" spans="1:3" x14ac:dyDescent="0.2">
      <c r="A75" t="s">
        <v>147</v>
      </c>
      <c r="B75" s="129" t="s">
        <v>436</v>
      </c>
      <c r="C75" t="str">
        <f>IF(PedPrtAfspr!D18&lt;&gt;"",PedPrtAfspr!C18&amp;": "&amp;PedPrtAfspr!D18,"")</f>
        <v/>
      </c>
    </row>
    <row r="76" spans="1:3" x14ac:dyDescent="0.2">
      <c r="A76" t="s">
        <v>147</v>
      </c>
      <c r="B76" s="129" t="s">
        <v>437</v>
      </c>
      <c r="C76" t="str">
        <f>IF(PedPrtAfspr!D19&lt;&gt;"",PedPrtAfspr!C19&amp;": "&amp;PedPrtAfspr!D19,"")</f>
        <v/>
      </c>
    </row>
    <row r="77" spans="1:3" x14ac:dyDescent="0.2">
      <c r="A77" t="s">
        <v>147</v>
      </c>
      <c r="B77" s="129" t="s">
        <v>438</v>
      </c>
      <c r="C77" t="str">
        <f>IF(PedPrtAfspr!D20&lt;&gt;0,PedPrtAfspr!C20&amp;": "&amp;PedPrtAfspr!D20,"")</f>
        <v/>
      </c>
    </row>
    <row r="78" spans="1:3" x14ac:dyDescent="0.2">
      <c r="A78" t="s">
        <v>355</v>
      </c>
      <c r="B78" s="129" t="s">
        <v>433</v>
      </c>
      <c r="C78" t="str">
        <f>PedPrtAfspr!C96&amp;": "&amp;PedPrtAfspr!D96</f>
        <v>Vocht: 0 ml/kg</v>
      </c>
    </row>
    <row r="79" spans="1:3" x14ac:dyDescent="0.2">
      <c r="A79" t="s">
        <v>355</v>
      </c>
      <c r="B79" s="129" t="s">
        <v>434</v>
      </c>
      <c r="C79" t="str">
        <f>PedPrtAfspr!C97&amp;": "&amp;PedPrtAfspr!D97</f>
        <v>Eiwit: 0  gram/kg</v>
      </c>
    </row>
    <row r="80" spans="1:3" x14ac:dyDescent="0.2">
      <c r="A80" t="s">
        <v>355</v>
      </c>
      <c r="B80" s="129" t="s">
        <v>435</v>
      </c>
      <c r="C80" t="str">
        <f>PedPrtAfspr!C98&amp;": "&amp;PedPrtAfspr!D98</f>
        <v>Glucose/KH: 0 g/kg</v>
      </c>
    </row>
    <row r="81" spans="1:3" x14ac:dyDescent="0.2">
      <c r="A81" t="s">
        <v>355</v>
      </c>
      <c r="B81" s="129" t="s">
        <v>436</v>
      </c>
      <c r="C81" t="str">
        <f>PedPrtAfspr!E96&amp;": "&amp;PedPrtAfspr!F96</f>
        <v>Calorieen: 0 kCal/kg</v>
      </c>
    </row>
    <row r="82" spans="1:3" x14ac:dyDescent="0.2">
      <c r="A82" t="s">
        <v>355</v>
      </c>
      <c r="B82" s="129" t="s">
        <v>437</v>
      </c>
      <c r="C82" t="str">
        <f>PedPrtAfspr!E97&amp;": "&amp;PedPrtAfspr!F97</f>
        <v>Vet: 0 gram/kg</v>
      </c>
    </row>
    <row r="83" spans="1:3" x14ac:dyDescent="0.2">
      <c r="A83" t="s">
        <v>355</v>
      </c>
      <c r="B83" s="129" t="s">
        <v>438</v>
      </c>
      <c r="C83" t="str">
        <f>PedPrtAfspr!G96&amp;": "&amp;PedPrtAfspr!H96</f>
        <v>Kalium: 0 mmol/kg</v>
      </c>
    </row>
    <row r="84" spans="1:3" x14ac:dyDescent="0.2">
      <c r="A84" t="s">
        <v>355</v>
      </c>
      <c r="B84" s="129" t="s">
        <v>439</v>
      </c>
      <c r="C84" t="str">
        <f>PedPrtAfspr!G97&amp;": "&amp;PedPrtAfspr!H97</f>
        <v>Calcium: 0 mmol/kg</v>
      </c>
    </row>
    <row r="85" spans="1:3" x14ac:dyDescent="0.2">
      <c r="A85" t="s">
        <v>355</v>
      </c>
      <c r="B85" s="129" t="s">
        <v>440</v>
      </c>
      <c r="C85" t="str">
        <f>PedPrtAfspr!G98&amp;": "&amp;PedPrtAfspr!H98</f>
        <v>Magnesium: 0 mmol/kg</v>
      </c>
    </row>
    <row r="86" spans="1:3" x14ac:dyDescent="0.2">
      <c r="A86" t="s">
        <v>355</v>
      </c>
      <c r="B86" s="129" t="s">
        <v>441</v>
      </c>
      <c r="C86" t="str">
        <f>PedPrtAfspr!I96&amp;": "&amp;PedPrtAfspr!J96</f>
        <v>Natrium : 0 mmol/kg</v>
      </c>
    </row>
    <row r="87" spans="1:3" x14ac:dyDescent="0.2">
      <c r="A87" t="s">
        <v>355</v>
      </c>
      <c r="B87" s="129">
        <v>10</v>
      </c>
      <c r="C87" t="str">
        <f>PedPrtAfspr!I97&amp;": "&amp;PedPrtAfspr!J97</f>
        <v>Fosfaat: 0 mmol/kg</v>
      </c>
    </row>
    <row r="88" spans="1:3" x14ac:dyDescent="0.2">
      <c r="A88" s="316" t="s">
        <v>658</v>
      </c>
      <c r="B88" s="315">
        <v>6</v>
      </c>
      <c r="C88" s="317" t="str">
        <f ca="1">NeoGuiInfB!H15</f>
        <v/>
      </c>
    </row>
    <row r="89" spans="1:3" x14ac:dyDescent="0.2">
      <c r="A89" s="316" t="s">
        <v>1097</v>
      </c>
      <c r="B89" s="318" t="s">
        <v>433</v>
      </c>
      <c r="C89" t="str">
        <f>IF(NeoBerInfB!B20&gt;1,INDEX(tbl_Neo_MedIV,NeoBerInfB!B20, 1)&amp;" "&amp;NeoGuiInfB!C32&amp;" "&amp;NeoGuiInfB!D32&amp;" "&amp; INDEX(tbl_Neo_Opl,NeoBerInfB!E20,1)&amp;" " &amp; NeoGuiInfB!G32&amp;" (="&amp;NeoGuiInfB!H32&amp;" "&amp;NeoGuiInfB!I32&amp;"), inlooptijd: "&amp;NeoGuiInfB!N32,"")</f>
        <v/>
      </c>
    </row>
    <row r="90" spans="1:3" x14ac:dyDescent="0.2">
      <c r="A90" s="316" t="s">
        <v>1097</v>
      </c>
      <c r="B90" s="318" t="s">
        <v>434</v>
      </c>
      <c r="C90" s="315" t="str">
        <f>IF(NeoBerInfB!B21&gt;1,INDEX(tbl_Neo_MedIV,NeoBerInfB!B21, 1)&amp;" "&amp;NeoGuiInfB!C33&amp;" "&amp;NeoGuiInfB!D33&amp;" "&amp; INDEX(tbl_Neo_Opl,NeoBerInfB!E21,1)&amp;" " &amp; NeoGuiInfB!G33&amp;" (="&amp;NeoGuiInfB!H33&amp;" "&amp;NeoGuiInfB!I33&amp;"), inlooptijd: "&amp;NeoGuiInfB!N33,"")</f>
        <v/>
      </c>
    </row>
    <row r="91" spans="1:3" x14ac:dyDescent="0.2">
      <c r="A91" s="316" t="s">
        <v>1097</v>
      </c>
      <c r="B91" s="318" t="s">
        <v>435</v>
      </c>
      <c r="C91" s="315" t="str">
        <f>IF(NeoBerInfB!B22&gt;1,INDEX(tbl_Neo_MedIV,NeoBerInfB!B22, 1)&amp;" "&amp;NeoGuiInfB!C34&amp;" "&amp;NeoGuiInfB!D34&amp;" "&amp; INDEX(tbl_Neo_Opl,NeoBerInfB!E22,1)&amp;" " &amp; NeoGuiInfB!G34&amp;" (="&amp;NeoGuiInfB!H34&amp;" "&amp;NeoGuiInfB!I34&amp;"), inlooptijd: "&amp;NeoGuiInfB!N34,"")</f>
        <v/>
      </c>
    </row>
    <row r="92" spans="1:3" x14ac:dyDescent="0.2">
      <c r="A92" s="316" t="s">
        <v>1097</v>
      </c>
      <c r="B92" s="318" t="s">
        <v>436</v>
      </c>
      <c r="C92" s="315" t="str">
        <f>IF(NeoBerInfB!B23&gt;1,INDEX(tbl_Neo_MedIV,NeoBerInfB!B23, 1)&amp;" "&amp;NeoGuiInfB!C35&amp;" "&amp;NeoGuiInfB!D35&amp;" "&amp; INDEX(tbl_Neo_Opl,NeoBerInfB!E23,1)&amp;" " &amp; NeoGuiInfB!G35&amp;" (="&amp;NeoGuiInfB!H35&amp;" "&amp;NeoGuiInfB!I35&amp;"), inlooptijd: "&amp;NeoGuiInfB!N35,"")</f>
        <v/>
      </c>
    </row>
    <row r="93" spans="1:3" x14ac:dyDescent="0.2">
      <c r="A93" s="316" t="s">
        <v>1097</v>
      </c>
      <c r="B93" s="318" t="s">
        <v>437</v>
      </c>
      <c r="C93" s="315" t="str">
        <f>IF(NeoBerInfB!B24&gt;1,INDEX(tbl_Neo_MedIV,NeoBerInfB!B24, 1)&amp;" "&amp;NeoGuiInfB!C36&amp;" "&amp;NeoGuiInfB!D36&amp;" "&amp; INDEX(tbl_Neo_Opl,NeoBerInfB!E24,1)&amp;" " &amp; NeoGuiInfB!G36&amp;" (="&amp;NeoGuiInfB!H36&amp;" "&amp;NeoGuiInfB!I36&amp;"), inlooptijd: "&amp;NeoGuiInfB!N36,"")</f>
        <v/>
      </c>
    </row>
    <row r="94" spans="1:3" x14ac:dyDescent="0.2">
      <c r="A94" s="316" t="s">
        <v>1097</v>
      </c>
      <c r="B94" s="318" t="s">
        <v>438</v>
      </c>
      <c r="C94" s="315" t="str">
        <f>IF(NeoBerInfB!B25&gt;1,INDEX(tbl_Neo_MedIV,NeoBerInfB!B25, 1)&amp;" "&amp;NeoGuiInfB!C37&amp;" "&amp;NeoGuiInfB!D37&amp;" "&amp; INDEX(tbl_Neo_Opl,NeoBerInfB!E25,1)&amp;" " &amp; NeoGuiInfB!G37&amp;" (="&amp;NeoGuiInfB!H37&amp;" "&amp;NeoGuiInfB!I37&amp;"), inlooptijd: "&amp;NeoGuiInfB!N37,"")</f>
        <v/>
      </c>
    </row>
    <row r="95" spans="1:3" x14ac:dyDescent="0.2">
      <c r="A95" s="316" t="s">
        <v>1097</v>
      </c>
      <c r="B95" s="318" t="s">
        <v>439</v>
      </c>
      <c r="C95" s="315" t="str">
        <f>IF(NeoBerInfB!B26&gt;1,INDEX(tbl_Neo_MedIV,NeoBerInfB!B26, 1)&amp;" "&amp;NeoGuiInfB!C38&amp;" "&amp;NeoGuiInfB!D38&amp;" "&amp; INDEX(tbl_Neo_Opl,NeoBerInfB!E26,1)&amp;" " &amp; NeoGuiInfB!G38&amp;" (="&amp;NeoGuiInfB!H38&amp;" "&amp;NeoGuiInfB!I38&amp;"), inlooptijd: "&amp;NeoGuiInfB!N38,"")</f>
        <v/>
      </c>
    </row>
    <row r="96" spans="1:3" x14ac:dyDescent="0.2">
      <c r="A96" s="316" t="s">
        <v>1097</v>
      </c>
      <c r="B96" s="318" t="s">
        <v>440</v>
      </c>
      <c r="C96" s="315" t="str">
        <f>IF(NeoBerInfB!B27&gt;1,INDEX(tbl_Neo_MedIV,NeoBerInfB!B27, 1)&amp;" "&amp;NeoGuiInfB!C39&amp;" "&amp;NeoGuiInfB!D39&amp;" "&amp; INDEX(tbl_Neo_Opl,NeoBerInfB!E27,1)&amp;" " &amp; NeoGuiInfB!G39&amp;" (="&amp;NeoGuiInfB!H39&amp;" "&amp;NeoGuiInfB!I39&amp;"), inlooptijd: "&amp;NeoGuiInfB!N39,"")</f>
        <v/>
      </c>
    </row>
    <row r="97" spans="1:7" x14ac:dyDescent="0.2">
      <c r="A97" s="316" t="s">
        <v>1097</v>
      </c>
      <c r="B97" s="318" t="s">
        <v>441</v>
      </c>
      <c r="C97" s="315" t="str">
        <f>IF(NeoBerInfB!B28&gt;1,INDEX(tbl_Neo_MedIV,NeoBerInfB!B28, 1)&amp;" "&amp;NeoGuiInfB!C40&amp;" "&amp;NeoGuiInfB!D40&amp;" "&amp; INDEX(tbl_Neo_Opl,NeoBerInfB!E28,1)&amp;" " &amp; NeoGuiInfB!G40&amp;" (="&amp;NeoGuiInfB!H40&amp;" "&amp;NeoGuiInfB!I40&amp;"), inlooptijd: "&amp;NeoGuiInfB!N40,"")</f>
        <v/>
      </c>
    </row>
    <row r="98" spans="1:7" x14ac:dyDescent="0.2">
      <c r="A98" s="316" t="s">
        <v>1097</v>
      </c>
      <c r="B98" s="318" t="s">
        <v>661</v>
      </c>
      <c r="C98" s="315" t="str">
        <f>IF(NeoBerInfB!B32="","",NeoBerInfB!B32)</f>
        <v/>
      </c>
    </row>
    <row r="99" spans="1:7" x14ac:dyDescent="0.2">
      <c r="A99" s="316" t="s">
        <v>1097</v>
      </c>
      <c r="B99" s="318" t="s">
        <v>662</v>
      </c>
      <c r="C99" s="315" t="str">
        <f>IF(NeoBerInfB!B33="","",NeoBerInfB!B33)</f>
        <v/>
      </c>
    </row>
    <row r="100" spans="1:7" x14ac:dyDescent="0.2">
      <c r="A100" s="316" t="s">
        <v>1097</v>
      </c>
      <c r="B100" s="318" t="s">
        <v>663</v>
      </c>
      <c r="C100" s="315" t="str">
        <f>IF(NeoBerInfB!E29&lt;&gt;0, NeoGuiInfB!B42&amp;": "&amp; INDEX(tbl_Neo_Opl,NeoBerInfB!$E29,1)&amp;" " &amp; NeoGuiInfB!G42,"")</f>
        <v/>
      </c>
    </row>
    <row r="101" spans="1:7" x14ac:dyDescent="0.2">
      <c r="A101" s="316" t="s">
        <v>1097</v>
      </c>
      <c r="B101" s="318" t="s">
        <v>759</v>
      </c>
      <c r="C101" s="315" t="str">
        <f>IF(NeoBerInfB!E30&lt;&gt;0, NeoGuiInfB!B43&amp;": "&amp; INDEX(tbl_Neo_Opl,NeoBerInfB!$E30,1)&amp;" " &amp; NeoGuiInfB!G43,"")</f>
        <v/>
      </c>
    </row>
    <row r="102" spans="1:7" x14ac:dyDescent="0.2">
      <c r="A102" s="316" t="s">
        <v>1097</v>
      </c>
      <c r="B102" s="318" t="s">
        <v>760</v>
      </c>
      <c r="C102" s="315" t="str">
        <f>IF(NeoBerInfB!E31&lt;&gt;0, NeoGuiInfB!B44&amp;": "&amp; INDEX(tbl_Neo_Opl,NeoBerInfB!$E31,1)&amp;" " &amp; NeoGuiInfB!G44,"")</f>
        <v/>
      </c>
    </row>
    <row r="103" spans="1:7" x14ac:dyDescent="0.2">
      <c r="A103" s="316" t="s">
        <v>1097</v>
      </c>
      <c r="B103" s="318" t="s">
        <v>1062</v>
      </c>
      <c r="C103" s="315" t="str">
        <f>IF(Txt_Neo_Wb_IVAcc_Stand&lt;&gt;"",CONCATENATE(Txt_Neo_Wb_IVAcc_Tekst," ",Txt_Neo_Wb_IVAcc_Stand, " ml/uur"),"")</f>
        <v/>
      </c>
    </row>
    <row r="104" spans="1:7" x14ac:dyDescent="0.2">
      <c r="A104" s="316" t="s">
        <v>1097</v>
      </c>
      <c r="B104" s="318" t="s">
        <v>1085</v>
      </c>
      <c r="C104" s="315" t="str">
        <f ca="1">IF(NeoBerInfB!C35&lt;&gt;0,CONCATENATE(INDEX(tbl_Neo_IntralipidSmof,Var_Neo_InfB_TPN_IntralipidSmof)," ",ROUNDUP(NeoBerInfB!C35/24,1)," ml/uur"),"")</f>
        <v/>
      </c>
    </row>
    <row r="105" spans="1:7" x14ac:dyDescent="0.2">
      <c r="A105" s="316" t="s">
        <v>1097</v>
      </c>
      <c r="B105" s="318" t="s">
        <v>1086</v>
      </c>
      <c r="C105" s="315" t="str">
        <f ca="1">IF(Txt_Neo_Wb_TPN_Stand&lt;&gt;"",CONCATENATE("TPN: ",Txt_Neo_Wb_TPN_Stand, " ml/uur"),"")</f>
        <v/>
      </c>
      <c r="D105" s="315"/>
    </row>
    <row r="106" spans="1:7" x14ac:dyDescent="0.2">
      <c r="A106" s="316" t="s">
        <v>1097</v>
      </c>
      <c r="B106" s="318" t="s">
        <v>1087</v>
      </c>
      <c r="C106" s="315" t="str">
        <f ca="1">IF(Txt_Neo_Wb_TPN_Stand&lt;&gt;"",CONCATENATE("TPN Totaal: ",Txt_Neo_Wb_TPN_TotaalGeheel,",", Txt_Neo_Wb_TPN_TotaalBreuk, " ml"),"")</f>
        <v/>
      </c>
      <c r="D106" s="315"/>
    </row>
    <row r="107" spans="1:7" s="315" customFormat="1" x14ac:dyDescent="0.2">
      <c r="A107" s="316" t="s">
        <v>1097</v>
      </c>
      <c r="B107" s="318" t="s">
        <v>1088</v>
      </c>
      <c r="C107" s="315" t="str">
        <f ca="1">IF(OR(Txt_Neo_Wb_TPN_NaClGeheel&lt;&gt;"",Txt_Neo_Wb_TPN_NaClBreuk&lt;&gt;""),CONCATENATE(Txt_Neo_Wb_TPN_NaCLTekst," ",Txt_Neo_Wb_TPN_NaClGeheel,",", Txt_Neo_Wb_TPN_NaClBreuk, " ml"),"")</f>
        <v/>
      </c>
      <c r="E107"/>
    </row>
    <row r="108" spans="1:7" s="315" customFormat="1" x14ac:dyDescent="0.2">
      <c r="A108" s="316" t="s">
        <v>1097</v>
      </c>
      <c r="B108" s="318" t="s">
        <v>1089</v>
      </c>
      <c r="C108" s="315" t="str">
        <f ca="1">IF(OR(Txt_Neo_Wb_TPN_KacetaatGeheel&lt;&gt;"",Txt_Neo_Wb_TPN_KacetaatBreuk&lt;&gt;""),CONCATENATE(Txt_Neo_Wb_TPN_KacetaatTekst," ",Txt_Neo_Wb_TPN_KacetaatGeheel,",", Txt_Neo_Wb_TPN_KacetaatBreuk, " ml"),"")</f>
        <v/>
      </c>
      <c r="E108"/>
    </row>
    <row r="109" spans="1:7" s="315" customFormat="1" x14ac:dyDescent="0.2">
      <c r="A109" s="316" t="s">
        <v>1097</v>
      </c>
      <c r="B109" s="318" t="s">
        <v>1090</v>
      </c>
      <c r="C109" s="315" t="str">
        <f ca="1">IF(OR(Txt_Neo_Wb_TPN_CaClGeheel&lt;&gt;"",Txt_Neo_Wb_TPN_CaClBreuk&lt;&gt;""),CONCATENATE(Txt_Neo_Wb_TPN_CaClTekst," ",Txt_Neo_Wb_TPN_CaClGeheel,",", Txt_Neo_Wb_TPN_CaClBreuk, " ml"),"")</f>
        <v/>
      </c>
      <c r="E109"/>
      <c r="F109"/>
      <c r="G109"/>
    </row>
    <row r="110" spans="1:7" s="315" customFormat="1" x14ac:dyDescent="0.2">
      <c r="A110" s="316" t="s">
        <v>1097</v>
      </c>
      <c r="B110" s="318" t="s">
        <v>1091</v>
      </c>
      <c r="C110" s="315" t="str">
        <f ca="1">IF(OR(Txt_Neo_Wb_TPN_MgClGeheel&lt;&gt;"",Txt_Neo_Wb_TPN_MgClBreuk&lt;&gt;""),CONCATENATE(Txt_Neo_Wb_TPN_MgClTekst," ",Txt_Neo_Wb_TPN_MgClGeheel,",", Txt_Neo_Wb_TPN_MgClBreuk, " ml"),"")</f>
        <v/>
      </c>
      <c r="E110"/>
    </row>
    <row r="111" spans="1:7" s="315" customFormat="1" x14ac:dyDescent="0.2">
      <c r="A111" s="316" t="s">
        <v>1097</v>
      </c>
      <c r="B111" s="318" t="s">
        <v>1092</v>
      </c>
      <c r="C111" s="315" t="str">
        <f ca="1">IF(OR(Txt_Neo_Wb_TPN_SoluvitGeheel&lt;&gt;"",Txt_Neo_Wb_TPN_SoluvitBreuk&lt;&gt;""),CONCATENATE(Txt_Neo_Wb_TPN_SoluvitTekst," ",Txt_Neo_Wb_TPN_SoluvitGeheel,",", Txt_Neo_Wb_TPN_SoluvitBreuk, " ml"),"")</f>
        <v/>
      </c>
      <c r="E111"/>
    </row>
    <row r="112" spans="1:7" s="315" customFormat="1" x14ac:dyDescent="0.2">
      <c r="A112" s="316" t="s">
        <v>1097</v>
      </c>
      <c r="B112" s="318" t="s">
        <v>1093</v>
      </c>
      <c r="C112" s="315" t="str">
        <f ca="1">IF(OR(Txt_Neo_Wb_TPN_PrimeneGeheel&lt;&gt;"",Txt_Neo_Wb_TPN_PrimeneBreuk&lt;&gt;""),CONCATENATE(Txt_Neo_Wb_TPN_PrimeneTekst," ",Txt_Neo_Wb_TPN_PrimeneGeheel,",", Txt_Neo_Wb_TPN_PrimeneBreuk, " ml"),"")</f>
        <v/>
      </c>
      <c r="E112"/>
    </row>
    <row r="113" spans="1:7" x14ac:dyDescent="0.2">
      <c r="A113" s="316" t="s">
        <v>1097</v>
      </c>
      <c r="B113" s="318" t="s">
        <v>1094</v>
      </c>
      <c r="C113" s="315" t="str">
        <f>IF(OR(Txt_Neo_Wb_TPN_NICUmixGeheel&lt;&gt;"",Txt_Neo_Wb_TPN_NICUmixBreuk&lt;&gt;""),CONCATENATE(Txt_Neo_Wb_TPN_NICUmixTekst," ",Txt_Neo_Wb_TPN_NICUmixGeheel,",", Txt_Neo_Wb_TPN_NICUmixBreuk, " ml"),"")</f>
        <v/>
      </c>
      <c r="D113" s="315"/>
      <c r="F113" s="315"/>
      <c r="G113" s="315"/>
    </row>
    <row r="114" spans="1:7" x14ac:dyDescent="0.2">
      <c r="A114" s="316" t="s">
        <v>1097</v>
      </c>
      <c r="B114" s="318" t="s">
        <v>1095</v>
      </c>
      <c r="C114" s="315" t="str">
        <f>IF(OR(Txt_Neo_Wb_TPN_SamBGeheel&lt;&gt;"",Txt_Neo_Wb_TPN_SamBBreuk&lt;&gt;""),CONCATENATE(Txt_Neo_Wb_TPN_SamBTekst," ",Txt_Neo_Wb_TPN_SamBGeheel,",", Txt_Neo_Wb_TPN_SamBBreuk, " ml"),"")</f>
        <v/>
      </c>
      <c r="D114" s="315"/>
      <c r="F114" s="315"/>
      <c r="G114" s="315"/>
    </row>
    <row r="115" spans="1:7" x14ac:dyDescent="0.2">
      <c r="A115" s="316" t="s">
        <v>1097</v>
      </c>
      <c r="B115" s="318" t="s">
        <v>1096</v>
      </c>
      <c r="C115" s="315" t="str">
        <f>IF(OR(Txt_Neo_Wb_TPN_GlucGeheel&lt;&gt;"",Txt_Neo_Wb_TPN_GlucBreuk&lt;&gt;""),CONCATENATE(Txt_Neo_Wb_TPN_GlucTekst," ",Txt_Neo_Wb_TPN_GlucGeheel,",", ROUND(Txt_Neo_Wb_TPN_GlucBreuk,2), " ml"),"")</f>
        <v/>
      </c>
      <c r="D115" s="315"/>
      <c r="F115" s="315"/>
      <c r="G115" s="315"/>
    </row>
    <row r="116" spans="1:7" s="315" customFormat="1" x14ac:dyDescent="0.2">
      <c r="A116" s="316" t="s">
        <v>1098</v>
      </c>
      <c r="B116" s="318" t="s">
        <v>433</v>
      </c>
      <c r="C116" s="315" t="str">
        <f>IF(Txt_Neo_InfB_Voeding_02&lt;&gt;"",Txt_Neo_InfB_Voeding_02,"")</f>
        <v>Voeding: Nutrilon Nenatal Start</v>
      </c>
      <c r="D116"/>
      <c r="E116"/>
    </row>
    <row r="117" spans="1:7" s="315" customFormat="1" x14ac:dyDescent="0.2">
      <c r="A117" s="316" t="s">
        <v>1098</v>
      </c>
      <c r="B117" s="318" t="s">
        <v>434</v>
      </c>
      <c r="C117" s="315" t="str">
        <f>IF(Txt_Neo_InfB_Voeding_03&lt;&gt;"",Txt_Neo_InfB_Voeding_03,"")</f>
        <v>Hoeveelheid 1:  4 maal 1 ml</v>
      </c>
      <c r="D117"/>
      <c r="E117"/>
    </row>
    <row r="118" spans="1:7" x14ac:dyDescent="0.2">
      <c r="A118" s="316" t="s">
        <v>1098</v>
      </c>
      <c r="B118" s="318" t="s">
        <v>435</v>
      </c>
      <c r="C118" s="315" t="str">
        <f>IF(Txt_Neo_InfB_Voeding_04&lt;&gt;"",Txt_Neo_InfB_Voeding_04,"")</f>
        <v>Hoeveelheid 2:  2 maal 2 ml</v>
      </c>
    </row>
    <row r="119" spans="1:7" x14ac:dyDescent="0.2">
      <c r="A119" s="316" t="s">
        <v>1098</v>
      </c>
      <c r="B119" s="318" t="s">
        <v>436</v>
      </c>
      <c r="C119" s="315" t="str">
        <f>IF(Txt_Neo_InfB_Voeding_05&lt;&gt;"",Txt_Neo_InfB_Voeding_05,"")</f>
        <v/>
      </c>
    </row>
    <row r="120" spans="1:7" s="315" customFormat="1" x14ac:dyDescent="0.2">
      <c r="A120" s="316" t="s">
        <v>1098</v>
      </c>
      <c r="B120" s="318" t="s">
        <v>437</v>
      </c>
      <c r="C120" s="315" t="str">
        <f>IF(Txt_Neo_InfB_Voeding_06&lt;&gt;"",Txt_Neo_InfB_Voeding_06,"")</f>
        <v/>
      </c>
    </row>
    <row r="121" spans="1:7" x14ac:dyDescent="0.2">
      <c r="A121" s="316" t="s">
        <v>1098</v>
      </c>
      <c r="B121" s="318" t="s">
        <v>438</v>
      </c>
      <c r="C121" s="315" t="str">
        <f>IF(Txt_Neo_InfB_Voeding_07&lt;&gt;"",Txt_Neo_InfB_Voeding_07,"")</f>
        <v/>
      </c>
      <c r="D121" s="315"/>
      <c r="E121" s="315"/>
    </row>
    <row r="122" spans="1:7" x14ac:dyDescent="0.2">
      <c r="A122" s="316" t="s">
        <v>1098</v>
      </c>
      <c r="B122" s="318" t="s">
        <v>439</v>
      </c>
      <c r="C122" s="315" t="str">
        <f>IF(Txt_Neo_InfB_Voeding_08&lt;&gt;"",Txt_Neo_InfB_Voeding_08,"")</f>
        <v/>
      </c>
      <c r="D122" s="315"/>
      <c r="E122" s="315"/>
    </row>
    <row r="123" spans="1:7" x14ac:dyDescent="0.2">
      <c r="A123" s="316" t="s">
        <v>1098</v>
      </c>
      <c r="B123" s="318" t="s">
        <v>440</v>
      </c>
      <c r="C123" s="315" t="str">
        <f>IF(Txt_Neo_InfB_Voeding_09&lt;&gt;"",Txt_Neo_InfB_Voeding_09,"")</f>
        <v/>
      </c>
      <c r="D123" s="315"/>
      <c r="E123" s="315"/>
    </row>
    <row r="124" spans="1:7" s="315" customFormat="1" x14ac:dyDescent="0.2">
      <c r="A124" s="316" t="s">
        <v>1098</v>
      </c>
      <c r="B124" s="318" t="s">
        <v>441</v>
      </c>
      <c r="C124" s="315" t="str">
        <f>IF(Txt_Neo_InfB_Voeding_10&lt;&gt;"",Txt_Neo_InfB_Voeding_10,"")</f>
        <v/>
      </c>
      <c r="F124"/>
      <c r="G124"/>
    </row>
    <row r="125" spans="1:7" x14ac:dyDescent="0.2">
      <c r="A125" s="316" t="s">
        <v>1098</v>
      </c>
      <c r="B125" s="318" t="s">
        <v>661</v>
      </c>
      <c r="C125" s="315" t="str">
        <f>IF(Txt_Neo_InfB_Voeding_11&lt;&gt;"",Txt_Neo_InfB_Voeding_11,"")</f>
        <v/>
      </c>
      <c r="D125" s="315"/>
      <c r="E125" s="315"/>
    </row>
    <row r="126" spans="1:7" x14ac:dyDescent="0.2">
      <c r="A126" s="316" t="s">
        <v>1098</v>
      </c>
      <c r="B126" s="318" t="s">
        <v>662</v>
      </c>
      <c r="C126" s="315" t="str">
        <f>IF(Txt_Neo_InfB_Voeding_12&lt;&gt;"",Txt_Neo_InfB_Voeding_12,"")</f>
        <v/>
      </c>
      <c r="D126" s="315"/>
      <c r="E126" s="315"/>
    </row>
    <row r="127" spans="1:7" x14ac:dyDescent="0.2">
      <c r="A127" s="316" t="s">
        <v>1098</v>
      </c>
      <c r="B127" s="318" t="s">
        <v>663</v>
      </c>
      <c r="C127" s="315" t="str">
        <f>IF(Txt_Neo_InfB_Voeding_13&lt;&gt;"",Txt_Neo_InfB_Voeding_13,"")</f>
        <v/>
      </c>
      <c r="D127" s="315"/>
      <c r="E127" s="315"/>
      <c r="F127" s="315"/>
      <c r="G127" s="315"/>
    </row>
    <row r="128" spans="1:7" x14ac:dyDescent="0.2">
      <c r="A128" s="316" t="s">
        <v>730</v>
      </c>
      <c r="B128" s="318" t="s">
        <v>433</v>
      </c>
      <c r="C128" t="str">
        <f>IF(NeoGuiAfspr!C45="","",CONCATENATE(NeoGuiAfspr!B45,": ",NeoGuiAfspr!C45))</f>
        <v/>
      </c>
      <c r="E128" s="316"/>
    </row>
    <row r="129" spans="1:5" x14ac:dyDescent="0.2">
      <c r="A129" s="316" t="s">
        <v>730</v>
      </c>
      <c r="B129" s="318" t="s">
        <v>434</v>
      </c>
      <c r="C129" s="315" t="str">
        <f>IF(NeoGuiAfspr!C46="","",CONCATENATE(NeoGuiAfspr!B46,": ",NeoGuiAfspr!C46))</f>
        <v/>
      </c>
      <c r="E129" s="316"/>
    </row>
    <row r="130" spans="1:5" s="315" customFormat="1" x14ac:dyDescent="0.2">
      <c r="A130" s="316" t="s">
        <v>730</v>
      </c>
      <c r="B130" s="318" t="s">
        <v>435</v>
      </c>
      <c r="C130" s="315" t="str">
        <f>IF(NeoGuiAfspr!C47="","",CONCATENATE(NeoGuiAfspr!B47,": ",NeoGuiAfspr!C47))</f>
        <v/>
      </c>
      <c r="E130" s="316"/>
    </row>
    <row r="131" spans="1:5" s="315" customFormat="1" x14ac:dyDescent="0.2">
      <c r="A131" s="316" t="s">
        <v>730</v>
      </c>
      <c r="B131" s="318" t="s">
        <v>436</v>
      </c>
      <c r="C131" s="315" t="str">
        <f>IF(NeoGuiAfspr!C48="","",CONCATENATE(NeoGuiAfspr!B48,": ",NeoGuiAfspr!C48))</f>
        <v/>
      </c>
      <c r="D131"/>
      <c r="E131" s="316"/>
    </row>
    <row r="132" spans="1:5" x14ac:dyDescent="0.2">
      <c r="A132" s="316" t="s">
        <v>730</v>
      </c>
      <c r="B132" s="318" t="s">
        <v>437</v>
      </c>
      <c r="C132" s="315" t="str">
        <f>IF(NeoGuiAfspr!C49="","",CONCATENATE(NeoGuiAfspr!B49,": ",NeoGuiAfspr!C49))</f>
        <v/>
      </c>
      <c r="E132" s="316"/>
    </row>
    <row r="133" spans="1:5" x14ac:dyDescent="0.2">
      <c r="A133" s="315" t="s">
        <v>659</v>
      </c>
      <c r="B133" s="318" t="s">
        <v>433</v>
      </c>
      <c r="C133" s="315" t="str">
        <f>IF(NeoGuiInfB!D65&lt;&gt;"",NeoGuiInfB!C65&amp;": "&amp;NeoGuiInfB!D65,"")</f>
        <v/>
      </c>
    </row>
    <row r="134" spans="1:5" x14ac:dyDescent="0.2">
      <c r="A134" s="315" t="s">
        <v>659</v>
      </c>
      <c r="B134" s="318" t="s">
        <v>434</v>
      </c>
      <c r="C134" s="315" t="str">
        <f>IF(NeoGuiInfB!D66&lt;&gt;"",NeoGuiInfB!C66&amp;": "&amp;NeoGuiInfB!D66,"")</f>
        <v/>
      </c>
    </row>
    <row r="135" spans="1:5" x14ac:dyDescent="0.2">
      <c r="A135" s="315" t="s">
        <v>659</v>
      </c>
      <c r="B135" s="318" t="s">
        <v>435</v>
      </c>
      <c r="C135" s="315" t="str">
        <f>IF(NeoGuiInfB!D67&lt;&gt;"",NeoGuiInfB!C67&amp;": "&amp;NeoGuiInfB!D67,"")</f>
        <v/>
      </c>
    </row>
    <row r="136" spans="1:5" x14ac:dyDescent="0.2">
      <c r="A136" s="315" t="s">
        <v>659</v>
      </c>
      <c r="B136" s="318" t="s">
        <v>436</v>
      </c>
      <c r="C136" s="315" t="str">
        <f>IF(NeoGuiInfB!D68&lt;&gt;"",NeoGuiInfB!C68&amp;": "&amp;NeoGuiInfB!D68,"")</f>
        <v/>
      </c>
    </row>
    <row r="137" spans="1:5" x14ac:dyDescent="0.2">
      <c r="A137" s="315" t="s">
        <v>659</v>
      </c>
      <c r="B137" s="318" t="s">
        <v>437</v>
      </c>
      <c r="C137" s="315" t="str">
        <f>IF(NeoGuiInfB!D69&lt;&gt;"",NeoGuiInfB!C69&amp;": "&amp;NeoGuiInfB!D69,"")</f>
        <v/>
      </c>
      <c r="D137" s="315"/>
      <c r="E137" s="315"/>
    </row>
    <row r="138" spans="1:5" x14ac:dyDescent="0.2">
      <c r="A138" s="315" t="s">
        <v>659</v>
      </c>
      <c r="B138" s="318" t="s">
        <v>438</v>
      </c>
      <c r="C138" s="315" t="str">
        <f>IF(NeoGuiInfB!D70&lt;&gt;"",NeoGuiInfB!C70&amp;": "&amp;NeoGuiInfB!D70,"")</f>
        <v/>
      </c>
    </row>
    <row r="139" spans="1:5" x14ac:dyDescent="0.2">
      <c r="A139" s="315" t="s">
        <v>659</v>
      </c>
      <c r="B139" s="318" t="s">
        <v>439</v>
      </c>
      <c r="C139" s="315" t="str">
        <f>IF(NeoGuiInfB!D71&lt;&gt;"",NeoGuiInfB!C71&amp;" "&amp;NeoGuiInfB!D71,"")</f>
        <v/>
      </c>
    </row>
    <row r="140" spans="1:5" x14ac:dyDescent="0.2">
      <c r="A140" s="315" t="s">
        <v>659</v>
      </c>
      <c r="B140" s="318" t="s">
        <v>440</v>
      </c>
      <c r="C140" s="315" t="str">
        <f>IF(NeoGuiInfB!D72&lt;&gt;"",NeoGuiInfB!C72&amp;" "&amp;NeoGuiInfB!D72,"")</f>
        <v/>
      </c>
      <c r="D140" s="315"/>
      <c r="E140" s="315"/>
    </row>
    <row r="141" spans="1:5" x14ac:dyDescent="0.2">
      <c r="A141" s="315" t="s">
        <v>659</v>
      </c>
      <c r="B141" s="318" t="s">
        <v>441</v>
      </c>
      <c r="C141" s="315" t="str">
        <f>IF(NeoGuiInfB!D73&lt;&gt;"",NeoGuiInfB!C73&amp;" "&amp;NeoGuiInfB!D73,"")</f>
        <v/>
      </c>
      <c r="D141" s="315"/>
      <c r="E141" s="315"/>
    </row>
    <row r="142" spans="1:5" x14ac:dyDescent="0.2">
      <c r="A142" s="315" t="s">
        <v>660</v>
      </c>
      <c r="B142" s="318" t="s">
        <v>433</v>
      </c>
      <c r="C142" s="316" t="e">
        <f ca="1">CONCATENATE(NeoGuiInfB!B3,"        : ",NeoGuiInfB!$C$2," - ",NeoGuiInfB!C3,"; ",NeoGuiInfB!$D$2," - ",NeoGuiInfB!D3,"; ",NeoGuiInfB!$E$2," - ",NeoGuiInfB!E3,";")</f>
        <v>#DIV/0!</v>
      </c>
    </row>
    <row r="143" spans="1:5" x14ac:dyDescent="0.2">
      <c r="A143" s="315" t="s">
        <v>660</v>
      </c>
      <c r="B143" s="318" t="s">
        <v>434</v>
      </c>
      <c r="C143" s="316" t="e">
        <f ca="1">CONCATENATE(NeoGuiInfB!B4,"            : ",NeoGuiInfB!C2," - ",NeoGuiInfB!C4,"; ",NeoGuiInfB!$D$2," - ",NeoGuiInfB!D4,"; ",NeoGuiInfB!$E$2," - ",NeoGuiInfB!E4,";")</f>
        <v>#DIV/0!</v>
      </c>
    </row>
    <row r="144" spans="1:5" x14ac:dyDescent="0.2">
      <c r="A144" s="315" t="s">
        <v>660</v>
      </c>
      <c r="B144" s="318" t="s">
        <v>435</v>
      </c>
      <c r="C144" s="316" t="e">
        <f ca="1">CONCATENATE(NeoGuiInfB!B5,"              : ",NeoGuiInfB!$C$2," - ",NeoGuiInfB!C5,"; ",NeoGuiInfB!$D$2," - ",NeoGuiInfB!D5,"; ",NeoGuiInfB!$E$2," - ",NeoGuiInfB!E5,";")</f>
        <v>#DIV/0!</v>
      </c>
    </row>
    <row r="145" spans="1:3" x14ac:dyDescent="0.2">
      <c r="A145" s="315" t="s">
        <v>660</v>
      </c>
      <c r="B145" s="318" t="s">
        <v>436</v>
      </c>
      <c r="C145" s="316" t="e">
        <f>CONCATENATE(NeoGuiInfB!B6,"       : ",NeoGuiInfB!$C$2," - ",NeoGuiInfB!C6,"; ",NeoGuiInfB!$D$2," - ",NeoGuiInfB!D6,"; ",NeoGuiInfB!$E$2," - ",NeoGuiInfB!E6,";")</f>
        <v>#DIV/0!</v>
      </c>
    </row>
    <row r="146" spans="1:3" x14ac:dyDescent="0.2">
      <c r="A146" s="315" t="s">
        <v>660</v>
      </c>
      <c r="B146" s="318" t="s">
        <v>437</v>
      </c>
      <c r="C146" s="316" t="e">
        <f ca="1">CONCATENATE(NeoGuiInfB!B7,"        : ",NeoGuiInfB!$C$2," - ",NeoGuiInfB!C7,"; ",NeoGuiInfB!$D$2," - ",NeoGuiInfB!D7,"; ",NeoGuiInfB!$E$2," - ",NeoGuiInfB!E7,";")</f>
        <v>#DIV/0!</v>
      </c>
    </row>
    <row r="147" spans="1:3" x14ac:dyDescent="0.2">
      <c r="A147" s="315" t="s">
        <v>660</v>
      </c>
      <c r="B147" s="318" t="s">
        <v>438</v>
      </c>
      <c r="C147" s="316" t="str">
        <f ca="1">CONCATENATE(NeoGuiInfB!B8,"            : ",NeoGuiInfB!$C$2," - ",NeoGuiInfB!C8,"; ",NeoGuiInfB!$D$2," - ",NeoGuiInfB!D8,"; ",NeoGuiInfB!$E$2," - ",NeoGuiInfB!E8,";")</f>
        <v>Vit D            : Intraveneus - 0 IE; Oraal - 10 IE; Totaal - 10 IE;</v>
      </c>
    </row>
    <row r="148" spans="1:3" x14ac:dyDescent="0.2">
      <c r="A148" s="315" t="s">
        <v>660</v>
      </c>
      <c r="B148" s="318" t="s">
        <v>439</v>
      </c>
      <c r="C148" s="316" t="e">
        <f ca="1">CONCATENATE(NeoGuiInfB!G3,"        : ",NeoGuiInfB!$H$2," - ",NeoGuiInfB!H3,"; ",NeoGuiInfB!$I$2," - ",NeoGuiInfB!I3,"; ",NeoGuiInfB!$J$2," - ",NeoGuiInfB!J3,";")</f>
        <v>#DIV/0!</v>
      </c>
    </row>
    <row r="149" spans="1:3" x14ac:dyDescent="0.2">
      <c r="A149" s="315" t="s">
        <v>660</v>
      </c>
      <c r="B149" s="318" t="s">
        <v>440</v>
      </c>
      <c r="C149" s="316" t="e">
        <f ca="1">CONCATENATE(NeoGuiInfB!G4,"         : ",NeoGuiInfB!$H$2," - ",NeoGuiInfB!H4,"; ",NeoGuiInfB!$I$2," - ",NeoGuiInfB!I4,"; ",NeoGuiInfB!$J$2," - ",NeoGuiInfB!J4,";")</f>
        <v>#DIV/0!</v>
      </c>
    </row>
    <row r="150" spans="1:3" x14ac:dyDescent="0.2">
      <c r="A150" s="315" t="s">
        <v>660</v>
      </c>
      <c r="B150" s="318" t="s">
        <v>441</v>
      </c>
      <c r="C150" s="316" t="e">
        <f ca="1">CONCATENATE(NeoGuiInfB!G5,"       : ",NeoGuiInfB!$H$2," - ",NeoGuiInfB!H5,"; ",NeoGuiInfB!$I$2," - ",NeoGuiInfB!I5,"; ",NeoGuiInfB!$J$2," - ",NeoGuiInfB!J5,";")</f>
        <v>#DIV/0!</v>
      </c>
    </row>
    <row r="151" spans="1:3" x14ac:dyDescent="0.2">
      <c r="A151" s="315" t="s">
        <v>660</v>
      </c>
      <c r="B151" s="319" t="s">
        <v>661</v>
      </c>
      <c r="C151" s="316" t="e">
        <f ca="1">CONCATENATE(NeoGuiInfB!G6,"  : ",NeoGuiInfB!$H$2," - ",NeoGuiInfB!H6,"; ",NeoGuiInfB!$I$2," - ",NeoGuiInfB!I6,"; ",NeoGuiInfB!$J$2," - ",NeoGuiInfB!J6,";")</f>
        <v>#DIV/0!</v>
      </c>
    </row>
    <row r="152" spans="1:3" x14ac:dyDescent="0.2">
      <c r="A152" s="315" t="s">
        <v>660</v>
      </c>
      <c r="B152" s="319" t="s">
        <v>662</v>
      </c>
      <c r="C152" s="316" t="e">
        <f ca="1">CONCATENATE(NeoGuiInfB!G7,"          : ",NeoGuiInfB!$H$2," - ",NeoGuiInfB!H7,"; ",NeoGuiInfB!$I$2," - ",NeoGuiInfB!I7,"; ",NeoGuiInfB!$J$2," - ",NeoGuiInfB!J7,";")</f>
        <v>#DIV/0!</v>
      </c>
    </row>
    <row r="153" spans="1:3" x14ac:dyDescent="0.2">
      <c r="A153" s="315" t="s">
        <v>660</v>
      </c>
      <c r="B153" s="319" t="s">
        <v>663</v>
      </c>
      <c r="C153" s="316" t="e">
        <f>CONCATENATE(NeoGuiInfB!G8,"         : ",NeoGuiInfB!$H$2," - ",NeoGuiInfB!H8,"; ",NeoGuiInfB!$I$2," - ",NeoGuiInfB!I8,"; ",NeoGuiInfB!$J$2," - ",NeoGuiInfB!J8,";")</f>
        <v>#DIV/0!</v>
      </c>
    </row>
  </sheetData>
  <customSheetViews>
    <customSheetView guid="{33CCADFA-0D48-46A6-8927-2B2144029216}" state="veryHidden" topLeftCell="A46">
      <selection activeCell="C1" sqref="C1"/>
      <pageMargins left="0.75" right="0.75" top="1" bottom="1" header="0.5" footer="0.5"/>
      <headerFooter alignWithMargins="0"/>
    </customSheetView>
  </customSheetViews>
  <phoneticPr fontId="28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>
    <tabColor rgb="FF00B0F0"/>
  </sheetPr>
  <dimension ref="A1:H1583"/>
  <sheetViews>
    <sheetView zoomScaleNormal="100" workbookViewId="0">
      <pane xSplit="1" ySplit="1" topLeftCell="B959" activePane="bottomRight" state="frozen"/>
      <selection activeCell="C22" sqref="C22"/>
      <selection pane="topRight" activeCell="C22" sqref="C22"/>
      <selection pane="bottomLeft" activeCell="C22" sqref="C22"/>
      <selection pane="bottomRight" activeCell="A893" sqref="A893"/>
    </sheetView>
  </sheetViews>
  <sheetFormatPr defaultRowHeight="12.75" x14ac:dyDescent="0.2"/>
  <cols>
    <col min="1" max="1" width="45.85546875" bestFit="1" customWidth="1"/>
    <col min="2" max="2" width="28.5703125" customWidth="1"/>
    <col min="3" max="3" width="21.85546875" customWidth="1"/>
    <col min="6" max="6" width="18.5703125" customWidth="1"/>
  </cols>
  <sheetData>
    <row r="1" spans="1:6" x14ac:dyDescent="0.2">
      <c r="A1" s="356" t="s">
        <v>158</v>
      </c>
      <c r="B1" t="s">
        <v>159</v>
      </c>
      <c r="C1" s="316" t="s">
        <v>2251</v>
      </c>
    </row>
    <row r="2" spans="1:6" x14ac:dyDescent="0.2">
      <c r="A2" s="315" t="s">
        <v>1152</v>
      </c>
      <c r="B2" s="315" t="str">
        <f>IF(ISBLANK(PatDetails!$B$1),"",PatDetails!$B$1)</f>
        <v/>
      </c>
      <c r="C2" s="590"/>
    </row>
    <row r="3" spans="1:6" x14ac:dyDescent="0.2">
      <c r="A3" s="315" t="s">
        <v>1153</v>
      </c>
      <c r="B3" s="315" t="str">
        <f>IF(ISBLANK(PatDetails!$B$2),"",PatDetails!$B$2)</f>
        <v/>
      </c>
      <c r="C3" s="590"/>
    </row>
    <row r="4" spans="1:6" x14ac:dyDescent="0.2">
      <c r="A4" s="315" t="s">
        <v>1154</v>
      </c>
      <c r="B4" s="315" t="str">
        <f>IF(ISBLANK(PatDetails!$B$3),"",PatDetails!$B$3)</f>
        <v/>
      </c>
      <c r="C4" s="590"/>
    </row>
    <row r="5" spans="1:6" x14ac:dyDescent="0.2">
      <c r="A5" s="315" t="s">
        <v>1155</v>
      </c>
      <c r="B5" s="315" t="str">
        <f>IF(ISBLANK(PatDetails!$B$4),"",PatDetails!$B$4)</f>
        <v/>
      </c>
      <c r="C5" s="590"/>
    </row>
    <row r="6" spans="1:6" x14ac:dyDescent="0.2">
      <c r="A6" s="315" t="s">
        <v>1156</v>
      </c>
      <c r="B6" s="24">
        <f>IF(ISBLANK(PatDetails!$B$5),"",PatDetails!$B$5)</f>
        <v>1462</v>
      </c>
      <c r="C6" s="128">
        <f>EmptyDate()</f>
        <v>1462</v>
      </c>
      <c r="E6" s="128"/>
    </row>
    <row r="7" spans="1:6" x14ac:dyDescent="0.2">
      <c r="A7" s="315" t="s">
        <v>2252</v>
      </c>
      <c r="B7" t="str">
        <f>IF(ISBLANK(GlobBerMedDisc!$AH$2),"",GlobBerMedDisc!$AH$2)</f>
        <v/>
      </c>
      <c r="C7" s="590"/>
    </row>
    <row r="8" spans="1:6" x14ac:dyDescent="0.2">
      <c r="A8" s="315" t="s">
        <v>2253</v>
      </c>
      <c r="B8" t="str">
        <f>IF(ISBLANK(GlobBerMedDisc!$AH$3),"",GlobBerMedDisc!$AH$3)</f>
        <v/>
      </c>
      <c r="C8" s="590"/>
    </row>
    <row r="9" spans="1:6" x14ac:dyDescent="0.2">
      <c r="A9" s="315" t="s">
        <v>2254</v>
      </c>
      <c r="B9" t="str">
        <f>IF(ISBLANK(GlobBerMedDisc!$AH$4),"",GlobBerMedDisc!$AH$4)</f>
        <v/>
      </c>
      <c r="C9" s="590"/>
    </row>
    <row r="10" spans="1:6" x14ac:dyDescent="0.2">
      <c r="A10" s="315" t="s">
        <v>2255</v>
      </c>
      <c r="B10" t="str">
        <f>IF(ISBLANK(GlobBerMedDisc!$AH$5),"",GlobBerMedDisc!$AH$5)</f>
        <v/>
      </c>
      <c r="C10" s="590"/>
    </row>
    <row r="11" spans="1:6" x14ac:dyDescent="0.2">
      <c r="A11" s="315" t="s">
        <v>2256</v>
      </c>
      <c r="B11" t="str">
        <f>IF(ISBLANK(GlobBerMedDisc!$AH$6),"",GlobBerMedDisc!$AH$6)</f>
        <v/>
      </c>
      <c r="C11" s="590"/>
    </row>
    <row r="12" spans="1:6" x14ac:dyDescent="0.2">
      <c r="A12" s="315" t="s">
        <v>2257</v>
      </c>
      <c r="B12" t="str">
        <f>IF(ISBLANK(GlobBerMedDisc!$AH$7),"",GlobBerMedDisc!$AH$7)</f>
        <v/>
      </c>
      <c r="C12" s="590"/>
    </row>
    <row r="13" spans="1:6" x14ac:dyDescent="0.2">
      <c r="A13" s="315" t="s">
        <v>2258</v>
      </c>
      <c r="B13" t="str">
        <f>IF(ISBLANK(GlobBerMedDisc!$AH$8),"",GlobBerMedDisc!$AH$8)</f>
        <v/>
      </c>
      <c r="C13" s="590"/>
      <c r="F13" s="315"/>
    </row>
    <row r="14" spans="1:6" x14ac:dyDescent="0.2">
      <c r="A14" s="315" t="s">
        <v>2259</v>
      </c>
      <c r="B14" t="str">
        <f>IF(ISBLANK(GlobBerMedDisc!$AH$9),"",GlobBerMedDisc!$AH$9)</f>
        <v/>
      </c>
      <c r="C14" s="590"/>
    </row>
    <row r="15" spans="1:6" x14ac:dyDescent="0.2">
      <c r="A15" s="315" t="s">
        <v>2260</v>
      </c>
      <c r="B15" t="str">
        <f>IF(ISBLANK(GlobBerMedDisc!$AH$10),"",GlobBerMedDisc!$AH$10)</f>
        <v/>
      </c>
      <c r="C15" s="590"/>
    </row>
    <row r="16" spans="1:6" x14ac:dyDescent="0.2">
      <c r="A16" s="315" t="s">
        <v>2261</v>
      </c>
      <c r="B16" t="str">
        <f>IF(ISBLANK(GlobBerMedDisc!$AH$11),"",GlobBerMedDisc!$AH$11)</f>
        <v/>
      </c>
      <c r="C16" s="590"/>
    </row>
    <row r="17" spans="1:3" x14ac:dyDescent="0.2">
      <c r="A17" s="315" t="s">
        <v>2262</v>
      </c>
      <c r="B17" t="str">
        <f>IF(ISBLANK(GlobBerMedDisc!$AH$12),"",GlobBerMedDisc!$AH$12)</f>
        <v/>
      </c>
      <c r="C17" s="590"/>
    </row>
    <row r="18" spans="1:3" x14ac:dyDescent="0.2">
      <c r="A18" s="315" t="s">
        <v>2263</v>
      </c>
      <c r="B18" t="str">
        <f>IF(ISBLANK(GlobBerMedDisc!$AH$13),"",GlobBerMedDisc!$AH$13)</f>
        <v/>
      </c>
      <c r="C18" s="590"/>
    </row>
    <row r="19" spans="1:3" x14ac:dyDescent="0.2">
      <c r="A19" s="315" t="s">
        <v>2264</v>
      </c>
      <c r="B19" t="str">
        <f>IF(ISBLANK(GlobBerMedDisc!$AH$14),"",GlobBerMedDisc!$AH$14)</f>
        <v/>
      </c>
      <c r="C19" s="590"/>
    </row>
    <row r="20" spans="1:3" x14ac:dyDescent="0.2">
      <c r="A20" s="315" t="s">
        <v>2265</v>
      </c>
      <c r="B20" t="str">
        <f>IF(ISBLANK(GlobBerMedDisc!$AH$15),"",GlobBerMedDisc!$AH$15)</f>
        <v/>
      </c>
      <c r="C20" s="590"/>
    </row>
    <row r="21" spans="1:3" x14ac:dyDescent="0.2">
      <c r="A21" s="315" t="s">
        <v>2266</v>
      </c>
      <c r="B21" t="str">
        <f>IF(ISBLANK(GlobBerMedDisc!$AH$16),"",GlobBerMedDisc!$AH$16)</f>
        <v/>
      </c>
      <c r="C21" s="590"/>
    </row>
    <row r="22" spans="1:3" x14ac:dyDescent="0.2">
      <c r="A22" s="315" t="s">
        <v>2267</v>
      </c>
      <c r="B22" t="str">
        <f>IF(ISBLANK(GlobBerMedDisc!$AH$17),"",GlobBerMedDisc!$AH$17)</f>
        <v/>
      </c>
      <c r="C22" s="590"/>
    </row>
    <row r="23" spans="1:3" x14ac:dyDescent="0.2">
      <c r="A23" s="315" t="s">
        <v>2268</v>
      </c>
      <c r="B23" t="str">
        <f>IF(ISBLANK(GlobBerMedDisc!$AH$18),"",GlobBerMedDisc!$AH$18)</f>
        <v/>
      </c>
      <c r="C23" s="590"/>
    </row>
    <row r="24" spans="1:3" x14ac:dyDescent="0.2">
      <c r="A24" s="315" t="s">
        <v>2269</v>
      </c>
      <c r="B24" t="str">
        <f>IF(ISBLANK(GlobBerMedDisc!$AH$19),"",GlobBerMedDisc!$AH$19)</f>
        <v/>
      </c>
      <c r="C24" s="590"/>
    </row>
    <row r="25" spans="1:3" x14ac:dyDescent="0.2">
      <c r="A25" s="315" t="s">
        <v>2270</v>
      </c>
      <c r="B25" t="str">
        <f>IF(ISBLANK(GlobBerMedDisc!$AH$20),"",GlobBerMedDisc!$AH$20)</f>
        <v/>
      </c>
      <c r="C25" s="590"/>
    </row>
    <row r="26" spans="1:3" x14ac:dyDescent="0.2">
      <c r="A26" s="315" t="s">
        <v>2271</v>
      </c>
      <c r="B26" t="str">
        <f>IF(ISBLANK(GlobBerMedDisc!$AH$21),"",GlobBerMedDisc!$AH$21)</f>
        <v/>
      </c>
      <c r="C26" s="590"/>
    </row>
    <row r="27" spans="1:3" x14ac:dyDescent="0.2">
      <c r="A27" s="315" t="s">
        <v>2272</v>
      </c>
      <c r="B27" t="str">
        <f>IF(ISBLANK(GlobBerMedDisc!$AH$22),"",GlobBerMedDisc!$AH$22)</f>
        <v/>
      </c>
      <c r="C27" s="590"/>
    </row>
    <row r="28" spans="1:3" x14ac:dyDescent="0.2">
      <c r="A28" s="315" t="s">
        <v>2273</v>
      </c>
      <c r="B28" t="str">
        <f>IF(ISBLANK(GlobBerMedDisc!$AH$23),"",GlobBerMedDisc!$AH$23)</f>
        <v/>
      </c>
      <c r="C28" s="590"/>
    </row>
    <row r="29" spans="1:3" x14ac:dyDescent="0.2">
      <c r="A29" s="315" t="s">
        <v>2274</v>
      </c>
      <c r="B29" t="str">
        <f>IF(ISBLANK(GlobBerMedDisc!$AH$24),"",GlobBerMedDisc!$AH$24)</f>
        <v/>
      </c>
      <c r="C29" s="590"/>
    </row>
    <row r="30" spans="1:3" x14ac:dyDescent="0.2">
      <c r="A30" s="315" t="s">
        <v>2275</v>
      </c>
      <c r="B30" t="str">
        <f>IF(ISBLANK(GlobBerMedDisc!$AH$25),"",GlobBerMedDisc!$AH$25)</f>
        <v/>
      </c>
      <c r="C30" s="590"/>
    </row>
    <row r="31" spans="1:3" x14ac:dyDescent="0.2">
      <c r="A31" s="315" t="s">
        <v>2276</v>
      </c>
      <c r="B31" t="str">
        <f>IF(ISBLANK(GlobBerMedDisc!$AH$26),"",GlobBerMedDisc!$AH$26)</f>
        <v/>
      </c>
      <c r="C31" s="590"/>
    </row>
    <row r="32" spans="1:3" x14ac:dyDescent="0.2">
      <c r="A32" s="315" t="s">
        <v>2277</v>
      </c>
      <c r="B32" t="str">
        <f>IF(ISBLANK(GlobBerMedDisc!$AH$27),"",GlobBerMedDisc!$AH$27)</f>
        <v/>
      </c>
      <c r="C32" s="590"/>
    </row>
    <row r="33" spans="1:6" x14ac:dyDescent="0.2">
      <c r="A33" s="315" t="s">
        <v>2278</v>
      </c>
      <c r="B33" t="str">
        <f>IF(ISBLANK(GlobBerMedDisc!$AH$28),"",GlobBerMedDisc!$AH$28)</f>
        <v/>
      </c>
      <c r="C33" s="590"/>
    </row>
    <row r="34" spans="1:6" x14ac:dyDescent="0.2">
      <c r="A34" s="315" t="s">
        <v>2279</v>
      </c>
      <c r="B34" t="str">
        <f>IF(ISBLANK(GlobBerMedDisc!$AH$29),"",GlobBerMedDisc!$AH$29)</f>
        <v/>
      </c>
      <c r="C34" s="590"/>
    </row>
    <row r="35" spans="1:6" x14ac:dyDescent="0.2">
      <c r="A35" s="315" t="s">
        <v>2280</v>
      </c>
      <c r="B35" t="str">
        <f>IF(ISBLANK(GlobBerMedDisc!$AH$30),"",GlobBerMedDisc!$AH$30)</f>
        <v/>
      </c>
      <c r="C35" s="590"/>
    </row>
    <row r="36" spans="1:6" x14ac:dyDescent="0.2">
      <c r="A36" s="315" t="s">
        <v>2281</v>
      </c>
      <c r="B36" t="str">
        <f>IF(ISBLANK(GlobBerMedDisc!$AH$31),"",GlobBerMedDisc!$AH$31)</f>
        <v/>
      </c>
      <c r="C36" s="590"/>
    </row>
    <row r="37" spans="1:6" x14ac:dyDescent="0.2">
      <c r="A37" s="315" t="s">
        <v>2282</v>
      </c>
      <c r="B37" t="str">
        <f>IF(ISBLANK(GlobBerMedDisc!$F$2),"",GlobBerMedDisc!$F$2)</f>
        <v/>
      </c>
      <c r="C37" s="590"/>
    </row>
    <row r="38" spans="1:6" x14ac:dyDescent="0.2">
      <c r="A38" s="315" t="s">
        <v>2283</v>
      </c>
      <c r="B38" t="str">
        <f>IF(ISBLANK(GlobBerMedDisc!$F$3),"",GlobBerMedDisc!$F$3)</f>
        <v/>
      </c>
      <c r="C38" s="590"/>
    </row>
    <row r="39" spans="1:6" x14ac:dyDescent="0.2">
      <c r="A39" s="315" t="s">
        <v>2284</v>
      </c>
      <c r="B39" t="str">
        <f>IF(ISBLANK(GlobBerMedDisc!$F$4),"",GlobBerMedDisc!$F$4)</f>
        <v/>
      </c>
      <c r="C39" s="590"/>
    </row>
    <row r="40" spans="1:6" x14ac:dyDescent="0.2">
      <c r="A40" s="315" t="s">
        <v>2285</v>
      </c>
      <c r="B40" t="str">
        <f>IF(ISBLANK(GlobBerMedDisc!$F$5),"",GlobBerMedDisc!$F$5)</f>
        <v/>
      </c>
      <c r="C40" s="590"/>
      <c r="F40" s="315"/>
    </row>
    <row r="41" spans="1:6" x14ac:dyDescent="0.2">
      <c r="A41" s="315" t="s">
        <v>2286</v>
      </c>
      <c r="B41" t="str">
        <f>IF(ISBLANK(GlobBerMedDisc!$F$6),"",GlobBerMedDisc!$F$6)</f>
        <v/>
      </c>
      <c r="C41" s="590"/>
    </row>
    <row r="42" spans="1:6" x14ac:dyDescent="0.2">
      <c r="A42" s="315" t="s">
        <v>2287</v>
      </c>
      <c r="B42" t="str">
        <f>IF(ISBLANK(GlobBerMedDisc!$F$7),"",GlobBerMedDisc!$F$7)</f>
        <v/>
      </c>
      <c r="C42" s="590"/>
    </row>
    <row r="43" spans="1:6" x14ac:dyDescent="0.2">
      <c r="A43" s="315" t="s">
        <v>2288</v>
      </c>
      <c r="B43" t="str">
        <f>IF(ISBLANK(GlobBerMedDisc!$F$8),"",GlobBerMedDisc!$F$8)</f>
        <v/>
      </c>
      <c r="C43" s="590"/>
    </row>
    <row r="44" spans="1:6" x14ac:dyDescent="0.2">
      <c r="A44" s="315" t="s">
        <v>2289</v>
      </c>
      <c r="B44" t="str">
        <f>IF(ISBLANK(GlobBerMedDisc!$F$9),"",GlobBerMedDisc!$F$9)</f>
        <v/>
      </c>
      <c r="C44" s="590"/>
    </row>
    <row r="45" spans="1:6" x14ac:dyDescent="0.2">
      <c r="A45" s="315" t="s">
        <v>2290</v>
      </c>
      <c r="B45" t="str">
        <f>IF(ISBLANK(GlobBerMedDisc!$F$10),"",GlobBerMedDisc!$F$10)</f>
        <v/>
      </c>
      <c r="C45" s="590"/>
    </row>
    <row r="46" spans="1:6" x14ac:dyDescent="0.2">
      <c r="A46" s="315" t="s">
        <v>2291</v>
      </c>
      <c r="B46" t="str">
        <f>IF(ISBLANK(GlobBerMedDisc!$F$11),"",GlobBerMedDisc!$F$11)</f>
        <v/>
      </c>
      <c r="C46" s="590"/>
    </row>
    <row r="47" spans="1:6" x14ac:dyDescent="0.2">
      <c r="A47" s="315" t="s">
        <v>2292</v>
      </c>
      <c r="B47" t="str">
        <f>IF(ISBLANK(GlobBerMedDisc!$F$12),"",GlobBerMedDisc!$F$12)</f>
        <v/>
      </c>
      <c r="C47" s="590"/>
    </row>
    <row r="48" spans="1:6" x14ac:dyDescent="0.2">
      <c r="A48" s="315" t="s">
        <v>2293</v>
      </c>
      <c r="B48" t="str">
        <f>IF(ISBLANK(GlobBerMedDisc!$F$13),"",GlobBerMedDisc!$F$13)</f>
        <v/>
      </c>
      <c r="C48" s="590"/>
    </row>
    <row r="49" spans="1:3" x14ac:dyDescent="0.2">
      <c r="A49" s="315" t="s">
        <v>2294</v>
      </c>
      <c r="B49" t="str">
        <f>IF(ISBLANK(GlobBerMedDisc!$F$14),"",GlobBerMedDisc!$F$14)</f>
        <v/>
      </c>
      <c r="C49" s="590"/>
    </row>
    <row r="50" spans="1:3" x14ac:dyDescent="0.2">
      <c r="A50" s="315" t="s">
        <v>2295</v>
      </c>
      <c r="B50" t="str">
        <f>IF(ISBLANK(GlobBerMedDisc!$F$15),"",GlobBerMedDisc!$F$15)</f>
        <v/>
      </c>
      <c r="C50" s="590"/>
    </row>
    <row r="51" spans="1:3" x14ac:dyDescent="0.2">
      <c r="A51" s="315" t="s">
        <v>2296</v>
      </c>
      <c r="B51" t="str">
        <f>IF(ISBLANK(GlobBerMedDisc!$F$16),"",GlobBerMedDisc!$F$16)</f>
        <v/>
      </c>
      <c r="C51" s="590"/>
    </row>
    <row r="52" spans="1:3" x14ac:dyDescent="0.2">
      <c r="A52" s="315" t="s">
        <v>2297</v>
      </c>
      <c r="B52" t="str">
        <f>IF(ISBLANK(GlobBerMedDisc!$F$17),"",GlobBerMedDisc!$F$17)</f>
        <v/>
      </c>
      <c r="C52" s="590"/>
    </row>
    <row r="53" spans="1:3" x14ac:dyDescent="0.2">
      <c r="A53" s="315" t="s">
        <v>2298</v>
      </c>
      <c r="B53" t="str">
        <f>IF(ISBLANK(GlobBerMedDisc!$F$18),"",GlobBerMedDisc!$F$18)</f>
        <v/>
      </c>
      <c r="C53" s="590"/>
    </row>
    <row r="54" spans="1:3" x14ac:dyDescent="0.2">
      <c r="A54" s="315" t="s">
        <v>2299</v>
      </c>
      <c r="B54" t="str">
        <f>IF(ISBLANK(GlobBerMedDisc!$F$19),"",GlobBerMedDisc!$F$19)</f>
        <v/>
      </c>
      <c r="C54" s="590"/>
    </row>
    <row r="55" spans="1:3" x14ac:dyDescent="0.2">
      <c r="A55" s="315" t="s">
        <v>2300</v>
      </c>
      <c r="B55" t="str">
        <f>IF(ISBLANK(GlobBerMedDisc!$F$20),"",GlobBerMedDisc!$F$20)</f>
        <v/>
      </c>
      <c r="C55" s="590"/>
    </row>
    <row r="56" spans="1:3" x14ac:dyDescent="0.2">
      <c r="A56" s="315" t="s">
        <v>2301</v>
      </c>
      <c r="B56" t="str">
        <f>IF(ISBLANK(GlobBerMedDisc!$F$21),"",GlobBerMedDisc!$F$21)</f>
        <v/>
      </c>
      <c r="C56" s="590"/>
    </row>
    <row r="57" spans="1:3" x14ac:dyDescent="0.2">
      <c r="A57" s="315" t="s">
        <v>2302</v>
      </c>
      <c r="B57" t="str">
        <f>IF(ISBLANK(GlobBerMedDisc!$F$22),"",GlobBerMedDisc!$F$22)</f>
        <v/>
      </c>
      <c r="C57" s="590"/>
    </row>
    <row r="58" spans="1:3" x14ac:dyDescent="0.2">
      <c r="A58" s="315" t="s">
        <v>2303</v>
      </c>
      <c r="B58" t="str">
        <f>IF(ISBLANK(GlobBerMedDisc!$F$23),"",GlobBerMedDisc!$F$23)</f>
        <v/>
      </c>
      <c r="C58" s="590"/>
    </row>
    <row r="59" spans="1:3" x14ac:dyDescent="0.2">
      <c r="A59" s="315" t="s">
        <v>2304</v>
      </c>
      <c r="B59" t="str">
        <f>IF(ISBLANK(GlobBerMedDisc!$F$24),"",GlobBerMedDisc!$F$24)</f>
        <v/>
      </c>
      <c r="C59" s="590"/>
    </row>
    <row r="60" spans="1:3" x14ac:dyDescent="0.2">
      <c r="A60" s="315" t="s">
        <v>2305</v>
      </c>
      <c r="B60" t="str">
        <f>IF(ISBLANK(GlobBerMedDisc!$F$25),"",GlobBerMedDisc!$F$25)</f>
        <v/>
      </c>
      <c r="C60" s="590"/>
    </row>
    <row r="61" spans="1:3" x14ac:dyDescent="0.2">
      <c r="A61" s="315" t="s">
        <v>2306</v>
      </c>
      <c r="B61" t="str">
        <f>IF(ISBLANK(GlobBerMedDisc!$F$26),"",GlobBerMedDisc!$F$26)</f>
        <v/>
      </c>
      <c r="C61" s="590"/>
    </row>
    <row r="62" spans="1:3" x14ac:dyDescent="0.2">
      <c r="A62" s="315" t="s">
        <v>2307</v>
      </c>
      <c r="B62" t="str">
        <f>IF(ISBLANK(GlobBerMedDisc!$F$27),"",GlobBerMedDisc!$F$27)</f>
        <v/>
      </c>
      <c r="C62" s="590"/>
    </row>
    <row r="63" spans="1:3" x14ac:dyDescent="0.2">
      <c r="A63" s="315" t="s">
        <v>2308</v>
      </c>
      <c r="B63" t="str">
        <f>IF(ISBLANK(GlobBerMedDisc!$F$28),"",GlobBerMedDisc!$F$28)</f>
        <v/>
      </c>
      <c r="C63" s="590"/>
    </row>
    <row r="64" spans="1:3" x14ac:dyDescent="0.2">
      <c r="A64" s="315" t="s">
        <v>2309</v>
      </c>
      <c r="B64" t="str">
        <f>IF(ISBLANK(GlobBerMedDisc!$F$29),"",GlobBerMedDisc!$F$29)</f>
        <v/>
      </c>
      <c r="C64" s="590"/>
    </row>
    <row r="65" spans="1:3" x14ac:dyDescent="0.2">
      <c r="A65" s="315" t="s">
        <v>2310</v>
      </c>
      <c r="B65" t="str">
        <f>IF(ISBLANK(GlobBerMedDisc!$F$30),"",GlobBerMedDisc!$F$30)</f>
        <v/>
      </c>
      <c r="C65" s="590"/>
    </row>
    <row r="66" spans="1:3" x14ac:dyDescent="0.2">
      <c r="A66" s="315" t="s">
        <v>2311</v>
      </c>
      <c r="B66" t="str">
        <f>IF(ISBLANK(GlobBerMedDisc!$F$31),"",GlobBerMedDisc!$F$31)</f>
        <v/>
      </c>
      <c r="C66" s="590"/>
    </row>
    <row r="67" spans="1:3" x14ac:dyDescent="0.2">
      <c r="A67" s="315" t="s">
        <v>2312</v>
      </c>
      <c r="B67">
        <f>IF(ISBLANK(GlobBerMedDisc!$G$2),"",GlobBerMedDisc!$G$2)</f>
        <v>0</v>
      </c>
      <c r="C67" s="317">
        <v>0</v>
      </c>
    </row>
    <row r="68" spans="1:3" x14ac:dyDescent="0.2">
      <c r="A68" s="315" t="s">
        <v>2313</v>
      </c>
      <c r="B68">
        <f>IF(ISBLANK(GlobBerMedDisc!$G$3),"",GlobBerMedDisc!$G$3)</f>
        <v>0</v>
      </c>
      <c r="C68" s="317">
        <v>0</v>
      </c>
    </row>
    <row r="69" spans="1:3" x14ac:dyDescent="0.2">
      <c r="A69" s="315" t="s">
        <v>2314</v>
      </c>
      <c r="B69">
        <f>IF(ISBLANK(GlobBerMedDisc!$G$4),"",GlobBerMedDisc!$G$4)</f>
        <v>0</v>
      </c>
      <c r="C69" s="317">
        <v>0</v>
      </c>
    </row>
    <row r="70" spans="1:3" x14ac:dyDescent="0.2">
      <c r="A70" s="315" t="s">
        <v>2315</v>
      </c>
      <c r="B70">
        <f>IF(ISBLANK(GlobBerMedDisc!$G$5),"",GlobBerMedDisc!$G$5)</f>
        <v>0</v>
      </c>
      <c r="C70" s="317">
        <v>0</v>
      </c>
    </row>
    <row r="71" spans="1:3" x14ac:dyDescent="0.2">
      <c r="A71" s="315" t="s">
        <v>2316</v>
      </c>
      <c r="B71" s="315">
        <f>IF(ISBLANK(GlobBerMedDisc!$G$6),"",GlobBerMedDisc!$G$6)</f>
        <v>0</v>
      </c>
      <c r="C71" s="317">
        <v>0</v>
      </c>
    </row>
    <row r="72" spans="1:3" x14ac:dyDescent="0.2">
      <c r="A72" s="315" t="s">
        <v>2317</v>
      </c>
      <c r="B72" s="315">
        <f>IF(ISBLANK(GlobBerMedDisc!$G$7),"",GlobBerMedDisc!$G$7)</f>
        <v>0</v>
      </c>
      <c r="C72" s="317">
        <v>0</v>
      </c>
    </row>
    <row r="73" spans="1:3" x14ac:dyDescent="0.2">
      <c r="A73" s="315" t="s">
        <v>2318</v>
      </c>
      <c r="B73" s="315">
        <f>IF(ISBLANK(GlobBerMedDisc!$G$8),"",GlobBerMedDisc!$G$8)</f>
        <v>0</v>
      </c>
      <c r="C73" s="317">
        <v>0</v>
      </c>
    </row>
    <row r="74" spans="1:3" x14ac:dyDescent="0.2">
      <c r="A74" s="315" t="s">
        <v>2319</v>
      </c>
      <c r="B74" s="315">
        <f>IF(ISBLANK(GlobBerMedDisc!$G$9),"",GlobBerMedDisc!$G$9)</f>
        <v>0</v>
      </c>
      <c r="C74" s="317">
        <v>0</v>
      </c>
    </row>
    <row r="75" spans="1:3" x14ac:dyDescent="0.2">
      <c r="A75" s="315" t="s">
        <v>2320</v>
      </c>
      <c r="B75" s="315">
        <f>IF(ISBLANK(GlobBerMedDisc!$G$10),"",GlobBerMedDisc!$G$10)</f>
        <v>0</v>
      </c>
      <c r="C75" s="317">
        <v>0</v>
      </c>
    </row>
    <row r="76" spans="1:3" x14ac:dyDescent="0.2">
      <c r="A76" s="315" t="s">
        <v>2321</v>
      </c>
      <c r="B76" s="315">
        <f>IF(ISBLANK(GlobBerMedDisc!$G$11),"",GlobBerMedDisc!$G$11)</f>
        <v>0</v>
      </c>
      <c r="C76" s="317">
        <v>0</v>
      </c>
    </row>
    <row r="77" spans="1:3" x14ac:dyDescent="0.2">
      <c r="A77" s="315" t="s">
        <v>2322</v>
      </c>
      <c r="B77" s="315">
        <f>IF(ISBLANK(GlobBerMedDisc!$G$12),"",GlobBerMedDisc!$G$12)</f>
        <v>0</v>
      </c>
      <c r="C77" s="317">
        <v>0</v>
      </c>
    </row>
    <row r="78" spans="1:3" x14ac:dyDescent="0.2">
      <c r="A78" s="315" t="s">
        <v>2323</v>
      </c>
      <c r="B78" s="315">
        <f>IF(ISBLANK(GlobBerMedDisc!$G$13),"",GlobBerMedDisc!$G$13)</f>
        <v>0</v>
      </c>
      <c r="C78" s="317">
        <v>0</v>
      </c>
    </row>
    <row r="79" spans="1:3" x14ac:dyDescent="0.2">
      <c r="A79" s="315" t="s">
        <v>2324</v>
      </c>
      <c r="B79">
        <f>IF(ISBLANK(GlobBerMedDisc!$G$14),"",GlobBerMedDisc!$G$14)</f>
        <v>0</v>
      </c>
      <c r="C79" s="317">
        <v>0</v>
      </c>
    </row>
    <row r="80" spans="1:3" x14ac:dyDescent="0.2">
      <c r="A80" s="315" t="s">
        <v>2325</v>
      </c>
      <c r="B80">
        <f>IF(ISBLANK(GlobBerMedDisc!$G$15),"",GlobBerMedDisc!$G$15)</f>
        <v>0</v>
      </c>
      <c r="C80" s="317">
        <v>0</v>
      </c>
    </row>
    <row r="81" spans="1:3" x14ac:dyDescent="0.2">
      <c r="A81" s="315" t="s">
        <v>2326</v>
      </c>
      <c r="B81">
        <f>IF(ISBLANK(GlobBerMedDisc!$G$16),"",GlobBerMedDisc!$G$16)</f>
        <v>0</v>
      </c>
      <c r="C81" s="317">
        <v>0</v>
      </c>
    </row>
    <row r="82" spans="1:3" x14ac:dyDescent="0.2">
      <c r="A82" s="315" t="s">
        <v>2327</v>
      </c>
      <c r="B82">
        <f>IF(ISBLANK(GlobBerMedDisc!$G$17),"",GlobBerMedDisc!$G$17)</f>
        <v>0</v>
      </c>
      <c r="C82" s="317">
        <v>0</v>
      </c>
    </row>
    <row r="83" spans="1:3" x14ac:dyDescent="0.2">
      <c r="A83" s="315" t="s">
        <v>2328</v>
      </c>
      <c r="B83">
        <f>IF(ISBLANK(GlobBerMedDisc!$G$18),"",GlobBerMedDisc!$G$18)</f>
        <v>0</v>
      </c>
      <c r="C83" s="317">
        <v>0</v>
      </c>
    </row>
    <row r="84" spans="1:3" x14ac:dyDescent="0.2">
      <c r="A84" s="315" t="s">
        <v>2329</v>
      </c>
      <c r="B84">
        <f>IF(ISBLANK(GlobBerMedDisc!$G$19),"",GlobBerMedDisc!$G$19)</f>
        <v>0</v>
      </c>
      <c r="C84" s="317">
        <v>0</v>
      </c>
    </row>
    <row r="85" spans="1:3" x14ac:dyDescent="0.2">
      <c r="A85" s="315" t="s">
        <v>2330</v>
      </c>
      <c r="B85">
        <f>IF(ISBLANK(GlobBerMedDisc!$G$20),"",GlobBerMedDisc!$G$20)</f>
        <v>0</v>
      </c>
      <c r="C85" s="317">
        <v>0</v>
      </c>
    </row>
    <row r="86" spans="1:3" x14ac:dyDescent="0.2">
      <c r="A86" s="315" t="s">
        <v>2331</v>
      </c>
      <c r="B86">
        <f>IF(ISBLANK(GlobBerMedDisc!$G$21),"",GlobBerMedDisc!$G$21)</f>
        <v>0</v>
      </c>
      <c r="C86" s="317">
        <v>0</v>
      </c>
    </row>
    <row r="87" spans="1:3" x14ac:dyDescent="0.2">
      <c r="A87" s="315" t="s">
        <v>2332</v>
      </c>
      <c r="B87">
        <f>IF(ISBLANK(GlobBerMedDisc!$G$22),"",GlobBerMedDisc!$G$22)</f>
        <v>0</v>
      </c>
      <c r="C87" s="317">
        <v>0</v>
      </c>
    </row>
    <row r="88" spans="1:3" x14ac:dyDescent="0.2">
      <c r="A88" s="315" t="s">
        <v>2333</v>
      </c>
      <c r="B88">
        <f>IF(ISBLANK(GlobBerMedDisc!$G$23),"",GlobBerMedDisc!$G$23)</f>
        <v>0</v>
      </c>
      <c r="C88" s="317">
        <v>0</v>
      </c>
    </row>
    <row r="89" spans="1:3" x14ac:dyDescent="0.2">
      <c r="A89" s="315" t="s">
        <v>2334</v>
      </c>
      <c r="B89">
        <f>IF(ISBLANK(GlobBerMedDisc!$G$24),"",GlobBerMedDisc!$G$24)</f>
        <v>0</v>
      </c>
      <c r="C89" s="317">
        <v>0</v>
      </c>
    </row>
    <row r="90" spans="1:3" x14ac:dyDescent="0.2">
      <c r="A90" s="315" t="s">
        <v>2335</v>
      </c>
      <c r="B90">
        <f>IF(ISBLANK(GlobBerMedDisc!$G$25),"",GlobBerMedDisc!$G$25)</f>
        <v>0</v>
      </c>
      <c r="C90" s="317">
        <v>0</v>
      </c>
    </row>
    <row r="91" spans="1:3" x14ac:dyDescent="0.2">
      <c r="A91" s="315" t="s">
        <v>2336</v>
      </c>
      <c r="B91">
        <f>IF(ISBLANK(GlobBerMedDisc!$G$26),"",GlobBerMedDisc!$G$26)</f>
        <v>0</v>
      </c>
      <c r="C91" s="317">
        <v>0</v>
      </c>
    </row>
    <row r="92" spans="1:3" x14ac:dyDescent="0.2">
      <c r="A92" s="315" t="s">
        <v>2337</v>
      </c>
      <c r="B92">
        <f>IF(ISBLANK(GlobBerMedDisc!$G$27),"",GlobBerMedDisc!$G$27)</f>
        <v>0</v>
      </c>
      <c r="C92" s="317">
        <v>0</v>
      </c>
    </row>
    <row r="93" spans="1:3" x14ac:dyDescent="0.2">
      <c r="A93" s="315" t="s">
        <v>2338</v>
      </c>
      <c r="B93">
        <f>IF(ISBLANK(GlobBerMedDisc!$G$28),"",GlobBerMedDisc!$G$28)</f>
        <v>0</v>
      </c>
      <c r="C93" s="317">
        <v>0</v>
      </c>
    </row>
    <row r="94" spans="1:3" x14ac:dyDescent="0.2">
      <c r="A94" s="315" t="s">
        <v>2339</v>
      </c>
      <c r="B94">
        <f>IF(ISBLANK(GlobBerMedDisc!$G$29),"",GlobBerMedDisc!$G$29)</f>
        <v>0</v>
      </c>
      <c r="C94" s="317">
        <v>0</v>
      </c>
    </row>
    <row r="95" spans="1:3" x14ac:dyDescent="0.2">
      <c r="A95" s="315" t="s">
        <v>2340</v>
      </c>
      <c r="B95">
        <f>IF(ISBLANK(GlobBerMedDisc!$G$30),"",GlobBerMedDisc!$G$30)</f>
        <v>0</v>
      </c>
      <c r="C95" s="317">
        <v>0</v>
      </c>
    </row>
    <row r="96" spans="1:3" x14ac:dyDescent="0.2">
      <c r="A96" s="315" t="s">
        <v>2341</v>
      </c>
      <c r="B96">
        <f>IF(ISBLANK(GlobBerMedDisc!$G$31),"",GlobBerMedDisc!$G$31)</f>
        <v>0</v>
      </c>
      <c r="C96" s="317">
        <v>0</v>
      </c>
    </row>
    <row r="97" spans="1:3" x14ac:dyDescent="0.2">
      <c r="A97" s="315" t="s">
        <v>2342</v>
      </c>
      <c r="B97" t="str">
        <f>IF(ISBLANK(GlobBerMedDisc!$AK$2),"",GlobBerMedDisc!$AK$2)</f>
        <v/>
      </c>
      <c r="C97" s="130"/>
    </row>
    <row r="98" spans="1:3" x14ac:dyDescent="0.2">
      <c r="A98" s="315" t="s">
        <v>2343</v>
      </c>
      <c r="B98" t="str">
        <f>IF(ISBLANK(GlobBerMedDisc!$AK$3),"",GlobBerMedDisc!$AK$3)</f>
        <v/>
      </c>
      <c r="C98" s="130"/>
    </row>
    <row r="99" spans="1:3" x14ac:dyDescent="0.2">
      <c r="A99" s="315" t="s">
        <v>2344</v>
      </c>
      <c r="B99" t="str">
        <f>IF(ISBLANK(GlobBerMedDisc!$AK$4),"",GlobBerMedDisc!$AK$4)</f>
        <v/>
      </c>
      <c r="C99" s="130"/>
    </row>
    <row r="100" spans="1:3" x14ac:dyDescent="0.2">
      <c r="A100" s="315" t="s">
        <v>2345</v>
      </c>
      <c r="B100" t="str">
        <f>IF(ISBLANK(GlobBerMedDisc!$AK$5),"",GlobBerMedDisc!$AK$5)</f>
        <v/>
      </c>
      <c r="C100" s="130"/>
    </row>
    <row r="101" spans="1:3" x14ac:dyDescent="0.2">
      <c r="A101" s="315" t="s">
        <v>2346</v>
      </c>
      <c r="B101" t="str">
        <f>IF(ISBLANK(GlobBerMedDisc!$AK$6),"",GlobBerMedDisc!$AK$6)</f>
        <v/>
      </c>
      <c r="C101" s="130"/>
    </row>
    <row r="102" spans="1:3" x14ac:dyDescent="0.2">
      <c r="A102" s="315" t="s">
        <v>2347</v>
      </c>
      <c r="B102" t="str">
        <f>IF(ISBLANK(GlobBerMedDisc!$AK$7),"",GlobBerMedDisc!$AK$7)</f>
        <v/>
      </c>
      <c r="C102" s="130"/>
    </row>
    <row r="103" spans="1:3" x14ac:dyDescent="0.2">
      <c r="A103" s="315" t="s">
        <v>2348</v>
      </c>
      <c r="B103" t="str">
        <f>IF(ISBLANK(GlobBerMedDisc!$AK$8),"",GlobBerMedDisc!$AK$8)</f>
        <v/>
      </c>
      <c r="C103" s="130"/>
    </row>
    <row r="104" spans="1:3" x14ac:dyDescent="0.2">
      <c r="A104" s="315" t="s">
        <v>2349</v>
      </c>
      <c r="B104" t="str">
        <f>IF(ISBLANK(GlobBerMedDisc!$AK$9),"",GlobBerMedDisc!$AK$9)</f>
        <v/>
      </c>
      <c r="C104" s="130"/>
    </row>
    <row r="105" spans="1:3" x14ac:dyDescent="0.2">
      <c r="A105" s="315" t="s">
        <v>2350</v>
      </c>
      <c r="B105" t="str">
        <f>IF(ISBLANK(GlobBerMedDisc!$AK$10),"",GlobBerMedDisc!$AK$10)</f>
        <v/>
      </c>
      <c r="C105" s="130"/>
    </row>
    <row r="106" spans="1:3" x14ac:dyDescent="0.2">
      <c r="A106" s="315" t="s">
        <v>2351</v>
      </c>
      <c r="B106" t="str">
        <f>IF(ISBLANK(GlobBerMedDisc!$AK$11),"",GlobBerMedDisc!$AK$11)</f>
        <v/>
      </c>
      <c r="C106" s="130"/>
    </row>
    <row r="107" spans="1:3" x14ac:dyDescent="0.2">
      <c r="A107" s="315" t="s">
        <v>2352</v>
      </c>
      <c r="B107" t="str">
        <f>IF(ISBLANK(GlobBerMedDisc!$AK$12),"",GlobBerMedDisc!$AK$12)</f>
        <v/>
      </c>
      <c r="C107" s="130"/>
    </row>
    <row r="108" spans="1:3" x14ac:dyDescent="0.2">
      <c r="A108" s="315" t="s">
        <v>2353</v>
      </c>
      <c r="B108" t="str">
        <f>IF(ISBLANK(GlobBerMedDisc!$AK$13),"",GlobBerMedDisc!$AK$13)</f>
        <v/>
      </c>
      <c r="C108" s="130"/>
    </row>
    <row r="109" spans="1:3" x14ac:dyDescent="0.2">
      <c r="A109" s="315" t="s">
        <v>2354</v>
      </c>
      <c r="B109" t="str">
        <f>IF(ISBLANK(GlobBerMedDisc!$AK$14),"",GlobBerMedDisc!$AK$14)</f>
        <v/>
      </c>
      <c r="C109" s="130"/>
    </row>
    <row r="110" spans="1:3" x14ac:dyDescent="0.2">
      <c r="A110" s="315" t="s">
        <v>2355</v>
      </c>
      <c r="B110" t="str">
        <f>IF(ISBLANK(GlobBerMedDisc!$AK$15),"",GlobBerMedDisc!$AK$15)</f>
        <v/>
      </c>
      <c r="C110" s="130"/>
    </row>
    <row r="111" spans="1:3" x14ac:dyDescent="0.2">
      <c r="A111" s="315" t="s">
        <v>2356</v>
      </c>
      <c r="B111" t="str">
        <f>IF(ISBLANK(GlobBerMedDisc!$AK$16),"",GlobBerMedDisc!$AK$16)</f>
        <v/>
      </c>
      <c r="C111" s="130"/>
    </row>
    <row r="112" spans="1:3" x14ac:dyDescent="0.2">
      <c r="A112" s="315" t="s">
        <v>2357</v>
      </c>
      <c r="B112" t="str">
        <f>IF(ISBLANK(GlobBerMedDisc!$AK$17),"",GlobBerMedDisc!$AK$17)</f>
        <v/>
      </c>
      <c r="C112" s="130"/>
    </row>
    <row r="113" spans="1:3" x14ac:dyDescent="0.2">
      <c r="A113" s="315" t="s">
        <v>2358</v>
      </c>
      <c r="B113" t="str">
        <f>IF(ISBLANK(GlobBerMedDisc!$AK$18),"",GlobBerMedDisc!$AK$18)</f>
        <v/>
      </c>
      <c r="C113" s="130"/>
    </row>
    <row r="114" spans="1:3" x14ac:dyDescent="0.2">
      <c r="A114" s="315" t="s">
        <v>2359</v>
      </c>
      <c r="B114" t="str">
        <f>IF(ISBLANK(GlobBerMedDisc!$AK$19),"",GlobBerMedDisc!$AK$19)</f>
        <v/>
      </c>
      <c r="C114" s="130"/>
    </row>
    <row r="115" spans="1:3" x14ac:dyDescent="0.2">
      <c r="A115" s="315" t="s">
        <v>2360</v>
      </c>
      <c r="B115" t="str">
        <f>IF(ISBLANK(GlobBerMedDisc!$AK$20),"",GlobBerMedDisc!$AK$20)</f>
        <v/>
      </c>
      <c r="C115" s="130"/>
    </row>
    <row r="116" spans="1:3" x14ac:dyDescent="0.2">
      <c r="A116" s="315" t="s">
        <v>2361</v>
      </c>
      <c r="B116" t="str">
        <f>IF(ISBLANK(GlobBerMedDisc!$AK$21),"",GlobBerMedDisc!$AK$21)</f>
        <v/>
      </c>
      <c r="C116" s="130"/>
    </row>
    <row r="117" spans="1:3" x14ac:dyDescent="0.2">
      <c r="A117" s="315" t="s">
        <v>2362</v>
      </c>
      <c r="B117" t="str">
        <f>IF(ISBLANK(GlobBerMedDisc!$AK$22),"",GlobBerMedDisc!$AK$22)</f>
        <v/>
      </c>
      <c r="C117" s="130"/>
    </row>
    <row r="118" spans="1:3" x14ac:dyDescent="0.2">
      <c r="A118" s="315" t="s">
        <v>2363</v>
      </c>
      <c r="B118" t="str">
        <f>IF(ISBLANK(GlobBerMedDisc!$AK$23),"",GlobBerMedDisc!$AK$23)</f>
        <v/>
      </c>
      <c r="C118" s="130"/>
    </row>
    <row r="119" spans="1:3" x14ac:dyDescent="0.2">
      <c r="A119" s="315" t="s">
        <v>2364</v>
      </c>
      <c r="B119" t="str">
        <f>IF(ISBLANK(GlobBerMedDisc!$AK$24),"",GlobBerMedDisc!$AK$24)</f>
        <v/>
      </c>
      <c r="C119" s="130"/>
    </row>
    <row r="120" spans="1:3" x14ac:dyDescent="0.2">
      <c r="A120" s="315" t="s">
        <v>2365</v>
      </c>
      <c r="B120" t="str">
        <f>IF(ISBLANK(GlobBerMedDisc!$AK$25),"",GlobBerMedDisc!$AK$25)</f>
        <v/>
      </c>
      <c r="C120" s="130"/>
    </row>
    <row r="121" spans="1:3" x14ac:dyDescent="0.2">
      <c r="A121" s="315" t="s">
        <v>2366</v>
      </c>
      <c r="B121" t="str">
        <f>IF(ISBLANK(GlobBerMedDisc!$AK$26),"",GlobBerMedDisc!$AK$26)</f>
        <v/>
      </c>
      <c r="C121" s="130"/>
    </row>
    <row r="122" spans="1:3" x14ac:dyDescent="0.2">
      <c r="A122" s="315" t="s">
        <v>2367</v>
      </c>
      <c r="B122" t="str">
        <f>IF(ISBLANK(GlobBerMedDisc!$AK$27),"",GlobBerMedDisc!$AK$27)</f>
        <v/>
      </c>
      <c r="C122" s="130"/>
    </row>
    <row r="123" spans="1:3" x14ac:dyDescent="0.2">
      <c r="A123" s="315" t="s">
        <v>2368</v>
      </c>
      <c r="B123" t="str">
        <f>IF(ISBLANK(GlobBerMedDisc!$AK$28),"",GlobBerMedDisc!$AK$28)</f>
        <v/>
      </c>
      <c r="C123" s="130"/>
    </row>
    <row r="124" spans="1:3" x14ac:dyDescent="0.2">
      <c r="A124" s="315" t="s">
        <v>2369</v>
      </c>
      <c r="B124" t="str">
        <f>IF(ISBLANK(GlobBerMedDisc!$AK$29),"",GlobBerMedDisc!$AK$29)</f>
        <v/>
      </c>
      <c r="C124" s="130"/>
    </row>
    <row r="125" spans="1:3" x14ac:dyDescent="0.2">
      <c r="A125" s="315" t="s">
        <v>2370</v>
      </c>
      <c r="B125" t="str">
        <f>IF(ISBLANK(GlobBerMedDisc!$AK$30),"",GlobBerMedDisc!$AK$30)</f>
        <v/>
      </c>
      <c r="C125" s="130"/>
    </row>
    <row r="126" spans="1:3" x14ac:dyDescent="0.2">
      <c r="A126" s="315" t="s">
        <v>2371</v>
      </c>
      <c r="B126" t="str">
        <f>IF(ISBLANK(GlobBerMedDisc!$AK$31),"",GlobBerMedDisc!$AK$31)</f>
        <v/>
      </c>
      <c r="C126" s="130"/>
    </row>
    <row r="127" spans="1:3" x14ac:dyDescent="0.2">
      <c r="A127" s="315" t="s">
        <v>2372</v>
      </c>
      <c r="B127" t="str">
        <f>IF(ISBLANK(GlobBerMedDisc!$D$2),"",GlobBerMedDisc!$D$2)</f>
        <v/>
      </c>
      <c r="C127" s="130"/>
    </row>
    <row r="128" spans="1:3" x14ac:dyDescent="0.2">
      <c r="A128" s="315" t="s">
        <v>2373</v>
      </c>
      <c r="B128" t="str">
        <f>IF(ISBLANK(GlobBerMedDisc!$D$3),"",GlobBerMedDisc!$D$3)</f>
        <v/>
      </c>
      <c r="C128" s="130"/>
    </row>
    <row r="129" spans="1:3" x14ac:dyDescent="0.2">
      <c r="A129" s="315" t="s">
        <v>2374</v>
      </c>
      <c r="B129" t="str">
        <f>IF(ISBLANK(GlobBerMedDisc!$D$4),"",GlobBerMedDisc!$D$4)</f>
        <v/>
      </c>
      <c r="C129" s="130"/>
    </row>
    <row r="130" spans="1:3" x14ac:dyDescent="0.2">
      <c r="A130" s="315" t="s">
        <v>2375</v>
      </c>
      <c r="B130" t="str">
        <f>IF(ISBLANK(GlobBerMedDisc!$D$5),"",GlobBerMedDisc!$D$5)</f>
        <v/>
      </c>
      <c r="C130" s="130"/>
    </row>
    <row r="131" spans="1:3" x14ac:dyDescent="0.2">
      <c r="A131" s="315" t="s">
        <v>2376</v>
      </c>
      <c r="B131" t="str">
        <f>IF(ISBLANK(GlobBerMedDisc!$D$6),"",GlobBerMedDisc!$D$6)</f>
        <v/>
      </c>
      <c r="C131" s="130"/>
    </row>
    <row r="132" spans="1:3" x14ac:dyDescent="0.2">
      <c r="A132" s="315" t="s">
        <v>2377</v>
      </c>
      <c r="B132" t="str">
        <f>IF(ISBLANK(GlobBerMedDisc!$D$7),"",GlobBerMedDisc!$D$7)</f>
        <v/>
      </c>
      <c r="C132" s="130"/>
    </row>
    <row r="133" spans="1:3" x14ac:dyDescent="0.2">
      <c r="A133" s="315" t="s">
        <v>2378</v>
      </c>
      <c r="B133" t="str">
        <f>IF(ISBLANK(GlobBerMedDisc!$D$8),"",GlobBerMedDisc!$D$8)</f>
        <v/>
      </c>
      <c r="C133" s="130"/>
    </row>
    <row r="134" spans="1:3" x14ac:dyDescent="0.2">
      <c r="A134" s="315" t="s">
        <v>2379</v>
      </c>
      <c r="B134" t="str">
        <f>IF(ISBLANK(GlobBerMedDisc!$D$9),"",GlobBerMedDisc!$D$9)</f>
        <v/>
      </c>
      <c r="C134" s="130"/>
    </row>
    <row r="135" spans="1:3" x14ac:dyDescent="0.2">
      <c r="A135" s="315" t="s">
        <v>2380</v>
      </c>
      <c r="B135" t="str">
        <f>IF(ISBLANK(GlobBerMedDisc!$D$10),"",GlobBerMedDisc!$D$10)</f>
        <v/>
      </c>
      <c r="C135" s="130"/>
    </row>
    <row r="136" spans="1:3" x14ac:dyDescent="0.2">
      <c r="A136" s="315" t="s">
        <v>2381</v>
      </c>
      <c r="B136" t="str">
        <f>IF(ISBLANK(GlobBerMedDisc!$D$11),"",GlobBerMedDisc!$D$11)</f>
        <v/>
      </c>
      <c r="C136" s="130"/>
    </row>
    <row r="137" spans="1:3" x14ac:dyDescent="0.2">
      <c r="A137" s="315" t="s">
        <v>2382</v>
      </c>
      <c r="B137" t="str">
        <f>IF(ISBLANK(GlobBerMedDisc!$D$12),"",GlobBerMedDisc!$D$12)</f>
        <v/>
      </c>
      <c r="C137" s="130"/>
    </row>
    <row r="138" spans="1:3" x14ac:dyDescent="0.2">
      <c r="A138" s="315" t="s">
        <v>2383</v>
      </c>
      <c r="B138" t="str">
        <f>IF(ISBLANK(GlobBerMedDisc!$D$13),"",GlobBerMedDisc!$D$13)</f>
        <v/>
      </c>
      <c r="C138" s="130"/>
    </row>
    <row r="139" spans="1:3" x14ac:dyDescent="0.2">
      <c r="A139" s="315" t="s">
        <v>2384</v>
      </c>
      <c r="B139" t="str">
        <f>IF(ISBLANK(GlobBerMedDisc!$D$14),"",GlobBerMedDisc!$D$14)</f>
        <v/>
      </c>
      <c r="C139" s="130"/>
    </row>
    <row r="140" spans="1:3" x14ac:dyDescent="0.2">
      <c r="A140" s="315" t="s">
        <v>2385</v>
      </c>
      <c r="B140" t="str">
        <f>IF(ISBLANK(GlobBerMedDisc!$D$15),"",GlobBerMedDisc!$D$15)</f>
        <v/>
      </c>
      <c r="C140" s="130"/>
    </row>
    <row r="141" spans="1:3" x14ac:dyDescent="0.2">
      <c r="A141" s="315" t="s">
        <v>2386</v>
      </c>
      <c r="B141" t="str">
        <f>IF(ISBLANK(GlobBerMedDisc!$D$16),"",GlobBerMedDisc!$D$16)</f>
        <v/>
      </c>
      <c r="C141" s="130"/>
    </row>
    <row r="142" spans="1:3" x14ac:dyDescent="0.2">
      <c r="A142" s="315" t="s">
        <v>2387</v>
      </c>
      <c r="B142" t="str">
        <f>IF(ISBLANK(GlobBerMedDisc!$D$17),"",GlobBerMedDisc!$D$17)</f>
        <v/>
      </c>
      <c r="C142" s="130"/>
    </row>
    <row r="143" spans="1:3" x14ac:dyDescent="0.2">
      <c r="A143" s="315" t="s">
        <v>2388</v>
      </c>
      <c r="B143" t="str">
        <f>IF(ISBLANK(GlobBerMedDisc!$D$18),"",GlobBerMedDisc!$D$18)</f>
        <v/>
      </c>
      <c r="C143" s="130"/>
    </row>
    <row r="144" spans="1:3" x14ac:dyDescent="0.2">
      <c r="A144" s="315" t="s">
        <v>2389</v>
      </c>
      <c r="B144" t="str">
        <f>IF(ISBLANK(GlobBerMedDisc!$D$19),"",GlobBerMedDisc!$D$19)</f>
        <v/>
      </c>
      <c r="C144" s="130"/>
    </row>
    <row r="145" spans="1:3" x14ac:dyDescent="0.2">
      <c r="A145" s="315" t="s">
        <v>2390</v>
      </c>
      <c r="B145" t="str">
        <f>IF(ISBLANK(GlobBerMedDisc!$D$20),"",GlobBerMedDisc!$D$20)</f>
        <v/>
      </c>
      <c r="C145" s="130"/>
    </row>
    <row r="146" spans="1:3" x14ac:dyDescent="0.2">
      <c r="A146" s="315" t="s">
        <v>2391</v>
      </c>
      <c r="B146" t="str">
        <f>IF(ISBLANK(GlobBerMedDisc!$D$21),"",GlobBerMedDisc!$D$21)</f>
        <v/>
      </c>
      <c r="C146" s="130"/>
    </row>
    <row r="147" spans="1:3" x14ac:dyDescent="0.2">
      <c r="A147" s="315" t="s">
        <v>2392</v>
      </c>
      <c r="B147" t="str">
        <f>IF(ISBLANK(GlobBerMedDisc!$D$22),"",GlobBerMedDisc!$D$22)</f>
        <v/>
      </c>
      <c r="C147" s="130"/>
    </row>
    <row r="148" spans="1:3" x14ac:dyDescent="0.2">
      <c r="A148" s="315" t="s">
        <v>2393</v>
      </c>
      <c r="B148" t="str">
        <f>IF(ISBLANK(GlobBerMedDisc!$D$23),"",GlobBerMedDisc!$D$23)</f>
        <v/>
      </c>
      <c r="C148" s="130"/>
    </row>
    <row r="149" spans="1:3" x14ac:dyDescent="0.2">
      <c r="A149" s="315" t="s">
        <v>2394</v>
      </c>
      <c r="B149" t="str">
        <f>IF(ISBLANK(GlobBerMedDisc!$D$24),"",GlobBerMedDisc!$D$24)</f>
        <v/>
      </c>
      <c r="C149" s="130"/>
    </row>
    <row r="150" spans="1:3" x14ac:dyDescent="0.2">
      <c r="A150" s="315" t="s">
        <v>2395</v>
      </c>
      <c r="B150" t="str">
        <f>IF(ISBLANK(GlobBerMedDisc!$D$25),"",GlobBerMedDisc!$D$25)</f>
        <v/>
      </c>
      <c r="C150" s="130"/>
    </row>
    <row r="151" spans="1:3" x14ac:dyDescent="0.2">
      <c r="A151" s="315" t="s">
        <v>2396</v>
      </c>
      <c r="B151" t="str">
        <f>IF(ISBLANK(GlobBerMedDisc!$D$26),"",GlobBerMedDisc!$D$26)</f>
        <v/>
      </c>
      <c r="C151" s="130"/>
    </row>
    <row r="152" spans="1:3" x14ac:dyDescent="0.2">
      <c r="A152" s="315" t="s">
        <v>2397</v>
      </c>
      <c r="B152" t="str">
        <f>IF(ISBLANK(GlobBerMedDisc!$D$27),"",GlobBerMedDisc!$D$27)</f>
        <v/>
      </c>
      <c r="C152" s="130"/>
    </row>
    <row r="153" spans="1:3" x14ac:dyDescent="0.2">
      <c r="A153" s="315" t="s">
        <v>2398</v>
      </c>
      <c r="B153" t="str">
        <f>IF(ISBLANK(GlobBerMedDisc!$D$28),"",GlobBerMedDisc!$D$28)</f>
        <v/>
      </c>
      <c r="C153" s="130"/>
    </row>
    <row r="154" spans="1:3" x14ac:dyDescent="0.2">
      <c r="A154" s="315" t="s">
        <v>2399</v>
      </c>
      <c r="B154" t="str">
        <f>IF(ISBLANK(GlobBerMedDisc!$D$29),"",GlobBerMedDisc!$D$29)</f>
        <v/>
      </c>
      <c r="C154" s="130"/>
    </row>
    <row r="155" spans="1:3" x14ac:dyDescent="0.2">
      <c r="A155" s="315" t="s">
        <v>2400</v>
      </c>
      <c r="B155" t="str">
        <f>IF(ISBLANK(GlobBerMedDisc!$D$30),"",GlobBerMedDisc!$D$30)</f>
        <v/>
      </c>
      <c r="C155" s="130"/>
    </row>
    <row r="156" spans="1:3" x14ac:dyDescent="0.2">
      <c r="A156" s="315" t="s">
        <v>2401</v>
      </c>
      <c r="B156" t="str">
        <f>IF(ISBLANK(GlobBerMedDisc!$D$31),"",GlobBerMedDisc!$D$31)</f>
        <v/>
      </c>
      <c r="C156" s="130"/>
    </row>
    <row r="157" spans="1:3" x14ac:dyDescent="0.2">
      <c r="A157" s="315" t="s">
        <v>2402</v>
      </c>
      <c r="B157" t="str">
        <f>IF(ISBLANK(GlobBerMedDisc!$U$2),"",GlobBerMedDisc!$U$2)</f>
        <v/>
      </c>
      <c r="C157" s="130"/>
    </row>
    <row r="158" spans="1:3" x14ac:dyDescent="0.2">
      <c r="A158" s="315" t="s">
        <v>2403</v>
      </c>
      <c r="B158" t="str">
        <f>IF(ISBLANK(GlobBerMedDisc!$U$3),"",GlobBerMedDisc!$U$3)</f>
        <v/>
      </c>
      <c r="C158" s="130"/>
    </row>
    <row r="159" spans="1:3" x14ac:dyDescent="0.2">
      <c r="A159" s="315" t="s">
        <v>2404</v>
      </c>
      <c r="B159" t="str">
        <f>IF(ISBLANK(GlobBerMedDisc!$U$4),"",GlobBerMedDisc!$U$4)</f>
        <v/>
      </c>
      <c r="C159" s="130"/>
    </row>
    <row r="160" spans="1:3" x14ac:dyDescent="0.2">
      <c r="A160" s="315" t="s">
        <v>2405</v>
      </c>
      <c r="B160" t="str">
        <f>IF(ISBLANK(GlobBerMedDisc!$U$5),"",GlobBerMedDisc!$U$5)</f>
        <v/>
      </c>
      <c r="C160" s="130"/>
    </row>
    <row r="161" spans="1:3" x14ac:dyDescent="0.2">
      <c r="A161" s="315" t="s">
        <v>2406</v>
      </c>
      <c r="B161" t="str">
        <f>IF(ISBLANK(GlobBerMedDisc!$U$6),"",GlobBerMedDisc!$U$6)</f>
        <v/>
      </c>
      <c r="C161" s="130"/>
    </row>
    <row r="162" spans="1:3" x14ac:dyDescent="0.2">
      <c r="A162" s="315" t="s">
        <v>2407</v>
      </c>
      <c r="B162" t="str">
        <f>IF(ISBLANK(GlobBerMedDisc!$U$7),"",GlobBerMedDisc!$U$7)</f>
        <v/>
      </c>
      <c r="C162" s="130"/>
    </row>
    <row r="163" spans="1:3" x14ac:dyDescent="0.2">
      <c r="A163" s="315" t="s">
        <v>2408</v>
      </c>
      <c r="B163" t="str">
        <f>IF(ISBLANK(GlobBerMedDisc!$U$8),"",GlobBerMedDisc!$U$8)</f>
        <v/>
      </c>
      <c r="C163" s="130"/>
    </row>
    <row r="164" spans="1:3" x14ac:dyDescent="0.2">
      <c r="A164" s="315" t="s">
        <v>2409</v>
      </c>
      <c r="B164" t="str">
        <f>IF(ISBLANK(GlobBerMedDisc!$U$9),"",GlobBerMedDisc!$U$9)</f>
        <v/>
      </c>
      <c r="C164" s="130"/>
    </row>
    <row r="165" spans="1:3" x14ac:dyDescent="0.2">
      <c r="A165" s="315" t="s">
        <v>2410</v>
      </c>
      <c r="B165" t="str">
        <f>IF(ISBLANK(GlobBerMedDisc!$U$10),"",GlobBerMedDisc!$U$10)</f>
        <v/>
      </c>
      <c r="C165" s="130"/>
    </row>
    <row r="166" spans="1:3" x14ac:dyDescent="0.2">
      <c r="A166" s="315" t="s">
        <v>2411</v>
      </c>
      <c r="B166" t="str">
        <f>IF(ISBLANK(GlobBerMedDisc!$U$11),"",GlobBerMedDisc!$U$11)</f>
        <v/>
      </c>
      <c r="C166" s="130"/>
    </row>
    <row r="167" spans="1:3" x14ac:dyDescent="0.2">
      <c r="A167" s="315" t="s">
        <v>2412</v>
      </c>
      <c r="B167" t="str">
        <f>IF(ISBLANK(GlobBerMedDisc!$U$12),"",GlobBerMedDisc!$U$12)</f>
        <v/>
      </c>
      <c r="C167" s="130"/>
    </row>
    <row r="168" spans="1:3" x14ac:dyDescent="0.2">
      <c r="A168" s="315" t="s">
        <v>2413</v>
      </c>
      <c r="B168" t="str">
        <f>IF(ISBLANK(GlobBerMedDisc!$U$13),"",GlobBerMedDisc!$U$13)</f>
        <v/>
      </c>
      <c r="C168" s="130"/>
    </row>
    <row r="169" spans="1:3" x14ac:dyDescent="0.2">
      <c r="A169" s="315" t="s">
        <v>2414</v>
      </c>
      <c r="B169" t="str">
        <f>IF(ISBLANK(GlobBerMedDisc!$U$14),"",GlobBerMedDisc!$U$14)</f>
        <v/>
      </c>
      <c r="C169" s="130"/>
    </row>
    <row r="170" spans="1:3" x14ac:dyDescent="0.2">
      <c r="A170" s="315" t="s">
        <v>2415</v>
      </c>
      <c r="B170" t="str">
        <f>IF(ISBLANK(GlobBerMedDisc!$U$15),"",GlobBerMedDisc!$U$15)</f>
        <v/>
      </c>
      <c r="C170" s="130"/>
    </row>
    <row r="171" spans="1:3" x14ac:dyDescent="0.2">
      <c r="A171" s="315" t="s">
        <v>2416</v>
      </c>
      <c r="B171" t="str">
        <f>IF(ISBLANK(GlobBerMedDisc!$U$16),"",GlobBerMedDisc!$U$16)</f>
        <v/>
      </c>
      <c r="C171" s="130"/>
    </row>
    <row r="172" spans="1:3" x14ac:dyDescent="0.2">
      <c r="A172" s="315" t="s">
        <v>2417</v>
      </c>
      <c r="B172" t="str">
        <f>IF(ISBLANK(GlobBerMedDisc!$U$17),"",GlobBerMedDisc!$U$17)</f>
        <v/>
      </c>
      <c r="C172" s="130"/>
    </row>
    <row r="173" spans="1:3" x14ac:dyDescent="0.2">
      <c r="A173" s="315" t="s">
        <v>2418</v>
      </c>
      <c r="B173" t="str">
        <f>IF(ISBLANK(GlobBerMedDisc!$U$18),"",GlobBerMedDisc!$U$18)</f>
        <v/>
      </c>
      <c r="C173" s="130"/>
    </row>
    <row r="174" spans="1:3" x14ac:dyDescent="0.2">
      <c r="A174" s="315" t="s">
        <v>2419</v>
      </c>
      <c r="B174" t="str">
        <f>IF(ISBLANK(GlobBerMedDisc!$U$19),"",GlobBerMedDisc!$U$19)</f>
        <v/>
      </c>
      <c r="C174" s="130"/>
    </row>
    <row r="175" spans="1:3" x14ac:dyDescent="0.2">
      <c r="A175" s="315" t="s">
        <v>2420</v>
      </c>
      <c r="B175" t="str">
        <f>IF(ISBLANK(GlobBerMedDisc!$U$20),"",GlobBerMedDisc!$U$20)</f>
        <v/>
      </c>
      <c r="C175" s="130"/>
    </row>
    <row r="176" spans="1:3" x14ac:dyDescent="0.2">
      <c r="A176" s="315" t="s">
        <v>2421</v>
      </c>
      <c r="B176" t="str">
        <f>IF(ISBLANK(GlobBerMedDisc!$U$21),"",GlobBerMedDisc!$U$21)</f>
        <v/>
      </c>
      <c r="C176" s="130"/>
    </row>
    <row r="177" spans="1:3" x14ac:dyDescent="0.2">
      <c r="A177" s="315" t="s">
        <v>2422</v>
      </c>
      <c r="B177" t="str">
        <f>IF(ISBLANK(GlobBerMedDisc!$U$22),"",GlobBerMedDisc!$U$22)</f>
        <v/>
      </c>
      <c r="C177" s="130"/>
    </row>
    <row r="178" spans="1:3" x14ac:dyDescent="0.2">
      <c r="A178" s="315" t="s">
        <v>2423</v>
      </c>
      <c r="B178" t="str">
        <f>IF(ISBLANK(GlobBerMedDisc!$U$23),"",GlobBerMedDisc!$U$23)</f>
        <v/>
      </c>
      <c r="C178" s="130"/>
    </row>
    <row r="179" spans="1:3" x14ac:dyDescent="0.2">
      <c r="A179" s="315" t="s">
        <v>2424</v>
      </c>
      <c r="B179" t="str">
        <f>IF(ISBLANK(GlobBerMedDisc!$U$24),"",GlobBerMedDisc!$U$24)</f>
        <v/>
      </c>
      <c r="C179" s="130"/>
    </row>
    <row r="180" spans="1:3" x14ac:dyDescent="0.2">
      <c r="A180" s="315" t="s">
        <v>2425</v>
      </c>
      <c r="B180" t="str">
        <f>IF(ISBLANK(GlobBerMedDisc!$U$25),"",GlobBerMedDisc!$U$25)</f>
        <v/>
      </c>
      <c r="C180" s="130"/>
    </row>
    <row r="181" spans="1:3" x14ac:dyDescent="0.2">
      <c r="A181" s="315" t="s">
        <v>2426</v>
      </c>
      <c r="B181" t="str">
        <f>IF(ISBLANK(GlobBerMedDisc!$U$26),"",GlobBerMedDisc!$U$26)</f>
        <v/>
      </c>
      <c r="C181" s="130"/>
    </row>
    <row r="182" spans="1:3" x14ac:dyDescent="0.2">
      <c r="A182" s="315" t="s">
        <v>2427</v>
      </c>
      <c r="B182" t="str">
        <f>IF(ISBLANK(GlobBerMedDisc!$U$27),"",GlobBerMedDisc!$U$27)</f>
        <v/>
      </c>
      <c r="C182" s="130"/>
    </row>
    <row r="183" spans="1:3" x14ac:dyDescent="0.2">
      <c r="A183" s="315" t="s">
        <v>2428</v>
      </c>
      <c r="B183" t="str">
        <f>IF(ISBLANK(GlobBerMedDisc!$U$28),"",GlobBerMedDisc!$U$28)</f>
        <v/>
      </c>
      <c r="C183" s="130"/>
    </row>
    <row r="184" spans="1:3" x14ac:dyDescent="0.2">
      <c r="A184" s="315" t="s">
        <v>2429</v>
      </c>
      <c r="B184" t="str">
        <f>IF(ISBLANK(GlobBerMedDisc!$U$29),"",GlobBerMedDisc!$U$29)</f>
        <v/>
      </c>
      <c r="C184" s="130"/>
    </row>
    <row r="185" spans="1:3" x14ac:dyDescent="0.2">
      <c r="A185" s="315" t="s">
        <v>2430</v>
      </c>
      <c r="B185" t="str">
        <f>IF(ISBLANK(GlobBerMedDisc!$U$30),"",GlobBerMedDisc!$U$30)</f>
        <v/>
      </c>
      <c r="C185" s="130"/>
    </row>
    <row r="186" spans="1:3" x14ac:dyDescent="0.2">
      <c r="A186" s="315" t="s">
        <v>2431</v>
      </c>
      <c r="B186" t="str">
        <f>IF(ISBLANK(GlobBerMedDisc!$U$31),"",GlobBerMedDisc!$U$31)</f>
        <v/>
      </c>
      <c r="C186" s="130"/>
    </row>
    <row r="187" spans="1:3" x14ac:dyDescent="0.2">
      <c r="A187" s="315" t="s">
        <v>2432</v>
      </c>
      <c r="B187" t="str">
        <f>IF(ISBLANK(GlobBerMedDisc!$B$2),"",GlobBerMedDisc!$B$2)</f>
        <v/>
      </c>
      <c r="C187" s="130"/>
    </row>
    <row r="188" spans="1:3" x14ac:dyDescent="0.2">
      <c r="A188" s="315" t="s">
        <v>2433</v>
      </c>
      <c r="B188" t="str">
        <f>IF(ISBLANK(GlobBerMedDisc!$B$3),"",GlobBerMedDisc!$B$3)</f>
        <v/>
      </c>
      <c r="C188" s="130"/>
    </row>
    <row r="189" spans="1:3" x14ac:dyDescent="0.2">
      <c r="A189" s="315" t="s">
        <v>2434</v>
      </c>
      <c r="B189" t="str">
        <f>IF(ISBLANK(GlobBerMedDisc!$B$4),"",GlobBerMedDisc!$B$4)</f>
        <v/>
      </c>
      <c r="C189" s="130"/>
    </row>
    <row r="190" spans="1:3" x14ac:dyDescent="0.2">
      <c r="A190" s="315" t="s">
        <v>2435</v>
      </c>
      <c r="B190" t="str">
        <f>IF(ISBLANK(GlobBerMedDisc!$B$5),"",GlobBerMedDisc!$B$5)</f>
        <v/>
      </c>
      <c r="C190" s="130"/>
    </row>
    <row r="191" spans="1:3" x14ac:dyDescent="0.2">
      <c r="A191" s="315" t="s">
        <v>2436</v>
      </c>
      <c r="B191" t="str">
        <f>IF(ISBLANK(GlobBerMedDisc!$B$6),"",GlobBerMedDisc!$B$6)</f>
        <v/>
      </c>
      <c r="C191" s="130"/>
    </row>
    <row r="192" spans="1:3" x14ac:dyDescent="0.2">
      <c r="A192" s="315" t="s">
        <v>2437</v>
      </c>
      <c r="B192" t="str">
        <f>IF(ISBLANK(GlobBerMedDisc!$B$7),"",GlobBerMedDisc!$B$7)</f>
        <v/>
      </c>
      <c r="C192" s="130"/>
    </row>
    <row r="193" spans="1:3" x14ac:dyDescent="0.2">
      <c r="A193" s="315" t="s">
        <v>2438</v>
      </c>
      <c r="B193" t="str">
        <f>IF(ISBLANK(GlobBerMedDisc!$B$8),"",GlobBerMedDisc!$B$8)</f>
        <v/>
      </c>
      <c r="C193" s="130"/>
    </row>
    <row r="194" spans="1:3" x14ac:dyDescent="0.2">
      <c r="A194" s="315" t="s">
        <v>2439</v>
      </c>
      <c r="B194" t="str">
        <f>IF(ISBLANK(GlobBerMedDisc!$B$9),"",GlobBerMedDisc!$B$9)</f>
        <v/>
      </c>
      <c r="C194" s="130"/>
    </row>
    <row r="195" spans="1:3" x14ac:dyDescent="0.2">
      <c r="A195" s="315" t="s">
        <v>2440</v>
      </c>
      <c r="B195" t="str">
        <f>IF(ISBLANK(GlobBerMedDisc!$B$10),"",GlobBerMedDisc!$B$10)</f>
        <v/>
      </c>
      <c r="C195" s="130"/>
    </row>
    <row r="196" spans="1:3" x14ac:dyDescent="0.2">
      <c r="A196" s="315" t="s">
        <v>2441</v>
      </c>
      <c r="B196" t="str">
        <f>IF(ISBLANK(GlobBerMedDisc!$B$11),"",GlobBerMedDisc!$B$11)</f>
        <v/>
      </c>
      <c r="C196" s="130"/>
    </row>
    <row r="197" spans="1:3" x14ac:dyDescent="0.2">
      <c r="A197" s="315" t="s">
        <v>2442</v>
      </c>
      <c r="B197" t="str">
        <f>IF(ISBLANK(GlobBerMedDisc!$B$12),"",GlobBerMedDisc!$B$12)</f>
        <v/>
      </c>
      <c r="C197" s="130"/>
    </row>
    <row r="198" spans="1:3" x14ac:dyDescent="0.2">
      <c r="A198" s="315" t="s">
        <v>2443</v>
      </c>
      <c r="B198" t="str">
        <f>IF(ISBLANK(GlobBerMedDisc!$B$13),"",GlobBerMedDisc!$B$13)</f>
        <v/>
      </c>
      <c r="C198" s="130"/>
    </row>
    <row r="199" spans="1:3" x14ac:dyDescent="0.2">
      <c r="A199" s="315" t="s">
        <v>2444</v>
      </c>
      <c r="B199" t="str">
        <f>IF(ISBLANK(GlobBerMedDisc!$B$14),"",GlobBerMedDisc!$B$14)</f>
        <v/>
      </c>
      <c r="C199" s="130"/>
    </row>
    <row r="200" spans="1:3" x14ac:dyDescent="0.2">
      <c r="A200" s="315" t="s">
        <v>2445</v>
      </c>
      <c r="B200" t="str">
        <f>IF(ISBLANK(GlobBerMedDisc!$B$15),"",GlobBerMedDisc!$B$15)</f>
        <v/>
      </c>
      <c r="C200" s="130"/>
    </row>
    <row r="201" spans="1:3" x14ac:dyDescent="0.2">
      <c r="A201" s="315" t="s">
        <v>2446</v>
      </c>
      <c r="B201" t="str">
        <f>IF(ISBLANK(GlobBerMedDisc!$B$16),"",GlobBerMedDisc!$B$16)</f>
        <v/>
      </c>
      <c r="C201" s="130"/>
    </row>
    <row r="202" spans="1:3" x14ac:dyDescent="0.2">
      <c r="A202" s="315" t="s">
        <v>2447</v>
      </c>
      <c r="B202" t="str">
        <f>IF(ISBLANK(GlobBerMedDisc!$B$17),"",GlobBerMedDisc!$B$17)</f>
        <v/>
      </c>
      <c r="C202" s="130"/>
    </row>
    <row r="203" spans="1:3" x14ac:dyDescent="0.2">
      <c r="A203" s="315" t="s">
        <v>2448</v>
      </c>
      <c r="B203" t="str">
        <f>IF(ISBLANK(GlobBerMedDisc!$B$18),"",GlobBerMedDisc!$B$18)</f>
        <v/>
      </c>
      <c r="C203" s="130"/>
    </row>
    <row r="204" spans="1:3" x14ac:dyDescent="0.2">
      <c r="A204" s="315" t="s">
        <v>2449</v>
      </c>
      <c r="B204" t="str">
        <f>IF(ISBLANK(GlobBerMedDisc!$B$19),"",GlobBerMedDisc!$B$19)</f>
        <v/>
      </c>
      <c r="C204" s="130"/>
    </row>
    <row r="205" spans="1:3" x14ac:dyDescent="0.2">
      <c r="A205" s="315" t="s">
        <v>2450</v>
      </c>
      <c r="B205" t="str">
        <f>IF(ISBLANK(GlobBerMedDisc!$B$20),"",GlobBerMedDisc!$B$20)</f>
        <v/>
      </c>
      <c r="C205" s="130"/>
    </row>
    <row r="206" spans="1:3" x14ac:dyDescent="0.2">
      <c r="A206" s="315" t="s">
        <v>2451</v>
      </c>
      <c r="B206" t="str">
        <f>IF(ISBLANK(GlobBerMedDisc!$B$21),"",GlobBerMedDisc!$B$21)</f>
        <v/>
      </c>
      <c r="C206" s="130"/>
    </row>
    <row r="207" spans="1:3" x14ac:dyDescent="0.2">
      <c r="A207" s="315" t="s">
        <v>2452</v>
      </c>
      <c r="B207" t="str">
        <f>IF(ISBLANK(GlobBerMedDisc!$B$22),"",GlobBerMedDisc!$B$22)</f>
        <v/>
      </c>
      <c r="C207" s="130"/>
    </row>
    <row r="208" spans="1:3" x14ac:dyDescent="0.2">
      <c r="A208" s="315" t="s">
        <v>2453</v>
      </c>
      <c r="B208" t="str">
        <f>IF(ISBLANK(GlobBerMedDisc!$B$23),"",GlobBerMedDisc!$B$23)</f>
        <v/>
      </c>
      <c r="C208" s="130"/>
    </row>
    <row r="209" spans="1:3" x14ac:dyDescent="0.2">
      <c r="A209" s="315" t="s">
        <v>2454</v>
      </c>
      <c r="B209" t="str">
        <f>IF(ISBLANK(GlobBerMedDisc!$B$24),"",GlobBerMedDisc!$B$24)</f>
        <v/>
      </c>
      <c r="C209" s="130"/>
    </row>
    <row r="210" spans="1:3" x14ac:dyDescent="0.2">
      <c r="A210" s="315" t="s">
        <v>2455</v>
      </c>
      <c r="B210" t="str">
        <f>IF(ISBLANK(GlobBerMedDisc!$B$25),"",GlobBerMedDisc!$B$25)</f>
        <v/>
      </c>
      <c r="C210" s="130"/>
    </row>
    <row r="211" spans="1:3" x14ac:dyDescent="0.2">
      <c r="A211" s="315" t="s">
        <v>2456</v>
      </c>
      <c r="B211" t="str">
        <f>IF(ISBLANK(GlobBerMedDisc!$B$26),"",GlobBerMedDisc!$B$26)</f>
        <v/>
      </c>
      <c r="C211" s="130"/>
    </row>
    <row r="212" spans="1:3" x14ac:dyDescent="0.2">
      <c r="A212" s="315" t="s">
        <v>2457</v>
      </c>
      <c r="B212" t="str">
        <f>IF(ISBLANK(GlobBerMedDisc!$B$27),"",GlobBerMedDisc!$B$27)</f>
        <v/>
      </c>
      <c r="C212" s="130"/>
    </row>
    <row r="213" spans="1:3" x14ac:dyDescent="0.2">
      <c r="A213" s="315" t="s">
        <v>2458</v>
      </c>
      <c r="B213" t="str">
        <f>IF(ISBLANK(GlobBerMedDisc!$B$28),"",GlobBerMedDisc!$B$28)</f>
        <v/>
      </c>
      <c r="C213" s="130"/>
    </row>
    <row r="214" spans="1:3" x14ac:dyDescent="0.2">
      <c r="A214" s="315" t="s">
        <v>2459</v>
      </c>
      <c r="B214" t="str">
        <f>IF(ISBLANK(GlobBerMedDisc!$B$29),"",GlobBerMedDisc!$B$29)</f>
        <v/>
      </c>
      <c r="C214" s="130"/>
    </row>
    <row r="215" spans="1:3" x14ac:dyDescent="0.2">
      <c r="A215" s="315" t="s">
        <v>2460</v>
      </c>
      <c r="B215" t="str">
        <f>IF(ISBLANK(GlobBerMedDisc!$B$30),"",GlobBerMedDisc!$B$30)</f>
        <v/>
      </c>
      <c r="C215" s="130"/>
    </row>
    <row r="216" spans="1:3" x14ac:dyDescent="0.2">
      <c r="A216" s="315" t="s">
        <v>2461</v>
      </c>
      <c r="B216" t="str">
        <f>IF(ISBLANK(GlobBerMedDisc!$B$31),"",GlobBerMedDisc!$B$31)</f>
        <v/>
      </c>
      <c r="C216" s="130"/>
    </row>
    <row r="217" spans="1:3" x14ac:dyDescent="0.2">
      <c r="A217" s="315" t="s">
        <v>2462</v>
      </c>
      <c r="B217">
        <f>IF(ISBLANK(GlobBerMedDisc!$Q$2),"",GlobBerMedDisc!$Q$2)</f>
        <v>0</v>
      </c>
      <c r="C217" s="317">
        <v>0</v>
      </c>
    </row>
    <row r="218" spans="1:3" x14ac:dyDescent="0.2">
      <c r="A218" s="315" t="s">
        <v>2463</v>
      </c>
      <c r="B218">
        <f>IF(ISBLANK(GlobBerMedDisc!$Q$3),"",GlobBerMedDisc!$Q$3)</f>
        <v>0</v>
      </c>
      <c r="C218" s="317">
        <v>0</v>
      </c>
    </row>
    <row r="219" spans="1:3" x14ac:dyDescent="0.2">
      <c r="A219" s="315" t="s">
        <v>2464</v>
      </c>
      <c r="B219">
        <f>IF(ISBLANK(GlobBerMedDisc!$Q$4),"",GlobBerMedDisc!$Q$4)</f>
        <v>0</v>
      </c>
      <c r="C219" s="317">
        <v>0</v>
      </c>
    </row>
    <row r="220" spans="1:3" x14ac:dyDescent="0.2">
      <c r="A220" s="315" t="s">
        <v>2465</v>
      </c>
      <c r="B220">
        <f>IF(ISBLANK(GlobBerMedDisc!$Q$5),"",GlobBerMedDisc!$Q$5)</f>
        <v>0</v>
      </c>
      <c r="C220" s="317">
        <v>0</v>
      </c>
    </row>
    <row r="221" spans="1:3" x14ac:dyDescent="0.2">
      <c r="A221" s="315" t="s">
        <v>2466</v>
      </c>
      <c r="B221">
        <f>IF(ISBLANK(GlobBerMedDisc!$Q$6),"",GlobBerMedDisc!$Q$6)</f>
        <v>0</v>
      </c>
      <c r="C221" s="317">
        <v>0</v>
      </c>
    </row>
    <row r="222" spans="1:3" x14ac:dyDescent="0.2">
      <c r="A222" s="315" t="s">
        <v>2467</v>
      </c>
      <c r="B222">
        <f>IF(ISBLANK(GlobBerMedDisc!$Q$7),"",GlobBerMedDisc!$Q$7)</f>
        <v>0</v>
      </c>
      <c r="C222" s="317">
        <v>0</v>
      </c>
    </row>
    <row r="223" spans="1:3" x14ac:dyDescent="0.2">
      <c r="A223" s="315" t="s">
        <v>2468</v>
      </c>
      <c r="B223">
        <f>IF(ISBLANK(GlobBerMedDisc!$Q$8),"",GlobBerMedDisc!$Q$8)</f>
        <v>0</v>
      </c>
      <c r="C223" s="317">
        <v>0</v>
      </c>
    </row>
    <row r="224" spans="1:3" x14ac:dyDescent="0.2">
      <c r="A224" s="315" t="s">
        <v>2469</v>
      </c>
      <c r="B224">
        <f>IF(ISBLANK(GlobBerMedDisc!$Q$9),"",GlobBerMedDisc!$Q$9)</f>
        <v>0</v>
      </c>
      <c r="C224" s="317">
        <v>0</v>
      </c>
    </row>
    <row r="225" spans="1:3" x14ac:dyDescent="0.2">
      <c r="A225" s="315" t="s">
        <v>2470</v>
      </c>
      <c r="B225">
        <f>IF(ISBLANK(GlobBerMedDisc!$Q$10),"",GlobBerMedDisc!$Q$10)</f>
        <v>0</v>
      </c>
      <c r="C225" s="317">
        <v>0</v>
      </c>
    </row>
    <row r="226" spans="1:3" x14ac:dyDescent="0.2">
      <c r="A226" s="315" t="s">
        <v>2471</v>
      </c>
      <c r="B226">
        <f>IF(ISBLANK(GlobBerMedDisc!$Q$11),"",GlobBerMedDisc!$Q$11)</f>
        <v>0</v>
      </c>
      <c r="C226" s="317">
        <v>0</v>
      </c>
    </row>
    <row r="227" spans="1:3" x14ac:dyDescent="0.2">
      <c r="A227" s="315" t="s">
        <v>2472</v>
      </c>
      <c r="B227">
        <f>IF(ISBLANK(GlobBerMedDisc!$Q$12),"",GlobBerMedDisc!$Q$12)</f>
        <v>0</v>
      </c>
      <c r="C227" s="317">
        <v>0</v>
      </c>
    </row>
    <row r="228" spans="1:3" x14ac:dyDescent="0.2">
      <c r="A228" s="315" t="s">
        <v>2473</v>
      </c>
      <c r="B228">
        <f>IF(ISBLANK(GlobBerMedDisc!$Q$13),"",GlobBerMedDisc!$Q$13)</f>
        <v>0</v>
      </c>
      <c r="C228" s="317">
        <v>0</v>
      </c>
    </row>
    <row r="229" spans="1:3" x14ac:dyDescent="0.2">
      <c r="A229" s="315" t="s">
        <v>2474</v>
      </c>
      <c r="B229">
        <f>IF(ISBLANK(GlobBerMedDisc!$Q$14),"",GlobBerMedDisc!$Q$14)</f>
        <v>0</v>
      </c>
      <c r="C229" s="317">
        <v>0</v>
      </c>
    </row>
    <row r="230" spans="1:3" x14ac:dyDescent="0.2">
      <c r="A230" s="315" t="s">
        <v>2475</v>
      </c>
      <c r="B230">
        <f>IF(ISBLANK(GlobBerMedDisc!$Q$15),"",GlobBerMedDisc!$Q$15)</f>
        <v>0</v>
      </c>
      <c r="C230" s="317">
        <v>0</v>
      </c>
    </row>
    <row r="231" spans="1:3" x14ac:dyDescent="0.2">
      <c r="A231" s="315" t="s">
        <v>2476</v>
      </c>
      <c r="B231">
        <f>IF(ISBLANK(GlobBerMedDisc!$Q$16),"",GlobBerMedDisc!$Q$16)</f>
        <v>0</v>
      </c>
      <c r="C231" s="317">
        <v>0</v>
      </c>
    </row>
    <row r="232" spans="1:3" x14ac:dyDescent="0.2">
      <c r="A232" s="315" t="s">
        <v>2477</v>
      </c>
      <c r="B232">
        <f>IF(ISBLANK(GlobBerMedDisc!$Q$17),"",GlobBerMedDisc!$Q$17)</f>
        <v>0</v>
      </c>
      <c r="C232" s="317">
        <v>0</v>
      </c>
    </row>
    <row r="233" spans="1:3" x14ac:dyDescent="0.2">
      <c r="A233" s="315" t="s">
        <v>2478</v>
      </c>
      <c r="B233">
        <f>IF(ISBLANK(GlobBerMedDisc!$Q$18),"",GlobBerMedDisc!$Q$18)</f>
        <v>0</v>
      </c>
      <c r="C233" s="317">
        <v>0</v>
      </c>
    </row>
    <row r="234" spans="1:3" x14ac:dyDescent="0.2">
      <c r="A234" s="315" t="s">
        <v>2479</v>
      </c>
      <c r="B234">
        <f>IF(ISBLANK(GlobBerMedDisc!$Q$19),"",GlobBerMedDisc!$Q$19)</f>
        <v>0</v>
      </c>
      <c r="C234" s="317">
        <v>0</v>
      </c>
    </row>
    <row r="235" spans="1:3" x14ac:dyDescent="0.2">
      <c r="A235" s="315" t="s">
        <v>2480</v>
      </c>
      <c r="B235">
        <f>IF(ISBLANK(GlobBerMedDisc!$Q$20),"",GlobBerMedDisc!$Q$20)</f>
        <v>0</v>
      </c>
      <c r="C235" s="317">
        <v>0</v>
      </c>
    </row>
    <row r="236" spans="1:3" x14ac:dyDescent="0.2">
      <c r="A236" s="315" t="s">
        <v>2481</v>
      </c>
      <c r="B236">
        <f>IF(ISBLANK(GlobBerMedDisc!$Q$21),"",GlobBerMedDisc!$Q$21)</f>
        <v>0</v>
      </c>
      <c r="C236" s="317">
        <v>0</v>
      </c>
    </row>
    <row r="237" spans="1:3" x14ac:dyDescent="0.2">
      <c r="A237" s="315" t="s">
        <v>2482</v>
      </c>
      <c r="B237">
        <f>IF(ISBLANK(GlobBerMedDisc!$Q$22),"",GlobBerMedDisc!$Q$22)</f>
        <v>0</v>
      </c>
      <c r="C237" s="317">
        <v>0</v>
      </c>
    </row>
    <row r="238" spans="1:3" x14ac:dyDescent="0.2">
      <c r="A238" s="315" t="s">
        <v>2483</v>
      </c>
      <c r="B238">
        <f>IF(ISBLANK(GlobBerMedDisc!$Q$23),"",GlobBerMedDisc!$Q$23)</f>
        <v>0</v>
      </c>
      <c r="C238" s="317">
        <v>0</v>
      </c>
    </row>
    <row r="239" spans="1:3" x14ac:dyDescent="0.2">
      <c r="A239" s="315" t="s">
        <v>2484</v>
      </c>
      <c r="B239">
        <f>IF(ISBLANK(GlobBerMedDisc!$Q$24),"",GlobBerMedDisc!$Q$24)</f>
        <v>0</v>
      </c>
      <c r="C239" s="317">
        <v>0</v>
      </c>
    </row>
    <row r="240" spans="1:3" x14ac:dyDescent="0.2">
      <c r="A240" s="315" t="s">
        <v>2485</v>
      </c>
      <c r="B240">
        <f>IF(ISBLANK(GlobBerMedDisc!$Q$25),"",GlobBerMedDisc!$Q$25)</f>
        <v>0</v>
      </c>
      <c r="C240" s="317">
        <v>0</v>
      </c>
    </row>
    <row r="241" spans="1:3" x14ac:dyDescent="0.2">
      <c r="A241" s="315" t="s">
        <v>2486</v>
      </c>
      <c r="B241">
        <f>IF(ISBLANK(GlobBerMedDisc!$Q$26),"",GlobBerMedDisc!$Q$26)</f>
        <v>0</v>
      </c>
      <c r="C241" s="317">
        <v>0</v>
      </c>
    </row>
    <row r="242" spans="1:3" x14ac:dyDescent="0.2">
      <c r="A242" s="315" t="s">
        <v>2487</v>
      </c>
      <c r="B242">
        <f>IF(ISBLANK(GlobBerMedDisc!$Q$27),"",GlobBerMedDisc!$Q$27)</f>
        <v>0</v>
      </c>
      <c r="C242" s="317">
        <v>0</v>
      </c>
    </row>
    <row r="243" spans="1:3" x14ac:dyDescent="0.2">
      <c r="A243" s="315" t="s">
        <v>2488</v>
      </c>
      <c r="B243">
        <f>IF(ISBLANK(GlobBerMedDisc!$Q$28),"",GlobBerMedDisc!$Q$28)</f>
        <v>0</v>
      </c>
      <c r="C243" s="317">
        <v>0</v>
      </c>
    </row>
    <row r="244" spans="1:3" x14ac:dyDescent="0.2">
      <c r="A244" s="315" t="s">
        <v>2489</v>
      </c>
      <c r="B244">
        <f>IF(ISBLANK(GlobBerMedDisc!$Q$29),"",GlobBerMedDisc!$Q$29)</f>
        <v>0</v>
      </c>
      <c r="C244" s="317">
        <v>0</v>
      </c>
    </row>
    <row r="245" spans="1:3" x14ac:dyDescent="0.2">
      <c r="A245" s="315" t="s">
        <v>2490</v>
      </c>
      <c r="B245">
        <f>IF(ISBLANK(GlobBerMedDisc!$Q$30),"",GlobBerMedDisc!$Q$30)</f>
        <v>0</v>
      </c>
      <c r="C245" s="317">
        <v>0</v>
      </c>
    </row>
    <row r="246" spans="1:3" x14ac:dyDescent="0.2">
      <c r="A246" s="315" t="s">
        <v>2491</v>
      </c>
      <c r="B246">
        <f>IF(ISBLANK(GlobBerMedDisc!$Q$31),"",GlobBerMedDisc!$Q$31)</f>
        <v>0</v>
      </c>
      <c r="C246" s="317">
        <v>0</v>
      </c>
    </row>
    <row r="247" spans="1:3" s="315" customFormat="1" x14ac:dyDescent="0.2">
      <c r="A247" s="315" t="s">
        <v>2492</v>
      </c>
      <c r="B247" s="315">
        <f>IF(ISBLANK(GlobBerMedDisc!$O$2),"",GlobBerMedDisc!$O$2)</f>
        <v>1</v>
      </c>
      <c r="C247" s="17">
        <v>1</v>
      </c>
    </row>
    <row r="248" spans="1:3" s="315" customFormat="1" x14ac:dyDescent="0.2">
      <c r="A248" s="315" t="s">
        <v>2493</v>
      </c>
      <c r="B248" s="315">
        <f>IF(ISBLANK(GlobBerMedDisc!$O$3),"",GlobBerMedDisc!$O$3)</f>
        <v>1</v>
      </c>
      <c r="C248" s="17">
        <v>1</v>
      </c>
    </row>
    <row r="249" spans="1:3" s="315" customFormat="1" x14ac:dyDescent="0.2">
      <c r="A249" s="315" t="s">
        <v>2494</v>
      </c>
      <c r="B249" s="315">
        <f>IF(ISBLANK(GlobBerMedDisc!$O$4),"",GlobBerMedDisc!$O$4)</f>
        <v>1</v>
      </c>
      <c r="C249" s="17">
        <v>1</v>
      </c>
    </row>
    <row r="250" spans="1:3" s="315" customFormat="1" x14ac:dyDescent="0.2">
      <c r="A250" s="315" t="s">
        <v>2495</v>
      </c>
      <c r="B250" s="315">
        <f>IF(ISBLANK(GlobBerMedDisc!$O$5),"",GlobBerMedDisc!$O$5)</f>
        <v>1</v>
      </c>
      <c r="C250" s="17">
        <v>1</v>
      </c>
    </row>
    <row r="251" spans="1:3" s="315" customFormat="1" x14ac:dyDescent="0.2">
      <c r="A251" s="315" t="s">
        <v>2496</v>
      </c>
      <c r="B251" s="315">
        <f>IF(ISBLANK(GlobBerMedDisc!$O$6),"",GlobBerMedDisc!$O$6)</f>
        <v>1</v>
      </c>
      <c r="C251" s="17">
        <v>1</v>
      </c>
    </row>
    <row r="252" spans="1:3" s="315" customFormat="1" x14ac:dyDescent="0.2">
      <c r="A252" s="315" t="s">
        <v>2497</v>
      </c>
      <c r="B252" s="315">
        <f>IF(ISBLANK(GlobBerMedDisc!$O$7),"",GlobBerMedDisc!$O$7)</f>
        <v>1</v>
      </c>
      <c r="C252" s="17">
        <v>1</v>
      </c>
    </row>
    <row r="253" spans="1:3" s="315" customFormat="1" x14ac:dyDescent="0.2">
      <c r="A253" s="315" t="s">
        <v>2498</v>
      </c>
      <c r="B253" s="315">
        <f>IF(ISBLANK(GlobBerMedDisc!$O$8),"",GlobBerMedDisc!$O$8)</f>
        <v>1</v>
      </c>
      <c r="C253" s="17">
        <v>1</v>
      </c>
    </row>
    <row r="254" spans="1:3" s="315" customFormat="1" x14ac:dyDescent="0.2">
      <c r="A254" s="315" t="s">
        <v>2499</v>
      </c>
      <c r="B254" s="315">
        <f>IF(ISBLANK(GlobBerMedDisc!$O$9),"",GlobBerMedDisc!$O$9)</f>
        <v>1</v>
      </c>
      <c r="C254" s="17">
        <v>1</v>
      </c>
    </row>
    <row r="255" spans="1:3" s="315" customFormat="1" x14ac:dyDescent="0.2">
      <c r="A255" s="315" t="s">
        <v>2500</v>
      </c>
      <c r="B255" s="315">
        <f>IF(ISBLANK(GlobBerMedDisc!$O$10),"",GlobBerMedDisc!$O$10)</f>
        <v>1</v>
      </c>
      <c r="C255" s="17">
        <v>1</v>
      </c>
    </row>
    <row r="256" spans="1:3" s="315" customFormat="1" x14ac:dyDescent="0.2">
      <c r="A256" s="315" t="s">
        <v>2501</v>
      </c>
      <c r="B256" s="315">
        <f>IF(ISBLANK(GlobBerMedDisc!$O$11),"",GlobBerMedDisc!$O$11)</f>
        <v>1</v>
      </c>
      <c r="C256" s="17">
        <v>1</v>
      </c>
    </row>
    <row r="257" spans="1:3" s="315" customFormat="1" x14ac:dyDescent="0.2">
      <c r="A257" s="315" t="s">
        <v>2502</v>
      </c>
      <c r="B257" s="315">
        <f>IF(ISBLANK(GlobBerMedDisc!$O$12),"",GlobBerMedDisc!$O$12)</f>
        <v>1</v>
      </c>
      <c r="C257" s="17">
        <v>1</v>
      </c>
    </row>
    <row r="258" spans="1:3" s="315" customFormat="1" x14ac:dyDescent="0.2">
      <c r="A258" s="315" t="s">
        <v>2503</v>
      </c>
      <c r="B258" s="315">
        <f>IF(ISBLANK(GlobBerMedDisc!$O$13),"",GlobBerMedDisc!$O$13)</f>
        <v>1</v>
      </c>
      <c r="C258" s="17">
        <v>1</v>
      </c>
    </row>
    <row r="259" spans="1:3" s="315" customFormat="1" x14ac:dyDescent="0.2">
      <c r="A259" s="315" t="s">
        <v>2504</v>
      </c>
      <c r="B259" s="315">
        <f>IF(ISBLANK(GlobBerMedDisc!$O$14),"",GlobBerMedDisc!$O$14)</f>
        <v>1</v>
      </c>
      <c r="C259" s="17">
        <v>1</v>
      </c>
    </row>
    <row r="260" spans="1:3" s="315" customFormat="1" x14ac:dyDescent="0.2">
      <c r="A260" s="315" t="s">
        <v>2505</v>
      </c>
      <c r="B260" s="315">
        <f>IF(ISBLANK(GlobBerMedDisc!$O$15),"",GlobBerMedDisc!$O$15)</f>
        <v>1</v>
      </c>
      <c r="C260" s="17">
        <v>1</v>
      </c>
    </row>
    <row r="261" spans="1:3" s="315" customFormat="1" x14ac:dyDescent="0.2">
      <c r="A261" s="315" t="s">
        <v>2506</v>
      </c>
      <c r="B261" s="315">
        <f>IF(ISBLANK(GlobBerMedDisc!$O$16),"",GlobBerMedDisc!$O$16)</f>
        <v>1</v>
      </c>
      <c r="C261" s="17">
        <v>1</v>
      </c>
    </row>
    <row r="262" spans="1:3" s="315" customFormat="1" x14ac:dyDescent="0.2">
      <c r="A262" s="315" t="s">
        <v>2507</v>
      </c>
      <c r="B262" s="315">
        <f>IF(ISBLANK(GlobBerMedDisc!$O$17),"",GlobBerMedDisc!$O$17)</f>
        <v>1</v>
      </c>
      <c r="C262" s="17">
        <v>1</v>
      </c>
    </row>
    <row r="263" spans="1:3" s="315" customFormat="1" x14ac:dyDescent="0.2">
      <c r="A263" s="315" t="s">
        <v>2508</v>
      </c>
      <c r="B263" s="315">
        <f>IF(ISBLANK(GlobBerMedDisc!$O$18),"",GlobBerMedDisc!$O$18)</f>
        <v>1</v>
      </c>
      <c r="C263" s="17">
        <v>1</v>
      </c>
    </row>
    <row r="264" spans="1:3" s="315" customFormat="1" x14ac:dyDescent="0.2">
      <c r="A264" s="315" t="s">
        <v>2509</v>
      </c>
      <c r="B264" s="315">
        <f>IF(ISBLANK(GlobBerMedDisc!$O$19),"",GlobBerMedDisc!$O$19)</f>
        <v>1</v>
      </c>
      <c r="C264" s="17">
        <v>1</v>
      </c>
    </row>
    <row r="265" spans="1:3" s="315" customFormat="1" x14ac:dyDescent="0.2">
      <c r="A265" s="315" t="s">
        <v>2510</v>
      </c>
      <c r="B265" s="315">
        <f>IF(ISBLANK(GlobBerMedDisc!$O$20),"",GlobBerMedDisc!$O$20)</f>
        <v>1</v>
      </c>
      <c r="C265" s="17">
        <v>1</v>
      </c>
    </row>
    <row r="266" spans="1:3" s="315" customFormat="1" x14ac:dyDescent="0.2">
      <c r="A266" s="315" t="s">
        <v>2511</v>
      </c>
      <c r="B266" s="315">
        <f>IF(ISBLANK(GlobBerMedDisc!$O$21),"",GlobBerMedDisc!$O$21)</f>
        <v>1</v>
      </c>
      <c r="C266" s="17">
        <v>1</v>
      </c>
    </row>
    <row r="267" spans="1:3" s="315" customFormat="1" x14ac:dyDescent="0.2">
      <c r="A267" s="315" t="s">
        <v>2512</v>
      </c>
      <c r="B267" s="315">
        <f>IF(ISBLANK(GlobBerMedDisc!$O$22),"",GlobBerMedDisc!$O$22)</f>
        <v>1</v>
      </c>
      <c r="C267" s="17">
        <v>1</v>
      </c>
    </row>
    <row r="268" spans="1:3" s="315" customFormat="1" x14ac:dyDescent="0.2">
      <c r="A268" s="315" t="s">
        <v>2513</v>
      </c>
      <c r="B268" s="315">
        <f>IF(ISBLANK(GlobBerMedDisc!$O$23),"",GlobBerMedDisc!$O$23)</f>
        <v>1</v>
      </c>
      <c r="C268" s="17">
        <v>1</v>
      </c>
    </row>
    <row r="269" spans="1:3" s="315" customFormat="1" x14ac:dyDescent="0.2">
      <c r="A269" s="315" t="s">
        <v>2514</v>
      </c>
      <c r="B269" s="315">
        <f>IF(ISBLANK(GlobBerMedDisc!$O$24),"",GlobBerMedDisc!$O$24)</f>
        <v>1</v>
      </c>
      <c r="C269" s="17">
        <v>1</v>
      </c>
    </row>
    <row r="270" spans="1:3" s="315" customFormat="1" x14ac:dyDescent="0.2">
      <c r="A270" s="315" t="s">
        <v>2515</v>
      </c>
      <c r="B270" s="315">
        <f>IF(ISBLANK(GlobBerMedDisc!$O$25),"",GlobBerMedDisc!$O$25)</f>
        <v>1</v>
      </c>
      <c r="C270" s="17">
        <v>1</v>
      </c>
    </row>
    <row r="271" spans="1:3" s="315" customFormat="1" x14ac:dyDescent="0.2">
      <c r="A271" s="315" t="s">
        <v>2516</v>
      </c>
      <c r="B271" s="315">
        <f>IF(ISBLANK(GlobBerMedDisc!$O$26),"",GlobBerMedDisc!$O$26)</f>
        <v>1</v>
      </c>
      <c r="C271" s="17">
        <v>1</v>
      </c>
    </row>
    <row r="272" spans="1:3" s="315" customFormat="1" x14ac:dyDescent="0.2">
      <c r="A272" s="315" t="s">
        <v>2517</v>
      </c>
      <c r="B272" s="315">
        <f>IF(ISBLANK(GlobBerMedDisc!$O$27),"",GlobBerMedDisc!$O$27)</f>
        <v>1</v>
      </c>
      <c r="C272" s="17">
        <v>1</v>
      </c>
    </row>
    <row r="273" spans="1:3" s="315" customFormat="1" x14ac:dyDescent="0.2">
      <c r="A273" s="315" t="s">
        <v>2518</v>
      </c>
      <c r="B273" s="315">
        <f>IF(ISBLANK(GlobBerMedDisc!$O$28),"",GlobBerMedDisc!$O$28)</f>
        <v>1</v>
      </c>
      <c r="C273" s="17">
        <v>1</v>
      </c>
    </row>
    <row r="274" spans="1:3" s="315" customFormat="1" x14ac:dyDescent="0.2">
      <c r="A274" s="315" t="s">
        <v>2519</v>
      </c>
      <c r="B274" s="315">
        <f>IF(ISBLANK(GlobBerMedDisc!$O$29),"",GlobBerMedDisc!$O$29)</f>
        <v>1</v>
      </c>
      <c r="C274" s="17">
        <v>1</v>
      </c>
    </row>
    <row r="275" spans="1:3" s="315" customFormat="1" x14ac:dyDescent="0.2">
      <c r="A275" s="315" t="s">
        <v>2520</v>
      </c>
      <c r="B275" s="315">
        <f>IF(ISBLANK(GlobBerMedDisc!$O$30),"",GlobBerMedDisc!$O$30)</f>
        <v>1</v>
      </c>
      <c r="C275" s="17">
        <v>1</v>
      </c>
    </row>
    <row r="276" spans="1:3" s="315" customFormat="1" x14ac:dyDescent="0.2">
      <c r="A276" s="315" t="s">
        <v>2521</v>
      </c>
      <c r="B276" s="315">
        <f>IF(ISBLANK(GlobBerMedDisc!$O$31),"",GlobBerMedDisc!$O$31)</f>
        <v>1</v>
      </c>
      <c r="C276" s="17">
        <v>1</v>
      </c>
    </row>
    <row r="277" spans="1:3" x14ac:dyDescent="0.2">
      <c r="A277" s="315" t="s">
        <v>2522</v>
      </c>
      <c r="B277">
        <f>IF(ISBLANK(GlobBerMedDisc!$N$2),"",GlobBerMedDisc!$N$2)</f>
        <v>0</v>
      </c>
      <c r="C277" s="317">
        <v>0</v>
      </c>
    </row>
    <row r="278" spans="1:3" x14ac:dyDescent="0.2">
      <c r="A278" s="315" t="s">
        <v>2523</v>
      </c>
      <c r="B278">
        <f>IF(ISBLANK(GlobBerMedDisc!$N$3),"",GlobBerMedDisc!$N$3)</f>
        <v>0</v>
      </c>
      <c r="C278" s="317">
        <v>0</v>
      </c>
    </row>
    <row r="279" spans="1:3" x14ac:dyDescent="0.2">
      <c r="A279" s="315" t="s">
        <v>2524</v>
      </c>
      <c r="B279">
        <f>IF(ISBLANK(GlobBerMedDisc!$N$4),"",GlobBerMedDisc!$N$4)</f>
        <v>0</v>
      </c>
      <c r="C279" s="317">
        <v>0</v>
      </c>
    </row>
    <row r="280" spans="1:3" x14ac:dyDescent="0.2">
      <c r="A280" s="315" t="s">
        <v>2525</v>
      </c>
      <c r="B280">
        <f>IF(ISBLANK(GlobBerMedDisc!$N$5),"",GlobBerMedDisc!$N$5)</f>
        <v>0</v>
      </c>
      <c r="C280" s="317">
        <v>0</v>
      </c>
    </row>
    <row r="281" spans="1:3" x14ac:dyDescent="0.2">
      <c r="A281" s="315" t="s">
        <v>2526</v>
      </c>
      <c r="B281" s="315">
        <f>IF(ISBLANK(GlobBerMedDisc!$N$6),"",GlobBerMedDisc!$N$6)</f>
        <v>0</v>
      </c>
      <c r="C281" s="317">
        <v>0</v>
      </c>
    </row>
    <row r="282" spans="1:3" x14ac:dyDescent="0.2">
      <c r="A282" s="315" t="s">
        <v>2527</v>
      </c>
      <c r="B282" s="315">
        <f>IF(ISBLANK(GlobBerMedDisc!$N$7),"",GlobBerMedDisc!$N$7)</f>
        <v>0</v>
      </c>
      <c r="C282" s="317">
        <v>0</v>
      </c>
    </row>
    <row r="283" spans="1:3" x14ac:dyDescent="0.2">
      <c r="A283" s="315" t="s">
        <v>2528</v>
      </c>
      <c r="B283" s="315">
        <f>IF(ISBLANK(GlobBerMedDisc!$N$8),"",GlobBerMedDisc!$N$8)</f>
        <v>0</v>
      </c>
      <c r="C283" s="317">
        <v>0</v>
      </c>
    </row>
    <row r="284" spans="1:3" x14ac:dyDescent="0.2">
      <c r="A284" s="315" t="s">
        <v>2529</v>
      </c>
      <c r="B284" s="315">
        <f>IF(ISBLANK(GlobBerMedDisc!$N$9),"",GlobBerMedDisc!$N$9)</f>
        <v>0</v>
      </c>
      <c r="C284" s="317">
        <v>0</v>
      </c>
    </row>
    <row r="285" spans="1:3" x14ac:dyDescent="0.2">
      <c r="A285" s="315" t="s">
        <v>2530</v>
      </c>
      <c r="B285" s="315">
        <f>IF(ISBLANK(GlobBerMedDisc!$N$10),"",GlobBerMedDisc!$N$10)</f>
        <v>0</v>
      </c>
      <c r="C285" s="317">
        <v>0</v>
      </c>
    </row>
    <row r="286" spans="1:3" x14ac:dyDescent="0.2">
      <c r="A286" s="315" t="s">
        <v>2531</v>
      </c>
      <c r="B286" s="315">
        <f>IF(ISBLANK(GlobBerMedDisc!$N$11),"",GlobBerMedDisc!$N$11)</f>
        <v>0</v>
      </c>
      <c r="C286" s="317">
        <v>0</v>
      </c>
    </row>
    <row r="287" spans="1:3" x14ac:dyDescent="0.2">
      <c r="A287" s="315" t="s">
        <v>2532</v>
      </c>
      <c r="B287" s="315">
        <f>IF(ISBLANK(GlobBerMedDisc!$N$12),"",GlobBerMedDisc!$N$12)</f>
        <v>0</v>
      </c>
      <c r="C287" s="317">
        <v>0</v>
      </c>
    </row>
    <row r="288" spans="1:3" x14ac:dyDescent="0.2">
      <c r="A288" s="315" t="s">
        <v>2533</v>
      </c>
      <c r="B288" s="315">
        <f>IF(ISBLANK(GlobBerMedDisc!$N$13),"",GlobBerMedDisc!$N$13)</f>
        <v>0</v>
      </c>
      <c r="C288" s="317">
        <v>0</v>
      </c>
    </row>
    <row r="289" spans="1:3" x14ac:dyDescent="0.2">
      <c r="A289" s="315" t="s">
        <v>2534</v>
      </c>
      <c r="B289" s="315">
        <f>IF(ISBLANK(GlobBerMedDisc!$N$14),"",GlobBerMedDisc!$N$14)</f>
        <v>0</v>
      </c>
      <c r="C289" s="317">
        <v>0</v>
      </c>
    </row>
    <row r="290" spans="1:3" x14ac:dyDescent="0.2">
      <c r="A290" s="315" t="s">
        <v>2535</v>
      </c>
      <c r="B290" s="315">
        <f>IF(ISBLANK(GlobBerMedDisc!$N$15),"",GlobBerMedDisc!$N$15)</f>
        <v>0</v>
      </c>
      <c r="C290" s="317">
        <v>0</v>
      </c>
    </row>
    <row r="291" spans="1:3" x14ac:dyDescent="0.2">
      <c r="A291" s="315" t="s">
        <v>2536</v>
      </c>
      <c r="B291">
        <f>IF(ISBLANK(GlobBerMedDisc!$N$16),"",GlobBerMedDisc!$N$16)</f>
        <v>0</v>
      </c>
      <c r="C291" s="317">
        <v>0</v>
      </c>
    </row>
    <row r="292" spans="1:3" x14ac:dyDescent="0.2">
      <c r="A292" s="315" t="s">
        <v>2537</v>
      </c>
      <c r="B292">
        <f>IF(ISBLANK(GlobBerMedDisc!$N$17),"",GlobBerMedDisc!$N$17)</f>
        <v>0</v>
      </c>
      <c r="C292" s="317">
        <v>0</v>
      </c>
    </row>
    <row r="293" spans="1:3" x14ac:dyDescent="0.2">
      <c r="A293" s="315" t="s">
        <v>2538</v>
      </c>
      <c r="B293">
        <f>IF(ISBLANK(GlobBerMedDisc!$N$18),"",GlobBerMedDisc!$N$18)</f>
        <v>0</v>
      </c>
      <c r="C293" s="317">
        <v>0</v>
      </c>
    </row>
    <row r="294" spans="1:3" x14ac:dyDescent="0.2">
      <c r="A294" s="315" t="s">
        <v>2539</v>
      </c>
      <c r="B294">
        <f>IF(ISBLANK(GlobBerMedDisc!$N$19),"",GlobBerMedDisc!$N$19)</f>
        <v>0</v>
      </c>
      <c r="C294" s="317">
        <v>0</v>
      </c>
    </row>
    <row r="295" spans="1:3" x14ac:dyDescent="0.2">
      <c r="A295" s="315" t="s">
        <v>2540</v>
      </c>
      <c r="B295">
        <f>IF(ISBLANK(GlobBerMedDisc!$N$20),"",GlobBerMedDisc!$N$20)</f>
        <v>0</v>
      </c>
      <c r="C295" s="317">
        <v>0</v>
      </c>
    </row>
    <row r="296" spans="1:3" s="315" customFormat="1" x14ac:dyDescent="0.2">
      <c r="A296" s="315" t="s">
        <v>2541</v>
      </c>
      <c r="B296">
        <f>IF(ISBLANK(GlobBerMedDisc!$N$21),"",GlobBerMedDisc!$N$21)</f>
        <v>0</v>
      </c>
      <c r="C296" s="317">
        <v>0</v>
      </c>
    </row>
    <row r="297" spans="1:3" s="315" customFormat="1" x14ac:dyDescent="0.2">
      <c r="A297" s="315" t="s">
        <v>2542</v>
      </c>
      <c r="B297">
        <f>IF(ISBLANK(GlobBerMedDisc!$N$22),"",GlobBerMedDisc!$N$22)</f>
        <v>0</v>
      </c>
      <c r="C297" s="317">
        <v>0</v>
      </c>
    </row>
    <row r="298" spans="1:3" s="315" customFormat="1" x14ac:dyDescent="0.2">
      <c r="A298" s="315" t="s">
        <v>2543</v>
      </c>
      <c r="B298">
        <f>IF(ISBLANK(GlobBerMedDisc!$N$23),"",GlobBerMedDisc!$N$23)</f>
        <v>0</v>
      </c>
      <c r="C298" s="317">
        <v>0</v>
      </c>
    </row>
    <row r="299" spans="1:3" s="315" customFormat="1" x14ac:dyDescent="0.2">
      <c r="A299" s="315" t="s">
        <v>2544</v>
      </c>
      <c r="B299">
        <f>IF(ISBLANK(GlobBerMedDisc!$N$24),"",GlobBerMedDisc!$N$24)</f>
        <v>0</v>
      </c>
      <c r="C299" s="317">
        <v>0</v>
      </c>
    </row>
    <row r="300" spans="1:3" s="315" customFormat="1" x14ac:dyDescent="0.2">
      <c r="A300" s="315" t="s">
        <v>2545</v>
      </c>
      <c r="B300">
        <f>IF(ISBLANK(GlobBerMedDisc!$N$25),"",GlobBerMedDisc!$N$25)</f>
        <v>0</v>
      </c>
      <c r="C300" s="317">
        <v>0</v>
      </c>
    </row>
    <row r="301" spans="1:3" s="315" customFormat="1" x14ac:dyDescent="0.2">
      <c r="A301" s="315" t="s">
        <v>2546</v>
      </c>
      <c r="B301">
        <f>IF(ISBLANK(GlobBerMedDisc!$N$26),"",GlobBerMedDisc!$N$26)</f>
        <v>0</v>
      </c>
      <c r="C301" s="317">
        <v>0</v>
      </c>
    </row>
    <row r="302" spans="1:3" s="315" customFormat="1" x14ac:dyDescent="0.2">
      <c r="A302" s="315" t="s">
        <v>2547</v>
      </c>
      <c r="B302">
        <f>IF(ISBLANK(GlobBerMedDisc!$N$27),"",GlobBerMedDisc!$N$27)</f>
        <v>0</v>
      </c>
      <c r="C302" s="317">
        <v>0</v>
      </c>
    </row>
    <row r="303" spans="1:3" s="315" customFormat="1" x14ac:dyDescent="0.2">
      <c r="A303" s="315" t="s">
        <v>2548</v>
      </c>
      <c r="B303">
        <f>IF(ISBLANK(GlobBerMedDisc!$N$28),"",GlobBerMedDisc!$N$28)</f>
        <v>0</v>
      </c>
      <c r="C303" s="317">
        <v>0</v>
      </c>
    </row>
    <row r="304" spans="1:3" s="315" customFormat="1" x14ac:dyDescent="0.2">
      <c r="A304" s="315" t="s">
        <v>2549</v>
      </c>
      <c r="B304">
        <f>IF(ISBLANK(GlobBerMedDisc!$N$29),"",GlobBerMedDisc!$N$29)</f>
        <v>0</v>
      </c>
      <c r="C304" s="317">
        <v>0</v>
      </c>
    </row>
    <row r="305" spans="1:3" s="315" customFormat="1" x14ac:dyDescent="0.2">
      <c r="A305" s="315" t="s">
        <v>2550</v>
      </c>
      <c r="B305">
        <f>IF(ISBLANK(GlobBerMedDisc!$N$30),"",GlobBerMedDisc!$N$30)</f>
        <v>0</v>
      </c>
      <c r="C305" s="317">
        <v>0</v>
      </c>
    </row>
    <row r="306" spans="1:3" x14ac:dyDescent="0.2">
      <c r="A306" s="315" t="s">
        <v>2551</v>
      </c>
      <c r="B306">
        <f>IF(ISBLANK(GlobBerMedDisc!$N$31),"",GlobBerMedDisc!$N$31)</f>
        <v>0</v>
      </c>
      <c r="C306" s="317">
        <v>0</v>
      </c>
    </row>
    <row r="307" spans="1:3" x14ac:dyDescent="0.2">
      <c r="A307" s="315" t="s">
        <v>2552</v>
      </c>
      <c r="B307" t="str">
        <f>IF(ISBLANK(GlobBerMedDisc!$AB$2),"",GlobBerMedDisc!$AB$2)</f>
        <v/>
      </c>
      <c r="C307" s="130"/>
    </row>
    <row r="308" spans="1:3" x14ac:dyDescent="0.2">
      <c r="A308" s="315" t="s">
        <v>2553</v>
      </c>
      <c r="B308" t="str">
        <f>IF(ISBLANK(GlobBerMedDisc!$AB$3),"",GlobBerMedDisc!$AB$3)</f>
        <v/>
      </c>
      <c r="C308" s="130"/>
    </row>
    <row r="309" spans="1:3" x14ac:dyDescent="0.2">
      <c r="A309" s="315" t="s">
        <v>2554</v>
      </c>
      <c r="B309" t="str">
        <f>IF(ISBLANK(GlobBerMedDisc!$AB$4),"",GlobBerMedDisc!$AB$4)</f>
        <v/>
      </c>
      <c r="C309" s="130"/>
    </row>
    <row r="310" spans="1:3" x14ac:dyDescent="0.2">
      <c r="A310" s="315" t="s">
        <v>2555</v>
      </c>
      <c r="B310" t="str">
        <f>IF(ISBLANK(GlobBerMedDisc!$AB$5),"",GlobBerMedDisc!$AB$5)</f>
        <v/>
      </c>
      <c r="C310" s="130"/>
    </row>
    <row r="311" spans="1:3" x14ac:dyDescent="0.2">
      <c r="A311" s="315" t="s">
        <v>2556</v>
      </c>
      <c r="B311" t="str">
        <f>IF(ISBLANK(GlobBerMedDisc!$AB$6),"",GlobBerMedDisc!$AB$6)</f>
        <v/>
      </c>
      <c r="C311" s="130"/>
    </row>
    <row r="312" spans="1:3" x14ac:dyDescent="0.2">
      <c r="A312" s="315" t="s">
        <v>2557</v>
      </c>
      <c r="B312" t="str">
        <f>IF(ISBLANK(GlobBerMedDisc!$AB$7),"",GlobBerMedDisc!$AB$7)</f>
        <v/>
      </c>
      <c r="C312" s="130"/>
    </row>
    <row r="313" spans="1:3" x14ac:dyDescent="0.2">
      <c r="A313" s="315" t="s">
        <v>2558</v>
      </c>
      <c r="B313" t="str">
        <f>IF(ISBLANK(GlobBerMedDisc!$AB$8),"",GlobBerMedDisc!$AB$8)</f>
        <v/>
      </c>
      <c r="C313" s="130"/>
    </row>
    <row r="314" spans="1:3" x14ac:dyDescent="0.2">
      <c r="A314" s="315" t="s">
        <v>2559</v>
      </c>
      <c r="B314" t="str">
        <f>IF(ISBLANK(GlobBerMedDisc!$AB$9),"",GlobBerMedDisc!$AB$9)</f>
        <v/>
      </c>
      <c r="C314" s="130"/>
    </row>
    <row r="315" spans="1:3" x14ac:dyDescent="0.2">
      <c r="A315" s="315" t="s">
        <v>2560</v>
      </c>
      <c r="B315" t="str">
        <f>IF(ISBLANK(GlobBerMedDisc!$AB$10),"",GlobBerMedDisc!$AB$10)</f>
        <v/>
      </c>
      <c r="C315" s="130"/>
    </row>
    <row r="316" spans="1:3" x14ac:dyDescent="0.2">
      <c r="A316" s="315" t="s">
        <v>2561</v>
      </c>
      <c r="B316" t="str">
        <f>IF(ISBLANK(GlobBerMedDisc!$AB$11),"",GlobBerMedDisc!$AB$11)</f>
        <v/>
      </c>
      <c r="C316" s="130"/>
    </row>
    <row r="317" spans="1:3" x14ac:dyDescent="0.2">
      <c r="A317" s="315" t="s">
        <v>2562</v>
      </c>
      <c r="B317" t="str">
        <f>IF(ISBLANK(GlobBerMedDisc!$AB$12),"",GlobBerMedDisc!$AB$12)</f>
        <v/>
      </c>
      <c r="C317" s="130"/>
    </row>
    <row r="318" spans="1:3" x14ac:dyDescent="0.2">
      <c r="A318" s="315" t="s">
        <v>2563</v>
      </c>
      <c r="B318" t="str">
        <f>IF(ISBLANK(GlobBerMedDisc!$AB$13),"",GlobBerMedDisc!$AB$13)</f>
        <v/>
      </c>
      <c r="C318" s="130"/>
    </row>
    <row r="319" spans="1:3" x14ac:dyDescent="0.2">
      <c r="A319" s="315" t="s">
        <v>2564</v>
      </c>
      <c r="B319" t="str">
        <f>IF(ISBLANK(GlobBerMedDisc!$AB$14),"",GlobBerMedDisc!$AB$14)</f>
        <v/>
      </c>
      <c r="C319" s="130"/>
    </row>
    <row r="320" spans="1:3" x14ac:dyDescent="0.2">
      <c r="A320" s="315" t="s">
        <v>2565</v>
      </c>
      <c r="B320" t="str">
        <f>IF(ISBLANK(GlobBerMedDisc!$AB$15),"",GlobBerMedDisc!$AB$15)</f>
        <v/>
      </c>
      <c r="C320" s="130"/>
    </row>
    <row r="321" spans="1:8" x14ac:dyDescent="0.2">
      <c r="A321" s="315" t="s">
        <v>2566</v>
      </c>
      <c r="B321" t="str">
        <f>IF(ISBLANK(GlobBerMedDisc!$AB$16),"",GlobBerMedDisc!$AB$16)</f>
        <v/>
      </c>
      <c r="C321" s="130"/>
    </row>
    <row r="322" spans="1:8" x14ac:dyDescent="0.2">
      <c r="A322" s="315" t="s">
        <v>2567</v>
      </c>
      <c r="B322" t="str">
        <f>IF(ISBLANK(GlobBerMedDisc!$AB$17),"",GlobBerMedDisc!$AB$17)</f>
        <v/>
      </c>
      <c r="C322" s="130"/>
    </row>
    <row r="323" spans="1:8" x14ac:dyDescent="0.2">
      <c r="A323" s="315" t="s">
        <v>2568</v>
      </c>
      <c r="B323" t="str">
        <f>IF(ISBLANK(GlobBerMedDisc!$AB$18),"",GlobBerMedDisc!$AB$18)</f>
        <v/>
      </c>
      <c r="C323" s="130"/>
      <c r="E323" s="315"/>
      <c r="F323" s="315"/>
      <c r="G323" s="315"/>
      <c r="H323" s="315"/>
    </row>
    <row r="324" spans="1:8" x14ac:dyDescent="0.2">
      <c r="A324" s="315" t="s">
        <v>2569</v>
      </c>
      <c r="B324" t="str">
        <f>IF(ISBLANK(GlobBerMedDisc!$AB$19),"",GlobBerMedDisc!$AB$19)</f>
        <v/>
      </c>
      <c r="C324" s="130"/>
      <c r="E324" s="315"/>
      <c r="F324" s="315"/>
      <c r="G324" s="315"/>
      <c r="H324" s="315"/>
    </row>
    <row r="325" spans="1:8" x14ac:dyDescent="0.2">
      <c r="A325" s="315" t="s">
        <v>2570</v>
      </c>
      <c r="B325" t="str">
        <f>IF(ISBLANK(GlobBerMedDisc!$AB$20),"",GlobBerMedDisc!$AB$20)</f>
        <v/>
      </c>
      <c r="C325" s="130"/>
      <c r="E325" s="315"/>
      <c r="F325" s="315"/>
      <c r="G325" s="315"/>
      <c r="H325" s="315"/>
    </row>
    <row r="326" spans="1:8" x14ac:dyDescent="0.2">
      <c r="A326" s="315" t="s">
        <v>2571</v>
      </c>
      <c r="B326" s="315" t="str">
        <f>IF(ISBLANK(GlobBerMedDisc!$AB$21),"",GlobBerMedDisc!$AB$21)</f>
        <v/>
      </c>
      <c r="C326" s="130"/>
      <c r="E326" s="315"/>
      <c r="F326" s="315"/>
      <c r="G326" s="315"/>
      <c r="H326" s="315"/>
    </row>
    <row r="327" spans="1:8" x14ac:dyDescent="0.2">
      <c r="A327" s="315" t="s">
        <v>2572</v>
      </c>
      <c r="B327" s="315" t="str">
        <f>IF(ISBLANK(GlobBerMedDisc!$AB$22),"",GlobBerMedDisc!$AB$22)</f>
        <v/>
      </c>
      <c r="C327" s="130"/>
      <c r="E327" s="315"/>
      <c r="F327" s="315"/>
      <c r="G327" s="315"/>
      <c r="H327" s="315"/>
    </row>
    <row r="328" spans="1:8" x14ac:dyDescent="0.2">
      <c r="A328" s="315" t="s">
        <v>2573</v>
      </c>
      <c r="B328" s="315" t="str">
        <f>IF(ISBLANK(GlobBerMedDisc!$AB$23),"",GlobBerMedDisc!$AB$23)</f>
        <v/>
      </c>
      <c r="C328" s="130"/>
      <c r="E328" s="315"/>
      <c r="F328" s="315"/>
      <c r="G328" s="315"/>
      <c r="H328" s="315"/>
    </row>
    <row r="329" spans="1:8" x14ac:dyDescent="0.2">
      <c r="A329" s="315" t="s">
        <v>2574</v>
      </c>
      <c r="B329" s="315" t="str">
        <f>IF(ISBLANK(GlobBerMedDisc!$AB$24),"",GlobBerMedDisc!$AB$24)</f>
        <v/>
      </c>
      <c r="C329" s="130"/>
      <c r="E329" s="315"/>
      <c r="F329" s="315"/>
      <c r="G329" s="315"/>
      <c r="H329" s="315"/>
    </row>
    <row r="330" spans="1:8" x14ac:dyDescent="0.2">
      <c r="A330" s="315" t="s">
        <v>2575</v>
      </c>
      <c r="B330" s="315" t="str">
        <f>IF(ISBLANK(GlobBerMedDisc!$AB$25),"",GlobBerMedDisc!$AB$25)</f>
        <v/>
      </c>
      <c r="C330" s="130"/>
      <c r="E330" s="315"/>
      <c r="F330" s="315"/>
      <c r="G330" s="315"/>
      <c r="H330" s="315"/>
    </row>
    <row r="331" spans="1:8" x14ac:dyDescent="0.2">
      <c r="A331" s="315" t="s">
        <v>2576</v>
      </c>
      <c r="B331" s="315" t="str">
        <f>IF(ISBLANK(GlobBerMedDisc!$AB$26),"",GlobBerMedDisc!$AB$26)</f>
        <v/>
      </c>
      <c r="C331" s="130"/>
      <c r="E331" s="315"/>
      <c r="F331" s="315"/>
      <c r="G331" s="315"/>
      <c r="H331" s="315"/>
    </row>
    <row r="332" spans="1:8" x14ac:dyDescent="0.2">
      <c r="A332" s="315" t="s">
        <v>2577</v>
      </c>
      <c r="B332" s="315" t="str">
        <f>IF(ISBLANK(GlobBerMedDisc!$AB$27),"",GlobBerMedDisc!$AB$27)</f>
        <v/>
      </c>
      <c r="C332" s="130"/>
      <c r="E332" s="315"/>
      <c r="F332" s="315"/>
      <c r="G332" s="315"/>
      <c r="H332" s="315"/>
    </row>
    <row r="333" spans="1:8" x14ac:dyDescent="0.2">
      <c r="A333" s="315" t="s">
        <v>2578</v>
      </c>
      <c r="B333" s="315" t="str">
        <f>IF(ISBLANK(GlobBerMedDisc!$AB$28),"",GlobBerMedDisc!$AB$28)</f>
        <v/>
      </c>
      <c r="C333" s="130"/>
      <c r="E333" s="315"/>
      <c r="F333" s="315"/>
      <c r="G333" s="315"/>
      <c r="H333" s="315"/>
    </row>
    <row r="334" spans="1:8" x14ac:dyDescent="0.2">
      <c r="A334" s="315" t="s">
        <v>2579</v>
      </c>
      <c r="B334" s="315" t="str">
        <f>IF(ISBLANK(GlobBerMedDisc!$AB$29),"",GlobBerMedDisc!$AB$29)</f>
        <v/>
      </c>
      <c r="C334" s="130"/>
    </row>
    <row r="335" spans="1:8" x14ac:dyDescent="0.2">
      <c r="A335" s="315" t="s">
        <v>2580</v>
      </c>
      <c r="B335" s="315" t="str">
        <f>IF(ISBLANK(GlobBerMedDisc!$AB$30),"",GlobBerMedDisc!$AB$30)</f>
        <v/>
      </c>
      <c r="C335" s="130"/>
    </row>
    <row r="336" spans="1:8" x14ac:dyDescent="0.2">
      <c r="A336" s="315" t="s">
        <v>2581</v>
      </c>
      <c r="B336" t="str">
        <f>IF(ISBLANK(GlobBerMedDisc!$AB$31),"",GlobBerMedDisc!$AB$31)</f>
        <v/>
      </c>
      <c r="C336" s="130"/>
    </row>
    <row r="337" spans="1:3" s="315" customFormat="1" x14ac:dyDescent="0.2">
      <c r="A337" s="315" t="s">
        <v>4541</v>
      </c>
      <c r="B337" s="315" t="b">
        <f>IF(ISBLANK(GlobBerMedDisc!$AF$2),"",GlobBerMedDisc!$AF$2)</f>
        <v>0</v>
      </c>
      <c r="C337" s="315" t="b">
        <v>0</v>
      </c>
    </row>
    <row r="338" spans="1:3" s="315" customFormat="1" x14ac:dyDescent="0.2">
      <c r="A338" s="315" t="s">
        <v>4542</v>
      </c>
      <c r="B338" s="315" t="b">
        <f>IF(ISBLANK(GlobBerMedDisc!$AF$3),"",GlobBerMedDisc!$AF$3)</f>
        <v>0</v>
      </c>
      <c r="C338" s="315" t="b">
        <v>0</v>
      </c>
    </row>
    <row r="339" spans="1:3" s="315" customFormat="1" x14ac:dyDescent="0.2">
      <c r="A339" s="315" t="s">
        <v>4543</v>
      </c>
      <c r="B339" s="315" t="b">
        <f>IF(ISBLANK(GlobBerMedDisc!$AF$4),"",GlobBerMedDisc!$AF$4)</f>
        <v>0</v>
      </c>
      <c r="C339" s="315" t="b">
        <v>0</v>
      </c>
    </row>
    <row r="340" spans="1:3" s="315" customFormat="1" x14ac:dyDescent="0.2">
      <c r="A340" s="315" t="s">
        <v>4544</v>
      </c>
      <c r="B340" s="315" t="b">
        <f>IF(ISBLANK(GlobBerMedDisc!$AF$5),"",GlobBerMedDisc!$AF$5)</f>
        <v>0</v>
      </c>
      <c r="C340" s="315" t="b">
        <v>0</v>
      </c>
    </row>
    <row r="341" spans="1:3" s="315" customFormat="1" x14ac:dyDescent="0.2">
      <c r="A341" s="315" t="s">
        <v>4545</v>
      </c>
      <c r="B341" s="315" t="b">
        <f>IF(ISBLANK(GlobBerMedDisc!$AF$6),"",GlobBerMedDisc!$AF$6)</f>
        <v>0</v>
      </c>
      <c r="C341" s="315" t="b">
        <v>0</v>
      </c>
    </row>
    <row r="342" spans="1:3" s="315" customFormat="1" x14ac:dyDescent="0.2">
      <c r="A342" s="315" t="s">
        <v>4546</v>
      </c>
      <c r="B342" s="315" t="b">
        <f>IF(ISBLANK(GlobBerMedDisc!$AF$7),"",GlobBerMedDisc!$AF$7)</f>
        <v>0</v>
      </c>
      <c r="C342" s="315" t="b">
        <v>0</v>
      </c>
    </row>
    <row r="343" spans="1:3" s="315" customFormat="1" x14ac:dyDescent="0.2">
      <c r="A343" s="315" t="s">
        <v>4547</v>
      </c>
      <c r="B343" s="315" t="b">
        <f>IF(ISBLANK(GlobBerMedDisc!$AF$8),"",GlobBerMedDisc!$AF$8)</f>
        <v>0</v>
      </c>
      <c r="C343" s="315" t="b">
        <v>0</v>
      </c>
    </row>
    <row r="344" spans="1:3" s="315" customFormat="1" x14ac:dyDescent="0.2">
      <c r="A344" s="315" t="s">
        <v>4548</v>
      </c>
      <c r="B344" s="315" t="b">
        <f>IF(ISBLANK(GlobBerMedDisc!$AF$9),"",GlobBerMedDisc!$AF$9)</f>
        <v>0</v>
      </c>
      <c r="C344" s="315" t="b">
        <v>0</v>
      </c>
    </row>
    <row r="345" spans="1:3" s="315" customFormat="1" x14ac:dyDescent="0.2">
      <c r="A345" s="315" t="s">
        <v>4549</v>
      </c>
      <c r="B345" s="315" t="b">
        <f>IF(ISBLANK(GlobBerMedDisc!$AF$10),"",GlobBerMedDisc!$AF$10)</f>
        <v>0</v>
      </c>
      <c r="C345" s="315" t="b">
        <v>0</v>
      </c>
    </row>
    <row r="346" spans="1:3" s="315" customFormat="1" x14ac:dyDescent="0.2">
      <c r="A346" s="315" t="s">
        <v>4550</v>
      </c>
      <c r="B346" s="315" t="b">
        <f>IF(ISBLANK(GlobBerMedDisc!$AF$11),"",GlobBerMedDisc!$AF$11)</f>
        <v>0</v>
      </c>
      <c r="C346" s="315" t="b">
        <v>0</v>
      </c>
    </row>
    <row r="347" spans="1:3" s="315" customFormat="1" x14ac:dyDescent="0.2">
      <c r="A347" s="315" t="s">
        <v>4551</v>
      </c>
      <c r="B347" s="315" t="b">
        <f>IF(ISBLANK(GlobBerMedDisc!$AF$12),"",GlobBerMedDisc!$AF$12)</f>
        <v>0</v>
      </c>
      <c r="C347" s="315" t="b">
        <v>0</v>
      </c>
    </row>
    <row r="348" spans="1:3" s="315" customFormat="1" x14ac:dyDescent="0.2">
      <c r="A348" s="315" t="s">
        <v>4552</v>
      </c>
      <c r="B348" s="315" t="b">
        <f>IF(ISBLANK(GlobBerMedDisc!$AF$13),"",GlobBerMedDisc!$AF$13)</f>
        <v>0</v>
      </c>
      <c r="C348" s="315" t="b">
        <v>0</v>
      </c>
    </row>
    <row r="349" spans="1:3" s="315" customFormat="1" x14ac:dyDescent="0.2">
      <c r="A349" s="315" t="s">
        <v>4553</v>
      </c>
      <c r="B349" s="315" t="b">
        <f>IF(ISBLANK(GlobBerMedDisc!$AF$14),"",GlobBerMedDisc!$AF$14)</f>
        <v>0</v>
      </c>
      <c r="C349" s="315" t="b">
        <v>0</v>
      </c>
    </row>
    <row r="350" spans="1:3" s="315" customFormat="1" x14ac:dyDescent="0.2">
      <c r="A350" s="315" t="s">
        <v>4554</v>
      </c>
      <c r="B350" s="315" t="b">
        <f>IF(ISBLANK(GlobBerMedDisc!$AF$15),"",GlobBerMedDisc!$AF$15)</f>
        <v>0</v>
      </c>
      <c r="C350" s="315" t="b">
        <v>0</v>
      </c>
    </row>
    <row r="351" spans="1:3" s="315" customFormat="1" x14ac:dyDescent="0.2">
      <c r="A351" s="315" t="s">
        <v>4555</v>
      </c>
      <c r="B351" s="315" t="b">
        <f>IF(ISBLANK(GlobBerMedDisc!$AF$16),"",GlobBerMedDisc!$AF$16)</f>
        <v>0</v>
      </c>
      <c r="C351" s="315" t="b">
        <v>0</v>
      </c>
    </row>
    <row r="352" spans="1:3" s="315" customFormat="1" x14ac:dyDescent="0.2">
      <c r="A352" s="315" t="s">
        <v>4556</v>
      </c>
      <c r="B352" s="315" t="b">
        <f>IF(ISBLANK(GlobBerMedDisc!$AF$17),"",GlobBerMedDisc!$AF$17)</f>
        <v>0</v>
      </c>
      <c r="C352" s="315" t="b">
        <v>0</v>
      </c>
    </row>
    <row r="353" spans="1:3" s="315" customFormat="1" x14ac:dyDescent="0.2">
      <c r="A353" s="315" t="s">
        <v>4557</v>
      </c>
      <c r="B353" s="315" t="b">
        <f>IF(ISBLANK(GlobBerMedDisc!$AF$18),"",GlobBerMedDisc!$AF$18)</f>
        <v>0</v>
      </c>
      <c r="C353" s="315" t="b">
        <v>0</v>
      </c>
    </row>
    <row r="354" spans="1:3" s="315" customFormat="1" x14ac:dyDescent="0.2">
      <c r="A354" s="315" t="s">
        <v>4558</v>
      </c>
      <c r="B354" s="315" t="b">
        <f>IF(ISBLANK(GlobBerMedDisc!$AF$19),"",GlobBerMedDisc!$AF$19)</f>
        <v>0</v>
      </c>
      <c r="C354" s="315" t="b">
        <v>0</v>
      </c>
    </row>
    <row r="355" spans="1:3" s="315" customFormat="1" x14ac:dyDescent="0.2">
      <c r="A355" s="315" t="s">
        <v>4559</v>
      </c>
      <c r="B355" s="315" t="b">
        <f>IF(ISBLANK(GlobBerMedDisc!$AF$20),"",GlobBerMedDisc!$AF$20)</f>
        <v>0</v>
      </c>
      <c r="C355" s="315" t="b">
        <v>0</v>
      </c>
    </row>
    <row r="356" spans="1:3" s="315" customFormat="1" x14ac:dyDescent="0.2">
      <c r="A356" s="315" t="s">
        <v>4560</v>
      </c>
      <c r="B356" s="315" t="b">
        <f>IF(ISBLANK(GlobBerMedDisc!$AF$21),"",GlobBerMedDisc!$AF$21)</f>
        <v>0</v>
      </c>
      <c r="C356" s="315" t="b">
        <v>0</v>
      </c>
    </row>
    <row r="357" spans="1:3" s="315" customFormat="1" x14ac:dyDescent="0.2">
      <c r="A357" s="315" t="s">
        <v>4561</v>
      </c>
      <c r="B357" s="315" t="b">
        <f>IF(ISBLANK(GlobBerMedDisc!$AF$22),"",GlobBerMedDisc!$AF$22)</f>
        <v>0</v>
      </c>
      <c r="C357" s="315" t="b">
        <v>0</v>
      </c>
    </row>
    <row r="358" spans="1:3" s="315" customFormat="1" x14ac:dyDescent="0.2">
      <c r="A358" s="315" t="s">
        <v>4562</v>
      </c>
      <c r="B358" s="315" t="b">
        <f>IF(ISBLANK(GlobBerMedDisc!$AF$23),"",GlobBerMedDisc!$AF$23)</f>
        <v>0</v>
      </c>
      <c r="C358" s="315" t="b">
        <v>0</v>
      </c>
    </row>
    <row r="359" spans="1:3" s="315" customFormat="1" x14ac:dyDescent="0.2">
      <c r="A359" s="315" t="s">
        <v>4563</v>
      </c>
      <c r="B359" s="315" t="b">
        <f>IF(ISBLANK(GlobBerMedDisc!$AF$24),"",GlobBerMedDisc!$AF$24)</f>
        <v>0</v>
      </c>
      <c r="C359" s="315" t="b">
        <v>0</v>
      </c>
    </row>
    <row r="360" spans="1:3" s="315" customFormat="1" x14ac:dyDescent="0.2">
      <c r="A360" s="315" t="s">
        <v>4564</v>
      </c>
      <c r="B360" s="315" t="b">
        <f>IF(ISBLANK(GlobBerMedDisc!$AF$25),"",GlobBerMedDisc!$AF$25)</f>
        <v>0</v>
      </c>
      <c r="C360" s="315" t="b">
        <v>0</v>
      </c>
    </row>
    <row r="361" spans="1:3" s="315" customFormat="1" x14ac:dyDescent="0.2">
      <c r="A361" s="315" t="s">
        <v>4565</v>
      </c>
      <c r="B361" s="315" t="b">
        <f>IF(ISBLANK(GlobBerMedDisc!$AF$26),"",GlobBerMedDisc!$AF$26)</f>
        <v>0</v>
      </c>
      <c r="C361" s="315" t="b">
        <v>0</v>
      </c>
    </row>
    <row r="362" spans="1:3" s="315" customFormat="1" x14ac:dyDescent="0.2">
      <c r="A362" s="315" t="s">
        <v>4566</v>
      </c>
      <c r="B362" s="315" t="b">
        <f>IF(ISBLANK(GlobBerMedDisc!$AF$27),"",GlobBerMedDisc!$AF$27)</f>
        <v>0</v>
      </c>
      <c r="C362" s="315" t="b">
        <v>0</v>
      </c>
    </row>
    <row r="363" spans="1:3" s="315" customFormat="1" x14ac:dyDescent="0.2">
      <c r="A363" s="315" t="s">
        <v>4567</v>
      </c>
      <c r="B363" s="315" t="b">
        <f>IF(ISBLANK(GlobBerMedDisc!$AF$28),"",GlobBerMedDisc!$AF$28)</f>
        <v>0</v>
      </c>
      <c r="C363" s="315" t="b">
        <v>0</v>
      </c>
    </row>
    <row r="364" spans="1:3" s="315" customFormat="1" x14ac:dyDescent="0.2">
      <c r="A364" s="315" t="s">
        <v>4568</v>
      </c>
      <c r="B364" s="315" t="b">
        <f>IF(ISBLANK(GlobBerMedDisc!$AF$29),"",GlobBerMedDisc!$AF$29)</f>
        <v>0</v>
      </c>
      <c r="C364" s="315" t="b">
        <v>0</v>
      </c>
    </row>
    <row r="365" spans="1:3" s="315" customFormat="1" x14ac:dyDescent="0.2">
      <c r="A365" s="315" t="s">
        <v>4569</v>
      </c>
      <c r="B365" s="315" t="b">
        <f>IF(ISBLANK(GlobBerMedDisc!$AF$30),"",GlobBerMedDisc!$AF$30)</f>
        <v>0</v>
      </c>
      <c r="C365" s="315" t="b">
        <v>0</v>
      </c>
    </row>
    <row r="366" spans="1:3" s="315" customFormat="1" x14ac:dyDescent="0.2">
      <c r="A366" s="315" t="s">
        <v>4570</v>
      </c>
      <c r="B366" s="315" t="b">
        <f>IF(ISBLANK(GlobBerMedDisc!$AF$31),"",GlobBerMedDisc!$AF$31)</f>
        <v>0</v>
      </c>
      <c r="C366" s="315" t="b">
        <v>0</v>
      </c>
    </row>
    <row r="367" spans="1:3" s="315" customFormat="1" x14ac:dyDescent="0.2">
      <c r="A367" s="315" t="s">
        <v>4571</v>
      </c>
      <c r="B367" s="315" t="str">
        <f>IF(ISBLANK(GlobBerMedDisc!$AG$2),"",GlobBerMedDisc!$AG$2)</f>
        <v/>
      </c>
      <c r="C367" s="130"/>
    </row>
    <row r="368" spans="1:3" s="315" customFormat="1" x14ac:dyDescent="0.2">
      <c r="A368" s="315" t="s">
        <v>4572</v>
      </c>
      <c r="B368" s="315" t="str">
        <f>IF(ISBLANK(GlobBerMedDisc!$AG$3),"",GlobBerMedDisc!$AG$3)</f>
        <v/>
      </c>
      <c r="C368" s="130"/>
    </row>
    <row r="369" spans="1:3" s="315" customFormat="1" x14ac:dyDescent="0.2">
      <c r="A369" s="315" t="s">
        <v>4573</v>
      </c>
      <c r="B369" s="315" t="str">
        <f>IF(ISBLANK(GlobBerMedDisc!$AG$4),"",GlobBerMedDisc!$AG$4)</f>
        <v/>
      </c>
      <c r="C369" s="130"/>
    </row>
    <row r="370" spans="1:3" s="315" customFormat="1" x14ac:dyDescent="0.2">
      <c r="A370" s="315" t="s">
        <v>4574</v>
      </c>
      <c r="B370" s="315" t="str">
        <f>IF(ISBLANK(GlobBerMedDisc!$AG$5),"",GlobBerMedDisc!$AG$5)</f>
        <v/>
      </c>
      <c r="C370" s="130"/>
    </row>
    <row r="371" spans="1:3" s="315" customFormat="1" x14ac:dyDescent="0.2">
      <c r="A371" s="315" t="s">
        <v>4575</v>
      </c>
      <c r="B371" s="315" t="str">
        <f>IF(ISBLANK(GlobBerMedDisc!$AG$6),"",GlobBerMedDisc!$AG$6)</f>
        <v/>
      </c>
      <c r="C371" s="130"/>
    </row>
    <row r="372" spans="1:3" s="315" customFormat="1" x14ac:dyDescent="0.2">
      <c r="A372" s="315" t="s">
        <v>4576</v>
      </c>
      <c r="B372" s="315" t="str">
        <f>IF(ISBLANK(GlobBerMedDisc!$AG$7),"",GlobBerMedDisc!$AG$7)</f>
        <v/>
      </c>
      <c r="C372" s="130"/>
    </row>
    <row r="373" spans="1:3" s="315" customFormat="1" x14ac:dyDescent="0.2">
      <c r="A373" s="315" t="s">
        <v>4577</v>
      </c>
      <c r="B373" s="315" t="str">
        <f>IF(ISBLANK(GlobBerMedDisc!$AG$8),"",GlobBerMedDisc!$AG$8)</f>
        <v/>
      </c>
      <c r="C373" s="130"/>
    </row>
    <row r="374" spans="1:3" s="315" customFormat="1" x14ac:dyDescent="0.2">
      <c r="A374" s="315" t="s">
        <v>4578</v>
      </c>
      <c r="B374" s="315" t="str">
        <f>IF(ISBLANK(GlobBerMedDisc!$AG$9),"",GlobBerMedDisc!$AG$9)</f>
        <v/>
      </c>
      <c r="C374" s="130"/>
    </row>
    <row r="375" spans="1:3" s="315" customFormat="1" x14ac:dyDescent="0.2">
      <c r="A375" s="315" t="s">
        <v>4579</v>
      </c>
      <c r="B375" s="315" t="str">
        <f>IF(ISBLANK(GlobBerMedDisc!$AG$10),"",GlobBerMedDisc!$AG$10)</f>
        <v/>
      </c>
      <c r="C375" s="130"/>
    </row>
    <row r="376" spans="1:3" s="315" customFormat="1" x14ac:dyDescent="0.2">
      <c r="A376" s="315" t="s">
        <v>4580</v>
      </c>
      <c r="B376" s="315" t="str">
        <f>IF(ISBLANK(GlobBerMedDisc!$AG$11),"",GlobBerMedDisc!$AG$11)</f>
        <v/>
      </c>
      <c r="C376" s="130"/>
    </row>
    <row r="377" spans="1:3" s="315" customFormat="1" x14ac:dyDescent="0.2">
      <c r="A377" s="315" t="s">
        <v>4581</v>
      </c>
      <c r="B377" s="315" t="str">
        <f>IF(ISBLANK(GlobBerMedDisc!$AG$12),"",GlobBerMedDisc!$AG$12)</f>
        <v/>
      </c>
      <c r="C377" s="130"/>
    </row>
    <row r="378" spans="1:3" s="315" customFormat="1" x14ac:dyDescent="0.2">
      <c r="A378" s="315" t="s">
        <v>4582</v>
      </c>
      <c r="B378" s="315" t="str">
        <f>IF(ISBLANK(GlobBerMedDisc!$AG$13),"",GlobBerMedDisc!$AG$13)</f>
        <v/>
      </c>
      <c r="C378" s="130"/>
    </row>
    <row r="379" spans="1:3" s="315" customFormat="1" x14ac:dyDescent="0.2">
      <c r="A379" s="315" t="s">
        <v>4583</v>
      </c>
      <c r="B379" s="315" t="str">
        <f>IF(ISBLANK(GlobBerMedDisc!$AG$14),"",GlobBerMedDisc!$AG$14)</f>
        <v/>
      </c>
      <c r="C379" s="130"/>
    </row>
    <row r="380" spans="1:3" s="315" customFormat="1" x14ac:dyDescent="0.2">
      <c r="A380" s="315" t="s">
        <v>4584</v>
      </c>
      <c r="B380" s="315" t="str">
        <f>IF(ISBLANK(GlobBerMedDisc!$AG$15),"",GlobBerMedDisc!$AG$15)</f>
        <v/>
      </c>
      <c r="C380" s="130"/>
    </row>
    <row r="381" spans="1:3" s="315" customFormat="1" x14ac:dyDescent="0.2">
      <c r="A381" s="315" t="s">
        <v>4585</v>
      </c>
      <c r="B381" s="315" t="str">
        <f>IF(ISBLANK(GlobBerMedDisc!$AG$16),"",GlobBerMedDisc!$AG$16)</f>
        <v/>
      </c>
      <c r="C381" s="130"/>
    </row>
    <row r="382" spans="1:3" s="315" customFormat="1" x14ac:dyDescent="0.2">
      <c r="A382" s="315" t="s">
        <v>4586</v>
      </c>
      <c r="B382" s="315" t="str">
        <f>IF(ISBLANK(GlobBerMedDisc!$AG$17),"",GlobBerMedDisc!$AG$17)</f>
        <v/>
      </c>
      <c r="C382" s="130"/>
    </row>
    <row r="383" spans="1:3" s="315" customFormat="1" x14ac:dyDescent="0.2">
      <c r="A383" s="315" t="s">
        <v>4587</v>
      </c>
      <c r="B383" s="315" t="str">
        <f>IF(ISBLANK(GlobBerMedDisc!$AG$18),"",GlobBerMedDisc!$AG$18)</f>
        <v/>
      </c>
      <c r="C383" s="130"/>
    </row>
    <row r="384" spans="1:3" s="315" customFormat="1" x14ac:dyDescent="0.2">
      <c r="A384" s="315" t="s">
        <v>4588</v>
      </c>
      <c r="B384" s="315" t="str">
        <f>IF(ISBLANK(GlobBerMedDisc!$AG$19),"",GlobBerMedDisc!$AG$19)</f>
        <v/>
      </c>
      <c r="C384" s="130"/>
    </row>
    <row r="385" spans="1:3" s="315" customFormat="1" x14ac:dyDescent="0.2">
      <c r="A385" s="315" t="s">
        <v>4589</v>
      </c>
      <c r="B385" s="315" t="str">
        <f>IF(ISBLANK(GlobBerMedDisc!$AG$20),"",GlobBerMedDisc!$AG$20)</f>
        <v/>
      </c>
      <c r="C385" s="130"/>
    </row>
    <row r="386" spans="1:3" s="315" customFormat="1" x14ac:dyDescent="0.2">
      <c r="A386" s="315" t="s">
        <v>4590</v>
      </c>
      <c r="B386" s="315" t="str">
        <f>IF(ISBLANK(GlobBerMedDisc!$AG$21),"",GlobBerMedDisc!$AG$21)</f>
        <v/>
      </c>
      <c r="C386" s="130"/>
    </row>
    <row r="387" spans="1:3" s="315" customFormat="1" x14ac:dyDescent="0.2">
      <c r="A387" s="315" t="s">
        <v>4591</v>
      </c>
      <c r="B387" s="315" t="str">
        <f>IF(ISBLANK(GlobBerMedDisc!$AG$22),"",GlobBerMedDisc!$AG$22)</f>
        <v/>
      </c>
      <c r="C387" s="130"/>
    </row>
    <row r="388" spans="1:3" s="315" customFormat="1" x14ac:dyDescent="0.2">
      <c r="A388" s="315" t="s">
        <v>4592</v>
      </c>
      <c r="B388" s="315" t="str">
        <f>IF(ISBLANK(GlobBerMedDisc!$AG$23),"",GlobBerMedDisc!$AG$23)</f>
        <v/>
      </c>
      <c r="C388" s="130"/>
    </row>
    <row r="389" spans="1:3" s="315" customFormat="1" x14ac:dyDescent="0.2">
      <c r="A389" s="315" t="s">
        <v>4593</v>
      </c>
      <c r="B389" s="315" t="str">
        <f>IF(ISBLANK(GlobBerMedDisc!$AG$24),"",GlobBerMedDisc!$AG$24)</f>
        <v/>
      </c>
      <c r="C389" s="130"/>
    </row>
    <row r="390" spans="1:3" s="315" customFormat="1" x14ac:dyDescent="0.2">
      <c r="A390" s="315" t="s">
        <v>4594</v>
      </c>
      <c r="B390" s="315" t="str">
        <f>IF(ISBLANK(GlobBerMedDisc!$AG$25),"",GlobBerMedDisc!$AG$25)</f>
        <v/>
      </c>
      <c r="C390" s="130"/>
    </row>
    <row r="391" spans="1:3" s="315" customFormat="1" x14ac:dyDescent="0.2">
      <c r="A391" s="315" t="s">
        <v>4595</v>
      </c>
      <c r="B391" s="315" t="str">
        <f>IF(ISBLANK(GlobBerMedDisc!$AG$26),"",GlobBerMedDisc!$AG$26)</f>
        <v/>
      </c>
      <c r="C391" s="130"/>
    </row>
    <row r="392" spans="1:3" s="315" customFormat="1" x14ac:dyDescent="0.2">
      <c r="A392" s="315" t="s">
        <v>4596</v>
      </c>
      <c r="B392" s="315" t="str">
        <f>IF(ISBLANK(GlobBerMedDisc!$AG$27),"",GlobBerMedDisc!$AG$27)</f>
        <v/>
      </c>
      <c r="C392" s="130"/>
    </row>
    <row r="393" spans="1:3" s="315" customFormat="1" x14ac:dyDescent="0.2">
      <c r="A393" s="315" t="s">
        <v>4597</v>
      </c>
      <c r="B393" s="315" t="str">
        <f>IF(ISBLANK(GlobBerMedDisc!$AG$28),"",GlobBerMedDisc!$AG$28)</f>
        <v/>
      </c>
      <c r="C393" s="130"/>
    </row>
    <row r="394" spans="1:3" s="315" customFormat="1" x14ac:dyDescent="0.2">
      <c r="A394" s="315" t="s">
        <v>4598</v>
      </c>
      <c r="B394" s="315" t="str">
        <f>IF(ISBLANK(GlobBerMedDisc!$AG$29),"",GlobBerMedDisc!$AG$29)</f>
        <v/>
      </c>
      <c r="C394" s="130"/>
    </row>
    <row r="395" spans="1:3" s="315" customFormat="1" x14ac:dyDescent="0.2">
      <c r="A395" s="315" t="s">
        <v>4599</v>
      </c>
      <c r="B395" s="315" t="str">
        <f>IF(ISBLANK(GlobBerMedDisc!$AG$30),"",GlobBerMedDisc!$AG$30)</f>
        <v/>
      </c>
      <c r="C395" s="130"/>
    </row>
    <row r="396" spans="1:3" s="315" customFormat="1" x14ac:dyDescent="0.2">
      <c r="A396" s="315" t="s">
        <v>4600</v>
      </c>
      <c r="B396" s="315" t="str">
        <f>IF(ISBLANK(GlobBerMedDisc!$AG$31),"",GlobBerMedDisc!$AG$31)</f>
        <v/>
      </c>
      <c r="C396" s="130"/>
    </row>
    <row r="397" spans="1:3" x14ac:dyDescent="0.2">
      <c r="A397" s="315" t="s">
        <v>2582</v>
      </c>
      <c r="B397" s="317">
        <f>IF(ISBLANK(GlobBerMedDisc!$E$2),"",GlobBerMedDisc!$E$2)</f>
        <v>0</v>
      </c>
      <c r="C397" s="317">
        <v>0</v>
      </c>
    </row>
    <row r="398" spans="1:3" x14ac:dyDescent="0.2">
      <c r="A398" s="315" t="s">
        <v>2583</v>
      </c>
      <c r="B398" s="317">
        <f>IF(ISBLANK(GlobBerMedDisc!$E$3),"",GlobBerMedDisc!$E$3)</f>
        <v>0</v>
      </c>
      <c r="C398" s="317">
        <v>0</v>
      </c>
    </row>
    <row r="399" spans="1:3" x14ac:dyDescent="0.2">
      <c r="A399" s="315" t="s">
        <v>2584</v>
      </c>
      <c r="B399" s="317">
        <f>IF(ISBLANK(GlobBerMedDisc!$E$4),"",GlobBerMedDisc!$E$4)</f>
        <v>0</v>
      </c>
      <c r="C399" s="317">
        <v>0</v>
      </c>
    </row>
    <row r="400" spans="1:3" x14ac:dyDescent="0.2">
      <c r="A400" s="315" t="s">
        <v>2585</v>
      </c>
      <c r="B400" s="317">
        <f>IF(ISBLANK(GlobBerMedDisc!$E$5),"",GlobBerMedDisc!$E$5)</f>
        <v>0</v>
      </c>
      <c r="C400" s="317">
        <v>0</v>
      </c>
    </row>
    <row r="401" spans="1:6" x14ac:dyDescent="0.2">
      <c r="A401" s="315" t="s">
        <v>2586</v>
      </c>
      <c r="B401" s="317">
        <f>IF(ISBLANK(GlobBerMedDisc!$E$6),"",GlobBerMedDisc!$E$6)</f>
        <v>0</v>
      </c>
      <c r="C401" s="317">
        <v>0</v>
      </c>
    </row>
    <row r="402" spans="1:6" x14ac:dyDescent="0.2">
      <c r="A402" s="315" t="s">
        <v>2587</v>
      </c>
      <c r="B402" s="317">
        <f>IF(ISBLANK(GlobBerMedDisc!$E$7),"",GlobBerMedDisc!$E$7)</f>
        <v>0</v>
      </c>
      <c r="C402" s="317">
        <v>0</v>
      </c>
    </row>
    <row r="403" spans="1:6" x14ac:dyDescent="0.2">
      <c r="A403" s="315" t="s">
        <v>2588</v>
      </c>
      <c r="B403" s="317">
        <f>IF(ISBLANK(GlobBerMedDisc!$E$8),"",GlobBerMedDisc!$E$8)</f>
        <v>0</v>
      </c>
      <c r="C403" s="317">
        <v>0</v>
      </c>
    </row>
    <row r="404" spans="1:6" x14ac:dyDescent="0.2">
      <c r="A404" s="315" t="s">
        <v>2589</v>
      </c>
      <c r="B404" s="317">
        <f>IF(ISBLANK(GlobBerMedDisc!$E$9),"",GlobBerMedDisc!$E$9)</f>
        <v>0</v>
      </c>
      <c r="C404" s="317">
        <v>0</v>
      </c>
    </row>
    <row r="405" spans="1:6" x14ac:dyDescent="0.2">
      <c r="A405" s="315" t="s">
        <v>2590</v>
      </c>
      <c r="B405" s="317">
        <f>IF(ISBLANK(GlobBerMedDisc!$E$10),"",GlobBerMedDisc!$E$10)</f>
        <v>0</v>
      </c>
      <c r="C405" s="317">
        <v>0</v>
      </c>
    </row>
    <row r="406" spans="1:6" x14ac:dyDescent="0.2">
      <c r="A406" s="315" t="s">
        <v>2591</v>
      </c>
      <c r="B406" s="317">
        <f>IF(ISBLANK(GlobBerMedDisc!$E$11),"",GlobBerMedDisc!$E$11)</f>
        <v>0</v>
      </c>
      <c r="C406" s="317">
        <v>0</v>
      </c>
    </row>
    <row r="407" spans="1:6" x14ac:dyDescent="0.2">
      <c r="A407" s="315" t="s">
        <v>2592</v>
      </c>
      <c r="B407" s="317">
        <f>IF(ISBLANK(GlobBerMedDisc!$E$12),"",GlobBerMedDisc!$E$12)</f>
        <v>0</v>
      </c>
      <c r="C407" s="317">
        <v>0</v>
      </c>
    </row>
    <row r="408" spans="1:6" x14ac:dyDescent="0.2">
      <c r="A408" s="315" t="s">
        <v>2593</v>
      </c>
      <c r="B408" s="317">
        <f>IF(ISBLANK(GlobBerMedDisc!$E$13),"",GlobBerMedDisc!$E$13)</f>
        <v>0</v>
      </c>
      <c r="C408" s="317">
        <v>0</v>
      </c>
    </row>
    <row r="409" spans="1:6" x14ac:dyDescent="0.2">
      <c r="A409" s="315" t="s">
        <v>2594</v>
      </c>
      <c r="B409" s="317">
        <f>IF(ISBLANK(GlobBerMedDisc!$E$14),"",GlobBerMedDisc!$E$14)</f>
        <v>0</v>
      </c>
      <c r="C409" s="317">
        <v>0</v>
      </c>
    </row>
    <row r="410" spans="1:6" x14ac:dyDescent="0.2">
      <c r="A410" s="315" t="s">
        <v>2595</v>
      </c>
      <c r="B410" s="317">
        <f>IF(ISBLANK(GlobBerMedDisc!$E$15),"",GlobBerMedDisc!$E$15)</f>
        <v>0</v>
      </c>
      <c r="C410" s="317">
        <v>0</v>
      </c>
    </row>
    <row r="411" spans="1:6" x14ac:dyDescent="0.2">
      <c r="A411" s="315" t="s">
        <v>2596</v>
      </c>
      <c r="B411" s="317">
        <f>IF(ISBLANK(GlobBerMedDisc!$E$16),"",GlobBerMedDisc!$E$16)</f>
        <v>0</v>
      </c>
      <c r="C411" s="317">
        <v>0</v>
      </c>
    </row>
    <row r="412" spans="1:6" x14ac:dyDescent="0.2">
      <c r="A412" s="315" t="s">
        <v>2597</v>
      </c>
      <c r="B412" s="317">
        <f>IF(ISBLANK(GlobBerMedDisc!$E$17),"",GlobBerMedDisc!$E$17)</f>
        <v>0</v>
      </c>
      <c r="C412" s="317">
        <v>0</v>
      </c>
    </row>
    <row r="413" spans="1:6" x14ac:dyDescent="0.2">
      <c r="A413" s="315" t="s">
        <v>2598</v>
      </c>
      <c r="B413" s="317">
        <f>IF(ISBLANK(GlobBerMedDisc!$E$18),"",GlobBerMedDisc!$E$18)</f>
        <v>0</v>
      </c>
      <c r="C413" s="317">
        <v>0</v>
      </c>
    </row>
    <row r="414" spans="1:6" x14ac:dyDescent="0.2">
      <c r="A414" s="315" t="s">
        <v>2599</v>
      </c>
      <c r="B414" s="317">
        <f>IF(ISBLANK(GlobBerMedDisc!$E$19),"",GlobBerMedDisc!$E$19)</f>
        <v>0</v>
      </c>
      <c r="C414" s="317">
        <v>0</v>
      </c>
    </row>
    <row r="415" spans="1:6" x14ac:dyDescent="0.2">
      <c r="A415" s="315" t="s">
        <v>2600</v>
      </c>
      <c r="B415" s="317">
        <f>IF(ISBLANK(GlobBerMedDisc!$E$20),"",GlobBerMedDisc!$E$20)</f>
        <v>0</v>
      </c>
      <c r="C415" s="317">
        <v>0</v>
      </c>
    </row>
    <row r="416" spans="1:6" x14ac:dyDescent="0.2">
      <c r="A416" s="315" t="s">
        <v>2601</v>
      </c>
      <c r="B416" s="317">
        <f>IF(ISBLANK(GlobBerMedDisc!$E$21),"",GlobBerMedDisc!$E$21)</f>
        <v>0</v>
      </c>
      <c r="C416" s="317">
        <v>0</v>
      </c>
      <c r="F416" s="315"/>
    </row>
    <row r="417" spans="1:3" x14ac:dyDescent="0.2">
      <c r="A417" s="315" t="s">
        <v>2602</v>
      </c>
      <c r="B417" s="317">
        <f>IF(ISBLANK(GlobBerMedDisc!$E$22),"",GlobBerMedDisc!$E$22)</f>
        <v>0</v>
      </c>
      <c r="C417" s="317">
        <v>0</v>
      </c>
    </row>
    <row r="418" spans="1:3" x14ac:dyDescent="0.2">
      <c r="A418" s="315" t="s">
        <v>2603</v>
      </c>
      <c r="B418" s="317">
        <f>IF(ISBLANK(GlobBerMedDisc!$E$23),"",GlobBerMedDisc!$E$23)</f>
        <v>0</v>
      </c>
      <c r="C418" s="317">
        <v>0</v>
      </c>
    </row>
    <row r="419" spans="1:3" x14ac:dyDescent="0.2">
      <c r="A419" s="315" t="s">
        <v>2604</v>
      </c>
      <c r="B419" s="317">
        <f>IF(ISBLANK(GlobBerMedDisc!$E$24),"",GlobBerMedDisc!$E$24)</f>
        <v>0</v>
      </c>
      <c r="C419" s="317">
        <v>0</v>
      </c>
    </row>
    <row r="420" spans="1:3" x14ac:dyDescent="0.2">
      <c r="A420" s="315" t="s">
        <v>2605</v>
      </c>
      <c r="B420" s="317">
        <f>IF(ISBLANK(GlobBerMedDisc!$E$25),"",GlobBerMedDisc!$E$25)</f>
        <v>0</v>
      </c>
      <c r="C420" s="317">
        <v>0</v>
      </c>
    </row>
    <row r="421" spans="1:3" x14ac:dyDescent="0.2">
      <c r="A421" s="315" t="s">
        <v>2606</v>
      </c>
      <c r="B421" s="317">
        <f>IF(ISBLANK(GlobBerMedDisc!$E$26),"",GlobBerMedDisc!$E$26)</f>
        <v>0</v>
      </c>
      <c r="C421" s="317">
        <v>0</v>
      </c>
    </row>
    <row r="422" spans="1:3" x14ac:dyDescent="0.2">
      <c r="A422" s="315" t="s">
        <v>2607</v>
      </c>
      <c r="B422" s="317">
        <f>IF(ISBLANK(GlobBerMedDisc!$E$27),"",GlobBerMedDisc!$E$27)</f>
        <v>0</v>
      </c>
      <c r="C422" s="317">
        <v>0</v>
      </c>
    </row>
    <row r="423" spans="1:3" x14ac:dyDescent="0.2">
      <c r="A423" s="315" t="s">
        <v>2608</v>
      </c>
      <c r="B423" s="317">
        <f>IF(ISBLANK(GlobBerMedDisc!$E$28),"",GlobBerMedDisc!$E$28)</f>
        <v>0</v>
      </c>
      <c r="C423" s="317">
        <v>0</v>
      </c>
    </row>
    <row r="424" spans="1:3" x14ac:dyDescent="0.2">
      <c r="A424" s="315" t="s">
        <v>2609</v>
      </c>
      <c r="B424" s="317">
        <f>IF(ISBLANK(GlobBerMedDisc!$E$29),"",GlobBerMedDisc!$E$29)</f>
        <v>0</v>
      </c>
      <c r="C424" s="317">
        <v>0</v>
      </c>
    </row>
    <row r="425" spans="1:3" x14ac:dyDescent="0.2">
      <c r="A425" s="315" t="s">
        <v>2610</v>
      </c>
      <c r="B425" s="317">
        <f>IF(ISBLANK(GlobBerMedDisc!$E$30),"",GlobBerMedDisc!$E$30)</f>
        <v>0</v>
      </c>
      <c r="C425" s="317">
        <v>0</v>
      </c>
    </row>
    <row r="426" spans="1:3" x14ac:dyDescent="0.2">
      <c r="A426" s="315" t="s">
        <v>2611</v>
      </c>
      <c r="B426" s="317">
        <f>IF(ISBLANK(GlobBerMedDisc!$E$31),"",GlobBerMedDisc!$E$31)</f>
        <v>0</v>
      </c>
      <c r="C426" s="317">
        <v>0</v>
      </c>
    </row>
    <row r="427" spans="1:3" x14ac:dyDescent="0.2">
      <c r="A427" s="315" t="s">
        <v>2612</v>
      </c>
      <c r="B427">
        <f>IF(ISBLANK(GlobBerMedDisc!$AI$2),"",GlobBerMedDisc!$AI$2)</f>
        <v>0</v>
      </c>
      <c r="C427" s="317">
        <v>0</v>
      </c>
    </row>
    <row r="428" spans="1:3" x14ac:dyDescent="0.2">
      <c r="A428" s="315" t="s">
        <v>2613</v>
      </c>
      <c r="B428">
        <f>IF(ISBLANK(GlobBerMedDisc!$AI$3),"",GlobBerMedDisc!$AI$3)</f>
        <v>0</v>
      </c>
      <c r="C428" s="317">
        <v>0</v>
      </c>
    </row>
    <row r="429" spans="1:3" x14ac:dyDescent="0.2">
      <c r="A429" s="315" t="s">
        <v>2614</v>
      </c>
      <c r="B429">
        <f>IF(ISBLANK(GlobBerMedDisc!$AI$4),"",GlobBerMedDisc!$AI$4)</f>
        <v>0</v>
      </c>
      <c r="C429" s="317">
        <v>0</v>
      </c>
    </row>
    <row r="430" spans="1:3" x14ac:dyDescent="0.2">
      <c r="A430" s="315" t="s">
        <v>2615</v>
      </c>
      <c r="B430">
        <f>IF(ISBLANK(GlobBerMedDisc!$AI$5),"",GlobBerMedDisc!$AI$5)</f>
        <v>0</v>
      </c>
      <c r="C430" s="317">
        <v>0</v>
      </c>
    </row>
    <row r="431" spans="1:3" x14ac:dyDescent="0.2">
      <c r="A431" s="315" t="s">
        <v>2616</v>
      </c>
      <c r="B431">
        <f>IF(ISBLANK(GlobBerMedDisc!$AI$6),"",GlobBerMedDisc!$AI$6)</f>
        <v>0</v>
      </c>
      <c r="C431" s="317">
        <v>0</v>
      </c>
    </row>
    <row r="432" spans="1:3" x14ac:dyDescent="0.2">
      <c r="A432" s="315" t="s">
        <v>2617</v>
      </c>
      <c r="B432">
        <f>IF(ISBLANK(GlobBerMedDisc!$AI$7),"",GlobBerMedDisc!$AI$7)</f>
        <v>0</v>
      </c>
      <c r="C432" s="317">
        <v>0</v>
      </c>
    </row>
    <row r="433" spans="1:3" x14ac:dyDescent="0.2">
      <c r="A433" s="315" t="s">
        <v>2618</v>
      </c>
      <c r="B433">
        <f>IF(ISBLANK(GlobBerMedDisc!$AI$8),"",GlobBerMedDisc!$AI$8)</f>
        <v>0</v>
      </c>
      <c r="C433" s="317">
        <v>0</v>
      </c>
    </row>
    <row r="434" spans="1:3" x14ac:dyDescent="0.2">
      <c r="A434" s="315" t="s">
        <v>2619</v>
      </c>
      <c r="B434">
        <f>IF(ISBLANK(GlobBerMedDisc!$AI$9),"",GlobBerMedDisc!$AI$9)</f>
        <v>0</v>
      </c>
      <c r="C434" s="317">
        <v>0</v>
      </c>
    </row>
    <row r="435" spans="1:3" x14ac:dyDescent="0.2">
      <c r="A435" s="315" t="s">
        <v>2620</v>
      </c>
      <c r="B435">
        <f>IF(ISBLANK(GlobBerMedDisc!$AI$10),"",GlobBerMedDisc!$AI$10)</f>
        <v>0</v>
      </c>
      <c r="C435" s="317">
        <v>0</v>
      </c>
    </row>
    <row r="436" spans="1:3" x14ac:dyDescent="0.2">
      <c r="A436" s="315" t="s">
        <v>2621</v>
      </c>
      <c r="B436">
        <f>IF(ISBLANK(GlobBerMedDisc!$AI$11),"",GlobBerMedDisc!$AI$11)</f>
        <v>0</v>
      </c>
      <c r="C436" s="317">
        <v>0</v>
      </c>
    </row>
    <row r="437" spans="1:3" x14ac:dyDescent="0.2">
      <c r="A437" s="315" t="s">
        <v>2622</v>
      </c>
      <c r="B437">
        <f>IF(ISBLANK(GlobBerMedDisc!$AI$12),"",GlobBerMedDisc!$AI$12)</f>
        <v>0</v>
      </c>
      <c r="C437" s="317">
        <v>0</v>
      </c>
    </row>
    <row r="438" spans="1:3" x14ac:dyDescent="0.2">
      <c r="A438" s="315" t="s">
        <v>2623</v>
      </c>
      <c r="B438">
        <f>IF(ISBLANK(GlobBerMedDisc!$AI$13),"",GlobBerMedDisc!$AI$13)</f>
        <v>0</v>
      </c>
      <c r="C438" s="317">
        <v>0</v>
      </c>
    </row>
    <row r="439" spans="1:3" x14ac:dyDescent="0.2">
      <c r="A439" s="315" t="s">
        <v>2624</v>
      </c>
      <c r="B439">
        <f>IF(ISBLANK(GlobBerMedDisc!$AI$14),"",GlobBerMedDisc!$AI$14)</f>
        <v>0</v>
      </c>
      <c r="C439" s="317">
        <v>0</v>
      </c>
    </row>
    <row r="440" spans="1:3" x14ac:dyDescent="0.2">
      <c r="A440" s="315" t="s">
        <v>2625</v>
      </c>
      <c r="B440">
        <f>IF(ISBLANK(GlobBerMedDisc!$AI$15),"",GlobBerMedDisc!$AI$15)</f>
        <v>0</v>
      </c>
      <c r="C440" s="317">
        <v>0</v>
      </c>
    </row>
    <row r="441" spans="1:3" x14ac:dyDescent="0.2">
      <c r="A441" s="315" t="s">
        <v>2626</v>
      </c>
      <c r="B441">
        <f>IF(ISBLANK(GlobBerMedDisc!$AI$16),"",GlobBerMedDisc!$AI$16)</f>
        <v>0</v>
      </c>
      <c r="C441" s="317">
        <v>0</v>
      </c>
    </row>
    <row r="442" spans="1:3" x14ac:dyDescent="0.2">
      <c r="A442" s="315" t="s">
        <v>2627</v>
      </c>
      <c r="B442">
        <f>IF(ISBLANK(GlobBerMedDisc!$AI$17),"",GlobBerMedDisc!$AI$17)</f>
        <v>0</v>
      </c>
      <c r="C442" s="317">
        <v>0</v>
      </c>
    </row>
    <row r="443" spans="1:3" x14ac:dyDescent="0.2">
      <c r="A443" s="315" t="s">
        <v>2628</v>
      </c>
      <c r="B443">
        <f>IF(ISBLANK(GlobBerMedDisc!$AI$18),"",GlobBerMedDisc!$AI$18)</f>
        <v>0</v>
      </c>
      <c r="C443" s="317">
        <v>0</v>
      </c>
    </row>
    <row r="444" spans="1:3" x14ac:dyDescent="0.2">
      <c r="A444" s="315" t="s">
        <v>2629</v>
      </c>
      <c r="B444">
        <f>IF(ISBLANK(GlobBerMedDisc!$AI$19),"",GlobBerMedDisc!$AI$19)</f>
        <v>0</v>
      </c>
      <c r="C444" s="317">
        <v>0</v>
      </c>
    </row>
    <row r="445" spans="1:3" x14ac:dyDescent="0.2">
      <c r="A445" s="315" t="s">
        <v>2630</v>
      </c>
      <c r="B445">
        <f>IF(ISBLANK(GlobBerMedDisc!$AI$20),"",GlobBerMedDisc!$AI$20)</f>
        <v>0</v>
      </c>
      <c r="C445" s="317">
        <v>0</v>
      </c>
    </row>
    <row r="446" spans="1:3" x14ac:dyDescent="0.2">
      <c r="A446" s="315" t="s">
        <v>2631</v>
      </c>
      <c r="B446">
        <f>IF(ISBLANK(GlobBerMedDisc!$AI$21),"",GlobBerMedDisc!$AI$21)</f>
        <v>0</v>
      </c>
      <c r="C446" s="317">
        <v>0</v>
      </c>
    </row>
    <row r="447" spans="1:3" x14ac:dyDescent="0.2">
      <c r="A447" s="315" t="s">
        <v>2632</v>
      </c>
      <c r="B447">
        <f>IF(ISBLANK(GlobBerMedDisc!$AI$22),"",GlobBerMedDisc!$AI$22)</f>
        <v>0</v>
      </c>
      <c r="C447" s="317">
        <v>0</v>
      </c>
    </row>
    <row r="448" spans="1:3" x14ac:dyDescent="0.2">
      <c r="A448" s="315" t="s">
        <v>2633</v>
      </c>
      <c r="B448">
        <f>IF(ISBLANK(GlobBerMedDisc!$AI$23),"",GlobBerMedDisc!$AI$23)</f>
        <v>0</v>
      </c>
      <c r="C448" s="317">
        <v>0</v>
      </c>
    </row>
    <row r="449" spans="1:6" x14ac:dyDescent="0.2">
      <c r="A449" s="315" t="s">
        <v>2634</v>
      </c>
      <c r="B449">
        <f>IF(ISBLANK(GlobBerMedDisc!$AI$24),"",GlobBerMedDisc!$AI$24)</f>
        <v>0</v>
      </c>
      <c r="C449" s="317">
        <v>0</v>
      </c>
    </row>
    <row r="450" spans="1:6" x14ac:dyDescent="0.2">
      <c r="A450" s="315" t="s">
        <v>2635</v>
      </c>
      <c r="B450">
        <f>IF(ISBLANK(GlobBerMedDisc!$AI$25),"",GlobBerMedDisc!$AI$25)</f>
        <v>0</v>
      </c>
      <c r="C450" s="317">
        <v>0</v>
      </c>
    </row>
    <row r="451" spans="1:6" x14ac:dyDescent="0.2">
      <c r="A451" s="315" t="s">
        <v>2636</v>
      </c>
      <c r="B451">
        <f>IF(ISBLANK(GlobBerMedDisc!$AI$26),"",GlobBerMedDisc!$AI$26)</f>
        <v>0</v>
      </c>
      <c r="C451" s="317">
        <v>0</v>
      </c>
    </row>
    <row r="452" spans="1:6" x14ac:dyDescent="0.2">
      <c r="A452" s="315" t="s">
        <v>2637</v>
      </c>
      <c r="B452">
        <f>IF(ISBLANK(GlobBerMedDisc!$AI$27),"",GlobBerMedDisc!$AI$27)</f>
        <v>0</v>
      </c>
      <c r="C452" s="317">
        <v>0</v>
      </c>
    </row>
    <row r="453" spans="1:6" x14ac:dyDescent="0.2">
      <c r="A453" s="315" t="s">
        <v>2638</v>
      </c>
      <c r="B453">
        <f>IF(ISBLANK(GlobBerMedDisc!$AI$28),"",GlobBerMedDisc!$AI$28)</f>
        <v>0</v>
      </c>
      <c r="C453" s="317">
        <v>0</v>
      </c>
    </row>
    <row r="454" spans="1:6" x14ac:dyDescent="0.2">
      <c r="A454" s="315" t="s">
        <v>2639</v>
      </c>
      <c r="B454">
        <f>IF(ISBLANK(GlobBerMedDisc!$AI$29),"",GlobBerMedDisc!$AI$29)</f>
        <v>0</v>
      </c>
      <c r="C454" s="317">
        <v>0</v>
      </c>
    </row>
    <row r="455" spans="1:6" x14ac:dyDescent="0.2">
      <c r="A455" s="315" t="s">
        <v>2640</v>
      </c>
      <c r="B455">
        <f>IF(ISBLANK(GlobBerMedDisc!$AI$30),"",GlobBerMedDisc!$AI$30)</f>
        <v>0</v>
      </c>
      <c r="C455" s="317">
        <v>0</v>
      </c>
    </row>
    <row r="456" spans="1:6" x14ac:dyDescent="0.2">
      <c r="A456" s="315" t="s">
        <v>2641</v>
      </c>
      <c r="B456">
        <f>IF(ISBLANK(GlobBerMedDisc!$AI$31),"",GlobBerMedDisc!$AI$31)</f>
        <v>0</v>
      </c>
      <c r="C456" s="317">
        <v>0</v>
      </c>
    </row>
    <row r="457" spans="1:6" x14ac:dyDescent="0.2">
      <c r="A457" s="315" t="s">
        <v>2642</v>
      </c>
      <c r="B457" t="str">
        <f>IF(ISBLANK(GlobBerMedDisc!$AJ$2),"",GlobBerMedDisc!$AJ$2)</f>
        <v/>
      </c>
      <c r="C457" s="130"/>
    </row>
    <row r="458" spans="1:6" x14ac:dyDescent="0.2">
      <c r="A458" s="315" t="s">
        <v>2643</v>
      </c>
      <c r="B458" t="str">
        <f>IF(ISBLANK(GlobBerMedDisc!$AJ$3),"",GlobBerMedDisc!$AJ$3)</f>
        <v/>
      </c>
      <c r="C458" s="130"/>
    </row>
    <row r="459" spans="1:6" x14ac:dyDescent="0.2">
      <c r="A459" s="315" t="s">
        <v>2644</v>
      </c>
      <c r="B459" t="str">
        <f>IF(ISBLANK(GlobBerMedDisc!$AJ$4),"",GlobBerMedDisc!$AJ$4)</f>
        <v/>
      </c>
      <c r="C459" s="130"/>
    </row>
    <row r="460" spans="1:6" x14ac:dyDescent="0.2">
      <c r="A460" s="315" t="s">
        <v>2645</v>
      </c>
      <c r="B460" t="str">
        <f>IF(ISBLANK(GlobBerMedDisc!$AJ$5),"",GlobBerMedDisc!$AJ$5)</f>
        <v/>
      </c>
      <c r="C460" s="130"/>
    </row>
    <row r="461" spans="1:6" x14ac:dyDescent="0.2">
      <c r="A461" s="315" t="s">
        <v>2646</v>
      </c>
      <c r="B461" t="str">
        <f>IF(ISBLANK(GlobBerMedDisc!$AJ$6),"",GlobBerMedDisc!$AJ$6)</f>
        <v/>
      </c>
      <c r="C461" s="130"/>
    </row>
    <row r="462" spans="1:6" x14ac:dyDescent="0.2">
      <c r="A462" s="315" t="s">
        <v>2647</v>
      </c>
      <c r="B462" t="str">
        <f>IF(ISBLANK(GlobBerMedDisc!$AJ$7),"",GlobBerMedDisc!$AJ$7)</f>
        <v/>
      </c>
      <c r="C462" s="130"/>
      <c r="F462" s="315"/>
    </row>
    <row r="463" spans="1:6" x14ac:dyDescent="0.2">
      <c r="A463" s="315" t="s">
        <v>2648</v>
      </c>
      <c r="B463" t="str">
        <f>IF(ISBLANK(GlobBerMedDisc!$AJ$8),"",GlobBerMedDisc!$AJ$8)</f>
        <v/>
      </c>
      <c r="C463" s="130"/>
    </row>
    <row r="464" spans="1:6" x14ac:dyDescent="0.2">
      <c r="A464" s="315" t="s">
        <v>2649</v>
      </c>
      <c r="B464" t="str">
        <f>IF(ISBLANK(GlobBerMedDisc!$AJ$9),"",GlobBerMedDisc!$AJ$9)</f>
        <v/>
      </c>
      <c r="C464" s="130"/>
    </row>
    <row r="465" spans="1:6" x14ac:dyDescent="0.2">
      <c r="A465" s="315" t="s">
        <v>2650</v>
      </c>
      <c r="B465" t="str">
        <f>IF(ISBLANK(GlobBerMedDisc!$AJ$10),"",GlobBerMedDisc!$AJ$10)</f>
        <v/>
      </c>
      <c r="C465" s="130"/>
    </row>
    <row r="466" spans="1:6" x14ac:dyDescent="0.2">
      <c r="A466" s="315" t="s">
        <v>2651</v>
      </c>
      <c r="B466" t="str">
        <f>IF(ISBLANK(GlobBerMedDisc!$AJ$11),"",GlobBerMedDisc!$AJ$11)</f>
        <v/>
      </c>
      <c r="C466" s="130"/>
    </row>
    <row r="467" spans="1:6" x14ac:dyDescent="0.2">
      <c r="A467" s="315" t="s">
        <v>2652</v>
      </c>
      <c r="B467" t="str">
        <f>IF(ISBLANK(GlobBerMedDisc!$AJ$12),"",GlobBerMedDisc!$AJ$12)</f>
        <v/>
      </c>
      <c r="C467" s="130"/>
      <c r="F467" s="315"/>
    </row>
    <row r="468" spans="1:6" x14ac:dyDescent="0.2">
      <c r="A468" s="315" t="s">
        <v>2653</v>
      </c>
      <c r="B468" t="str">
        <f>IF(ISBLANK(GlobBerMedDisc!$AJ$13),"",GlobBerMedDisc!$AJ$13)</f>
        <v/>
      </c>
      <c r="C468" s="130"/>
    </row>
    <row r="469" spans="1:6" x14ac:dyDescent="0.2">
      <c r="A469" s="315" t="s">
        <v>2654</v>
      </c>
      <c r="B469" t="str">
        <f>IF(ISBLANK(GlobBerMedDisc!$AJ$14),"",GlobBerMedDisc!$AJ$14)</f>
        <v/>
      </c>
      <c r="C469" s="130"/>
    </row>
    <row r="470" spans="1:6" x14ac:dyDescent="0.2">
      <c r="A470" s="315" t="s">
        <v>2655</v>
      </c>
      <c r="B470" t="str">
        <f>IF(ISBLANK(GlobBerMedDisc!$AJ$15),"",GlobBerMedDisc!$AJ$15)</f>
        <v/>
      </c>
      <c r="C470" s="130"/>
    </row>
    <row r="471" spans="1:6" x14ac:dyDescent="0.2">
      <c r="A471" s="315" t="s">
        <v>2656</v>
      </c>
      <c r="B471" t="str">
        <f>IF(ISBLANK(GlobBerMedDisc!$AJ$16),"",GlobBerMedDisc!$AJ$16)</f>
        <v/>
      </c>
      <c r="C471" s="130"/>
    </row>
    <row r="472" spans="1:6" x14ac:dyDescent="0.2">
      <c r="A472" s="315" t="s">
        <v>2657</v>
      </c>
      <c r="B472" t="str">
        <f>IF(ISBLANK(GlobBerMedDisc!$AJ$17),"",GlobBerMedDisc!$AJ$17)</f>
        <v/>
      </c>
      <c r="C472" s="130"/>
    </row>
    <row r="473" spans="1:6" x14ac:dyDescent="0.2">
      <c r="A473" s="315" t="s">
        <v>2658</v>
      </c>
      <c r="B473" t="str">
        <f>IF(ISBLANK(GlobBerMedDisc!$AJ$18),"",GlobBerMedDisc!$AJ$18)</f>
        <v/>
      </c>
      <c r="C473" s="130"/>
    </row>
    <row r="474" spans="1:6" x14ac:dyDescent="0.2">
      <c r="A474" s="315" t="s">
        <v>2659</v>
      </c>
      <c r="B474" t="str">
        <f>IF(ISBLANK(GlobBerMedDisc!$AJ$19),"",GlobBerMedDisc!$AJ$19)</f>
        <v/>
      </c>
      <c r="C474" s="130"/>
    </row>
    <row r="475" spans="1:6" x14ac:dyDescent="0.2">
      <c r="A475" s="315" t="s">
        <v>2660</v>
      </c>
      <c r="B475" t="str">
        <f>IF(ISBLANK(GlobBerMedDisc!$AJ$20),"",GlobBerMedDisc!$AJ$20)</f>
        <v/>
      </c>
      <c r="C475" s="130"/>
    </row>
    <row r="476" spans="1:6" x14ac:dyDescent="0.2">
      <c r="A476" s="315" t="s">
        <v>2661</v>
      </c>
      <c r="B476" t="str">
        <f>IF(ISBLANK(GlobBerMedDisc!$AJ$21),"",GlobBerMedDisc!$AJ$21)</f>
        <v/>
      </c>
      <c r="C476" s="130"/>
    </row>
    <row r="477" spans="1:6" x14ac:dyDescent="0.2">
      <c r="A477" s="315" t="s">
        <v>2662</v>
      </c>
      <c r="B477" t="str">
        <f>IF(ISBLANK(GlobBerMedDisc!$AJ$22),"",GlobBerMedDisc!$AJ$22)</f>
        <v/>
      </c>
      <c r="C477" s="130"/>
    </row>
    <row r="478" spans="1:6" x14ac:dyDescent="0.2">
      <c r="A478" s="315" t="s">
        <v>2663</v>
      </c>
      <c r="B478" t="str">
        <f>IF(ISBLANK(GlobBerMedDisc!$AJ$23),"",GlobBerMedDisc!$AJ$23)</f>
        <v/>
      </c>
      <c r="C478" s="130"/>
    </row>
    <row r="479" spans="1:6" x14ac:dyDescent="0.2">
      <c r="A479" s="315" t="s">
        <v>2664</v>
      </c>
      <c r="B479" t="str">
        <f>IF(ISBLANK(GlobBerMedDisc!$AJ$24),"",GlobBerMedDisc!$AJ$24)</f>
        <v/>
      </c>
      <c r="C479" s="130"/>
    </row>
    <row r="480" spans="1:6" x14ac:dyDescent="0.2">
      <c r="A480" s="315" t="s">
        <v>2665</v>
      </c>
      <c r="B480" t="str">
        <f>IF(ISBLANK(GlobBerMedDisc!$AJ$25),"",GlobBerMedDisc!$AJ$25)</f>
        <v/>
      </c>
      <c r="C480" s="130"/>
    </row>
    <row r="481" spans="1:6" x14ac:dyDescent="0.2">
      <c r="A481" s="315" t="s">
        <v>2666</v>
      </c>
      <c r="B481" t="str">
        <f>IF(ISBLANK(GlobBerMedDisc!$AJ$26),"",GlobBerMedDisc!$AJ$26)</f>
        <v/>
      </c>
      <c r="C481" s="130"/>
    </row>
    <row r="482" spans="1:6" x14ac:dyDescent="0.2">
      <c r="A482" s="315" t="s">
        <v>2667</v>
      </c>
      <c r="B482" t="str">
        <f>IF(ISBLANK(GlobBerMedDisc!$AJ$27),"",GlobBerMedDisc!$AJ$27)</f>
        <v/>
      </c>
      <c r="C482" s="130"/>
    </row>
    <row r="483" spans="1:6" s="315" customFormat="1" x14ac:dyDescent="0.2">
      <c r="A483" s="315" t="s">
        <v>2668</v>
      </c>
      <c r="B483" t="str">
        <f>IF(ISBLANK(GlobBerMedDisc!$AJ$28),"",GlobBerMedDisc!$AJ$28)</f>
        <v/>
      </c>
      <c r="C483" s="130"/>
    </row>
    <row r="484" spans="1:6" x14ac:dyDescent="0.2">
      <c r="A484" s="315" t="s">
        <v>2669</v>
      </c>
      <c r="B484" t="str">
        <f>IF(ISBLANK(GlobBerMedDisc!$AJ$29),"",GlobBerMedDisc!$AJ$29)</f>
        <v/>
      </c>
      <c r="C484" s="130"/>
    </row>
    <row r="485" spans="1:6" x14ac:dyDescent="0.2">
      <c r="A485" s="315" t="s">
        <v>2670</v>
      </c>
      <c r="B485" t="str">
        <f>IF(ISBLANK(GlobBerMedDisc!$AJ$30),"",GlobBerMedDisc!$AJ$30)</f>
        <v/>
      </c>
      <c r="C485" s="130"/>
    </row>
    <row r="486" spans="1:6" x14ac:dyDescent="0.2">
      <c r="A486" s="315" t="s">
        <v>2671</v>
      </c>
      <c r="B486" t="str">
        <f>IF(ISBLANK(GlobBerMedDisc!$AJ$31),"",GlobBerMedDisc!$AJ$31)</f>
        <v/>
      </c>
      <c r="C486" s="130"/>
    </row>
    <row r="487" spans="1:6" x14ac:dyDescent="0.2">
      <c r="A487" s="315" t="s">
        <v>2672</v>
      </c>
      <c r="B487">
        <f>IF(ISBLANK(GlobBerMedDisc!$I$2),"",GlobBerMedDisc!$I$2)</f>
        <v>1</v>
      </c>
      <c r="C487">
        <v>1</v>
      </c>
    </row>
    <row r="488" spans="1:6" x14ac:dyDescent="0.2">
      <c r="A488" s="315" t="s">
        <v>2673</v>
      </c>
      <c r="B488">
        <f>IF(ISBLANK(GlobBerMedDisc!$I$3),"",GlobBerMedDisc!$I$3)</f>
        <v>1</v>
      </c>
      <c r="C488">
        <v>1</v>
      </c>
    </row>
    <row r="489" spans="1:6" x14ac:dyDescent="0.2">
      <c r="A489" s="315" t="s">
        <v>2674</v>
      </c>
      <c r="B489">
        <f>IF(ISBLANK(GlobBerMedDisc!$I$4),"",GlobBerMedDisc!$I$4)</f>
        <v>1</v>
      </c>
      <c r="C489">
        <v>1</v>
      </c>
    </row>
    <row r="490" spans="1:6" x14ac:dyDescent="0.2">
      <c r="A490" s="315" t="s">
        <v>2675</v>
      </c>
      <c r="B490">
        <f>IF(ISBLANK(GlobBerMedDisc!$I$5),"",GlobBerMedDisc!$I$5)</f>
        <v>1</v>
      </c>
      <c r="C490">
        <v>1</v>
      </c>
    </row>
    <row r="491" spans="1:6" x14ac:dyDescent="0.2">
      <c r="A491" s="315" t="s">
        <v>2676</v>
      </c>
      <c r="B491">
        <f>IF(ISBLANK(GlobBerMedDisc!$I$6),"",GlobBerMedDisc!$I$6)</f>
        <v>1</v>
      </c>
      <c r="C491">
        <v>1</v>
      </c>
    </row>
    <row r="492" spans="1:6" x14ac:dyDescent="0.2">
      <c r="A492" s="315" t="s">
        <v>2677</v>
      </c>
      <c r="B492">
        <f>IF(ISBLANK(GlobBerMedDisc!$I$7),"",GlobBerMedDisc!$I$7)</f>
        <v>1</v>
      </c>
      <c r="C492">
        <v>1</v>
      </c>
    </row>
    <row r="493" spans="1:6" x14ac:dyDescent="0.2">
      <c r="A493" s="315" t="s">
        <v>2678</v>
      </c>
      <c r="B493">
        <f>IF(ISBLANK(GlobBerMedDisc!$I$8),"",GlobBerMedDisc!$I$8)</f>
        <v>1</v>
      </c>
      <c r="C493">
        <v>1</v>
      </c>
    </row>
    <row r="494" spans="1:6" x14ac:dyDescent="0.2">
      <c r="A494" s="315" t="s">
        <v>2679</v>
      </c>
      <c r="B494">
        <f>IF(ISBLANK(GlobBerMedDisc!$I$9),"",GlobBerMedDisc!$I$9)</f>
        <v>1</v>
      </c>
      <c r="C494">
        <v>1</v>
      </c>
    </row>
    <row r="495" spans="1:6" x14ac:dyDescent="0.2">
      <c r="A495" s="315" t="s">
        <v>2680</v>
      </c>
      <c r="B495">
        <f>IF(ISBLANK(GlobBerMedDisc!$I$10),"",GlobBerMedDisc!$I$10)</f>
        <v>1</v>
      </c>
      <c r="C495">
        <v>1</v>
      </c>
      <c r="F495" s="315"/>
    </row>
    <row r="496" spans="1:6" x14ac:dyDescent="0.2">
      <c r="A496" s="315" t="s">
        <v>2681</v>
      </c>
      <c r="B496">
        <f>IF(ISBLANK(GlobBerMedDisc!$I$11),"",GlobBerMedDisc!$I$11)</f>
        <v>1</v>
      </c>
      <c r="C496">
        <v>1</v>
      </c>
    </row>
    <row r="497" spans="1:3" x14ac:dyDescent="0.2">
      <c r="A497" s="315" t="s">
        <v>2682</v>
      </c>
      <c r="B497">
        <f>IF(ISBLANK(GlobBerMedDisc!$I$12),"",GlobBerMedDisc!$I$12)</f>
        <v>1</v>
      </c>
      <c r="C497">
        <v>1</v>
      </c>
    </row>
    <row r="498" spans="1:3" x14ac:dyDescent="0.2">
      <c r="A498" s="315" t="s">
        <v>2683</v>
      </c>
      <c r="B498">
        <f>IF(ISBLANK(GlobBerMedDisc!$I$13),"",GlobBerMedDisc!$I$13)</f>
        <v>1</v>
      </c>
      <c r="C498">
        <v>1</v>
      </c>
    </row>
    <row r="499" spans="1:3" x14ac:dyDescent="0.2">
      <c r="A499" s="315" t="s">
        <v>2684</v>
      </c>
      <c r="B499">
        <f>IF(ISBLANK(GlobBerMedDisc!$I$14),"",GlobBerMedDisc!$I$14)</f>
        <v>1</v>
      </c>
      <c r="C499">
        <v>1</v>
      </c>
    </row>
    <row r="500" spans="1:3" x14ac:dyDescent="0.2">
      <c r="A500" s="315" t="s">
        <v>2685</v>
      </c>
      <c r="B500">
        <f>IF(ISBLANK(GlobBerMedDisc!$I$15),"",GlobBerMedDisc!$I$15)</f>
        <v>1</v>
      </c>
      <c r="C500">
        <v>1</v>
      </c>
    </row>
    <row r="501" spans="1:3" x14ac:dyDescent="0.2">
      <c r="A501" s="315" t="s">
        <v>2686</v>
      </c>
      <c r="B501">
        <f>IF(ISBLANK(GlobBerMedDisc!$I$16),"",GlobBerMedDisc!$I$16)</f>
        <v>1</v>
      </c>
      <c r="C501">
        <v>1</v>
      </c>
    </row>
    <row r="502" spans="1:3" x14ac:dyDescent="0.2">
      <c r="A502" s="315" t="s">
        <v>2687</v>
      </c>
      <c r="B502">
        <f>IF(ISBLANK(GlobBerMedDisc!$I$17),"",GlobBerMedDisc!$I$17)</f>
        <v>1</v>
      </c>
      <c r="C502">
        <v>1</v>
      </c>
    </row>
    <row r="503" spans="1:3" x14ac:dyDescent="0.2">
      <c r="A503" s="315" t="s">
        <v>2688</v>
      </c>
      <c r="B503">
        <f>IF(ISBLANK(GlobBerMedDisc!$I$18),"",GlobBerMedDisc!$I$18)</f>
        <v>1</v>
      </c>
      <c r="C503">
        <v>1</v>
      </c>
    </row>
    <row r="504" spans="1:3" x14ac:dyDescent="0.2">
      <c r="A504" s="315" t="s">
        <v>2689</v>
      </c>
      <c r="B504">
        <f>IF(ISBLANK(GlobBerMedDisc!$I$19),"",GlobBerMedDisc!$I$19)</f>
        <v>1</v>
      </c>
      <c r="C504">
        <v>1</v>
      </c>
    </row>
    <row r="505" spans="1:3" x14ac:dyDescent="0.2">
      <c r="A505" s="315" t="s">
        <v>2690</v>
      </c>
      <c r="B505">
        <f>IF(ISBLANK(GlobBerMedDisc!$I$20),"",GlobBerMedDisc!$I$20)</f>
        <v>1</v>
      </c>
      <c r="C505">
        <v>1</v>
      </c>
    </row>
    <row r="506" spans="1:3" x14ac:dyDescent="0.2">
      <c r="A506" s="315" t="s">
        <v>2691</v>
      </c>
      <c r="B506">
        <f>IF(ISBLANK(GlobBerMedDisc!$I$21),"",GlobBerMedDisc!$I$21)</f>
        <v>1</v>
      </c>
      <c r="C506">
        <v>1</v>
      </c>
    </row>
    <row r="507" spans="1:3" x14ac:dyDescent="0.2">
      <c r="A507" s="315" t="s">
        <v>2692</v>
      </c>
      <c r="B507">
        <f>IF(ISBLANK(GlobBerMedDisc!$I$22),"",GlobBerMedDisc!$I$22)</f>
        <v>1</v>
      </c>
      <c r="C507">
        <v>1</v>
      </c>
    </row>
    <row r="508" spans="1:3" x14ac:dyDescent="0.2">
      <c r="A508" s="315" t="s">
        <v>2693</v>
      </c>
      <c r="B508">
        <f>IF(ISBLANK(GlobBerMedDisc!$I$23),"",GlobBerMedDisc!$I$23)</f>
        <v>1</v>
      </c>
      <c r="C508">
        <v>1</v>
      </c>
    </row>
    <row r="509" spans="1:3" x14ac:dyDescent="0.2">
      <c r="A509" s="315" t="s">
        <v>2694</v>
      </c>
      <c r="B509">
        <f>IF(ISBLANK(GlobBerMedDisc!$I$24),"",GlobBerMedDisc!$I$24)</f>
        <v>1</v>
      </c>
      <c r="C509">
        <v>1</v>
      </c>
    </row>
    <row r="510" spans="1:3" x14ac:dyDescent="0.2">
      <c r="A510" s="315" t="s">
        <v>2695</v>
      </c>
      <c r="B510">
        <f>IF(ISBLANK(GlobBerMedDisc!$I$25),"",GlobBerMedDisc!$I$25)</f>
        <v>1</v>
      </c>
      <c r="C510">
        <v>1</v>
      </c>
    </row>
    <row r="511" spans="1:3" x14ac:dyDescent="0.2">
      <c r="A511" s="315" t="s">
        <v>2696</v>
      </c>
      <c r="B511">
        <f>IF(ISBLANK(GlobBerMedDisc!$I$26),"",GlobBerMedDisc!$I$26)</f>
        <v>1</v>
      </c>
      <c r="C511">
        <v>1</v>
      </c>
    </row>
    <row r="512" spans="1:3" x14ac:dyDescent="0.2">
      <c r="A512" s="315" t="s">
        <v>2697</v>
      </c>
      <c r="B512">
        <f>IF(ISBLANK(GlobBerMedDisc!$I$27),"",GlobBerMedDisc!$I$27)</f>
        <v>1</v>
      </c>
      <c r="C512">
        <v>1</v>
      </c>
    </row>
    <row r="513" spans="1:3" x14ac:dyDescent="0.2">
      <c r="A513" s="315" t="s">
        <v>2698</v>
      </c>
      <c r="B513">
        <f>IF(ISBLANK(GlobBerMedDisc!$I$28),"",GlobBerMedDisc!$I$28)</f>
        <v>1</v>
      </c>
      <c r="C513">
        <v>1</v>
      </c>
    </row>
    <row r="514" spans="1:3" x14ac:dyDescent="0.2">
      <c r="A514" s="315" t="s">
        <v>2699</v>
      </c>
      <c r="B514">
        <f>IF(ISBLANK(GlobBerMedDisc!$I$29),"",GlobBerMedDisc!$I$29)</f>
        <v>1</v>
      </c>
      <c r="C514">
        <v>1</v>
      </c>
    </row>
    <row r="515" spans="1:3" x14ac:dyDescent="0.2">
      <c r="A515" s="315" t="s">
        <v>2700</v>
      </c>
      <c r="B515">
        <f>IF(ISBLANK(GlobBerMedDisc!$I$30),"",GlobBerMedDisc!$I$30)</f>
        <v>1</v>
      </c>
      <c r="C515">
        <v>1</v>
      </c>
    </row>
    <row r="516" spans="1:3" x14ac:dyDescent="0.2">
      <c r="A516" s="315" t="s">
        <v>2701</v>
      </c>
      <c r="B516">
        <f>IF(ISBLANK(GlobBerMedDisc!$I$31),"",GlobBerMedDisc!$I$31)</f>
        <v>1</v>
      </c>
      <c r="C516">
        <v>1</v>
      </c>
    </row>
    <row r="517" spans="1:3" x14ac:dyDescent="0.2">
      <c r="A517" s="315" t="s">
        <v>2702</v>
      </c>
      <c r="B517" t="str">
        <f>IF(ISBLANK(GlobBerMedDisc!$L$2),"",GlobBerMedDisc!$L$2)</f>
        <v/>
      </c>
      <c r="C517" s="130"/>
    </row>
    <row r="518" spans="1:3" x14ac:dyDescent="0.2">
      <c r="A518" s="315" t="s">
        <v>2703</v>
      </c>
      <c r="B518" t="str">
        <f>IF(ISBLANK(GlobBerMedDisc!$L$3),"",GlobBerMedDisc!$L$3)</f>
        <v/>
      </c>
      <c r="C518" s="130"/>
    </row>
    <row r="519" spans="1:3" x14ac:dyDescent="0.2">
      <c r="A519" s="315" t="s">
        <v>2704</v>
      </c>
      <c r="B519" t="str">
        <f>IF(ISBLANK(GlobBerMedDisc!$L$4),"",GlobBerMedDisc!$L$4)</f>
        <v/>
      </c>
      <c r="C519" s="130"/>
    </row>
    <row r="520" spans="1:3" x14ac:dyDescent="0.2">
      <c r="A520" s="315" t="s">
        <v>2705</v>
      </c>
      <c r="B520" t="str">
        <f>IF(ISBLANK(GlobBerMedDisc!$L$5),"",GlobBerMedDisc!$L$5)</f>
        <v/>
      </c>
      <c r="C520" s="130"/>
    </row>
    <row r="521" spans="1:3" x14ac:dyDescent="0.2">
      <c r="A521" s="315" t="s">
        <v>2706</v>
      </c>
      <c r="B521" t="str">
        <f>IF(ISBLANK(GlobBerMedDisc!$L$6),"",GlobBerMedDisc!$L$6)</f>
        <v/>
      </c>
      <c r="C521" s="130"/>
    </row>
    <row r="522" spans="1:3" x14ac:dyDescent="0.2">
      <c r="A522" s="315" t="s">
        <v>2707</v>
      </c>
      <c r="B522" t="str">
        <f>IF(ISBLANK(GlobBerMedDisc!$L$7),"",GlobBerMedDisc!$L$7)</f>
        <v/>
      </c>
      <c r="C522" s="130"/>
    </row>
    <row r="523" spans="1:3" x14ac:dyDescent="0.2">
      <c r="A523" s="315" t="s">
        <v>2708</v>
      </c>
      <c r="B523" t="str">
        <f>IF(ISBLANK(GlobBerMedDisc!$L$8),"",GlobBerMedDisc!$L$8)</f>
        <v/>
      </c>
      <c r="C523" s="130"/>
    </row>
    <row r="524" spans="1:3" x14ac:dyDescent="0.2">
      <c r="A524" s="315" t="s">
        <v>2709</v>
      </c>
      <c r="B524" t="str">
        <f>IF(ISBLANK(GlobBerMedDisc!$L$9),"",GlobBerMedDisc!$L$9)</f>
        <v/>
      </c>
      <c r="C524" s="130"/>
    </row>
    <row r="525" spans="1:3" x14ac:dyDescent="0.2">
      <c r="A525" s="315" t="s">
        <v>2710</v>
      </c>
      <c r="B525" t="str">
        <f>IF(ISBLANK(GlobBerMedDisc!$L$10),"",GlobBerMedDisc!$L$10)</f>
        <v/>
      </c>
      <c r="C525" s="130"/>
    </row>
    <row r="526" spans="1:3" x14ac:dyDescent="0.2">
      <c r="A526" s="315" t="s">
        <v>2711</v>
      </c>
      <c r="B526" t="str">
        <f>IF(ISBLANK(GlobBerMedDisc!$L$11),"",GlobBerMedDisc!$L$11)</f>
        <v/>
      </c>
      <c r="C526" s="130"/>
    </row>
    <row r="527" spans="1:3" x14ac:dyDescent="0.2">
      <c r="A527" s="315" t="s">
        <v>2712</v>
      </c>
      <c r="B527" t="str">
        <f>IF(ISBLANK(GlobBerMedDisc!$L$12),"",GlobBerMedDisc!$L$12)</f>
        <v/>
      </c>
      <c r="C527" s="130"/>
    </row>
    <row r="528" spans="1:3" x14ac:dyDescent="0.2">
      <c r="A528" s="315" t="s">
        <v>2713</v>
      </c>
      <c r="B528" t="str">
        <f>IF(ISBLANK(GlobBerMedDisc!$L$13),"",GlobBerMedDisc!$L$13)</f>
        <v/>
      </c>
      <c r="C528" s="130"/>
    </row>
    <row r="529" spans="1:3" x14ac:dyDescent="0.2">
      <c r="A529" s="315" t="s">
        <v>2714</v>
      </c>
      <c r="B529" t="str">
        <f>IF(ISBLANK(GlobBerMedDisc!$L$14),"",GlobBerMedDisc!$L$14)</f>
        <v/>
      </c>
      <c r="C529" s="130"/>
    </row>
    <row r="530" spans="1:3" x14ac:dyDescent="0.2">
      <c r="A530" s="315" t="s">
        <v>2715</v>
      </c>
      <c r="B530" t="str">
        <f>IF(ISBLANK(GlobBerMedDisc!$L$15),"",GlobBerMedDisc!$L$15)</f>
        <v/>
      </c>
      <c r="C530" s="130"/>
    </row>
    <row r="531" spans="1:3" x14ac:dyDescent="0.2">
      <c r="A531" s="315" t="s">
        <v>2716</v>
      </c>
      <c r="B531" t="str">
        <f>IF(ISBLANK(GlobBerMedDisc!$L$16),"",GlobBerMedDisc!$L$16)</f>
        <v/>
      </c>
      <c r="C531" s="130"/>
    </row>
    <row r="532" spans="1:3" x14ac:dyDescent="0.2">
      <c r="A532" s="315" t="s">
        <v>2717</v>
      </c>
      <c r="B532" t="str">
        <f>IF(ISBLANK(GlobBerMedDisc!$L$17),"",GlobBerMedDisc!$L$17)</f>
        <v/>
      </c>
      <c r="C532" s="130"/>
    </row>
    <row r="533" spans="1:3" x14ac:dyDescent="0.2">
      <c r="A533" s="315" t="s">
        <v>2718</v>
      </c>
      <c r="B533" t="str">
        <f>IF(ISBLANK(GlobBerMedDisc!$L$18),"",GlobBerMedDisc!$L$18)</f>
        <v/>
      </c>
      <c r="C533" s="130"/>
    </row>
    <row r="534" spans="1:3" x14ac:dyDescent="0.2">
      <c r="A534" s="315" t="s">
        <v>2719</v>
      </c>
      <c r="B534" t="str">
        <f>IF(ISBLANK(GlobBerMedDisc!$L$19),"",GlobBerMedDisc!$L$19)</f>
        <v/>
      </c>
      <c r="C534" s="130"/>
    </row>
    <row r="535" spans="1:3" x14ac:dyDescent="0.2">
      <c r="A535" s="315" t="s">
        <v>2720</v>
      </c>
      <c r="B535" t="str">
        <f>IF(ISBLANK(GlobBerMedDisc!$L$20),"",GlobBerMedDisc!$L$20)</f>
        <v/>
      </c>
      <c r="C535" s="130"/>
    </row>
    <row r="536" spans="1:3" x14ac:dyDescent="0.2">
      <c r="A536" s="315" t="s">
        <v>2721</v>
      </c>
      <c r="B536" t="str">
        <f>IF(ISBLANK(GlobBerMedDisc!$L$21),"",GlobBerMedDisc!$L$21)</f>
        <v/>
      </c>
      <c r="C536" s="130"/>
    </row>
    <row r="537" spans="1:3" x14ac:dyDescent="0.2">
      <c r="A537" s="315" t="s">
        <v>2722</v>
      </c>
      <c r="B537" t="str">
        <f>IF(ISBLANK(GlobBerMedDisc!$L$22),"",GlobBerMedDisc!$L$22)</f>
        <v/>
      </c>
      <c r="C537" s="130"/>
    </row>
    <row r="538" spans="1:3" x14ac:dyDescent="0.2">
      <c r="A538" s="315" t="s">
        <v>2723</v>
      </c>
      <c r="B538" t="str">
        <f>IF(ISBLANK(GlobBerMedDisc!$L$23),"",GlobBerMedDisc!$L$23)</f>
        <v/>
      </c>
      <c r="C538" s="130"/>
    </row>
    <row r="539" spans="1:3" x14ac:dyDescent="0.2">
      <c r="A539" s="315" t="s">
        <v>2724</v>
      </c>
      <c r="B539" t="str">
        <f>IF(ISBLANK(GlobBerMedDisc!$L$24),"",GlobBerMedDisc!$L$24)</f>
        <v/>
      </c>
      <c r="C539" s="130"/>
    </row>
    <row r="540" spans="1:3" x14ac:dyDescent="0.2">
      <c r="A540" s="315" t="s">
        <v>2725</v>
      </c>
      <c r="B540" t="str">
        <f>IF(ISBLANK(GlobBerMedDisc!$L$25),"",GlobBerMedDisc!$L$25)</f>
        <v/>
      </c>
      <c r="C540" s="130"/>
    </row>
    <row r="541" spans="1:3" x14ac:dyDescent="0.2">
      <c r="A541" s="315" t="s">
        <v>2726</v>
      </c>
      <c r="B541" t="str">
        <f>IF(ISBLANK(GlobBerMedDisc!$L$26),"",GlobBerMedDisc!$L$26)</f>
        <v/>
      </c>
      <c r="C541" s="130"/>
    </row>
    <row r="542" spans="1:3" x14ac:dyDescent="0.2">
      <c r="A542" s="315" t="s">
        <v>2727</v>
      </c>
      <c r="B542" t="str">
        <f>IF(ISBLANK(GlobBerMedDisc!$L$27),"",GlobBerMedDisc!$L$27)</f>
        <v/>
      </c>
      <c r="C542" s="130"/>
    </row>
    <row r="543" spans="1:3" x14ac:dyDescent="0.2">
      <c r="A543" s="315" t="s">
        <v>2728</v>
      </c>
      <c r="B543" t="str">
        <f>IF(ISBLANK(GlobBerMedDisc!$L$28),"",GlobBerMedDisc!$L$28)</f>
        <v/>
      </c>
      <c r="C543" s="130"/>
    </row>
    <row r="544" spans="1:3" x14ac:dyDescent="0.2">
      <c r="A544" s="315" t="s">
        <v>2729</v>
      </c>
      <c r="B544" t="str">
        <f>IF(ISBLANK(GlobBerMedDisc!$L$29),"",GlobBerMedDisc!$L$29)</f>
        <v/>
      </c>
      <c r="C544" s="130"/>
    </row>
    <row r="545" spans="1:3" x14ac:dyDescent="0.2">
      <c r="A545" s="315" t="s">
        <v>2730</v>
      </c>
      <c r="B545" t="str">
        <f>IF(ISBLANK(GlobBerMedDisc!$L$30),"",GlobBerMedDisc!$L$30)</f>
        <v/>
      </c>
      <c r="C545" s="130"/>
    </row>
    <row r="546" spans="1:3" x14ac:dyDescent="0.2">
      <c r="A546" s="315" t="s">
        <v>2731</v>
      </c>
      <c r="B546" t="str">
        <f>IF(ISBLANK(GlobBerMedDisc!$L$31),"",GlobBerMedDisc!$L$31)</f>
        <v/>
      </c>
      <c r="C546" s="130"/>
    </row>
    <row r="547" spans="1:3" s="315" customFormat="1" x14ac:dyDescent="0.2">
      <c r="A547" s="315" t="s">
        <v>4638</v>
      </c>
      <c r="B547" s="315" t="str">
        <f>IF(ISBLANK(GlobBerMedDisc!$C$2),"",GlobBerMedDisc!$C$2)</f>
        <v/>
      </c>
      <c r="C547" s="130"/>
    </row>
    <row r="548" spans="1:3" s="315" customFormat="1" x14ac:dyDescent="0.2">
      <c r="A548" s="315" t="s">
        <v>4639</v>
      </c>
      <c r="B548" s="315" t="str">
        <f>IF(ISBLANK(GlobBerMedDisc!$C$3),"",GlobBerMedDisc!$C$3)</f>
        <v/>
      </c>
      <c r="C548" s="130"/>
    </row>
    <row r="549" spans="1:3" s="315" customFormat="1" x14ac:dyDescent="0.2">
      <c r="A549" s="315" t="s">
        <v>4640</v>
      </c>
      <c r="B549" s="315" t="str">
        <f>IF(ISBLANK(GlobBerMedDisc!$C$4),"",GlobBerMedDisc!$C$4)</f>
        <v/>
      </c>
      <c r="C549" s="130"/>
    </row>
    <row r="550" spans="1:3" s="315" customFormat="1" x14ac:dyDescent="0.2">
      <c r="A550" s="315" t="s">
        <v>4641</v>
      </c>
      <c r="B550" s="315" t="str">
        <f>IF(ISBLANK(GlobBerMedDisc!$C$5),"",GlobBerMedDisc!$C$5)</f>
        <v/>
      </c>
      <c r="C550" s="130"/>
    </row>
    <row r="551" spans="1:3" s="315" customFormat="1" x14ac:dyDescent="0.2">
      <c r="A551" s="315" t="s">
        <v>4642</v>
      </c>
      <c r="B551" s="315" t="str">
        <f>IF(ISBLANK(GlobBerMedDisc!$C$6),"",GlobBerMedDisc!$C$6)</f>
        <v/>
      </c>
      <c r="C551" s="130"/>
    </row>
    <row r="552" spans="1:3" s="315" customFormat="1" x14ac:dyDescent="0.2">
      <c r="A552" s="315" t="s">
        <v>4643</v>
      </c>
      <c r="B552" s="315" t="str">
        <f>IF(ISBLANK(GlobBerMedDisc!$C$7),"",GlobBerMedDisc!$C$7)</f>
        <v/>
      </c>
      <c r="C552" s="130"/>
    </row>
    <row r="553" spans="1:3" s="315" customFormat="1" x14ac:dyDescent="0.2">
      <c r="A553" s="315" t="s">
        <v>4644</v>
      </c>
      <c r="B553" s="315" t="str">
        <f>IF(ISBLANK(GlobBerMedDisc!$C$8),"",GlobBerMedDisc!$C$8)</f>
        <v/>
      </c>
      <c r="C553" s="130"/>
    </row>
    <row r="554" spans="1:3" s="315" customFormat="1" x14ac:dyDescent="0.2">
      <c r="A554" s="315" t="s">
        <v>4645</v>
      </c>
      <c r="B554" s="315" t="str">
        <f>IF(ISBLANK(GlobBerMedDisc!$C$9),"",GlobBerMedDisc!$C$9)</f>
        <v/>
      </c>
      <c r="C554" s="130"/>
    </row>
    <row r="555" spans="1:3" s="315" customFormat="1" x14ac:dyDescent="0.2">
      <c r="A555" s="315" t="s">
        <v>4646</v>
      </c>
      <c r="B555" s="315" t="str">
        <f>IF(ISBLANK(GlobBerMedDisc!$C$10),"",GlobBerMedDisc!$C$10)</f>
        <v/>
      </c>
      <c r="C555" s="130"/>
    </row>
    <row r="556" spans="1:3" s="315" customFormat="1" x14ac:dyDescent="0.2">
      <c r="A556" s="315" t="s">
        <v>4647</v>
      </c>
      <c r="B556" s="315" t="str">
        <f>IF(ISBLANK(GlobBerMedDisc!$C$11),"",GlobBerMedDisc!$C$11)</f>
        <v/>
      </c>
      <c r="C556" s="130"/>
    </row>
    <row r="557" spans="1:3" s="315" customFormat="1" x14ac:dyDescent="0.2">
      <c r="A557" s="315" t="s">
        <v>4648</v>
      </c>
      <c r="B557" s="315" t="str">
        <f>IF(ISBLANK(GlobBerMedDisc!$C$12),"",GlobBerMedDisc!$C$12)</f>
        <v/>
      </c>
      <c r="C557" s="130"/>
    </row>
    <row r="558" spans="1:3" s="315" customFormat="1" x14ac:dyDescent="0.2">
      <c r="A558" s="315" t="s">
        <v>4649</v>
      </c>
      <c r="B558" s="315" t="str">
        <f>IF(ISBLANK(GlobBerMedDisc!$C$13),"",GlobBerMedDisc!$C$13)</f>
        <v/>
      </c>
      <c r="C558" s="130"/>
    </row>
    <row r="559" spans="1:3" s="315" customFormat="1" x14ac:dyDescent="0.2">
      <c r="A559" s="315" t="s">
        <v>4650</v>
      </c>
      <c r="B559" s="315" t="str">
        <f>IF(ISBLANK(GlobBerMedDisc!$C$14),"",GlobBerMedDisc!$C$14)</f>
        <v/>
      </c>
      <c r="C559" s="130"/>
    </row>
    <row r="560" spans="1:3" s="315" customFormat="1" x14ac:dyDescent="0.2">
      <c r="A560" s="315" t="s">
        <v>4651</v>
      </c>
      <c r="B560" s="315" t="str">
        <f>IF(ISBLANK(GlobBerMedDisc!$C$15),"",GlobBerMedDisc!$C$15)</f>
        <v/>
      </c>
      <c r="C560" s="130"/>
    </row>
    <row r="561" spans="1:3" s="315" customFormat="1" x14ac:dyDescent="0.2">
      <c r="A561" s="315" t="s">
        <v>4652</v>
      </c>
      <c r="B561" s="315" t="str">
        <f>IF(ISBLANK(GlobBerMedDisc!$C$16),"",GlobBerMedDisc!$C$16)</f>
        <v/>
      </c>
      <c r="C561" s="130"/>
    </row>
    <row r="562" spans="1:3" s="315" customFormat="1" x14ac:dyDescent="0.2">
      <c r="A562" s="315" t="s">
        <v>4653</v>
      </c>
      <c r="B562" s="315" t="str">
        <f>IF(ISBLANK(GlobBerMedDisc!$C$17),"",GlobBerMedDisc!$C$17)</f>
        <v/>
      </c>
      <c r="C562" s="130"/>
    </row>
    <row r="563" spans="1:3" s="315" customFormat="1" x14ac:dyDescent="0.2">
      <c r="A563" s="315" t="s">
        <v>4654</v>
      </c>
      <c r="B563" s="315" t="str">
        <f>IF(ISBLANK(GlobBerMedDisc!$C$18),"",GlobBerMedDisc!$C$18)</f>
        <v/>
      </c>
      <c r="C563" s="130"/>
    </row>
    <row r="564" spans="1:3" s="315" customFormat="1" x14ac:dyDescent="0.2">
      <c r="A564" s="315" t="s">
        <v>4655</v>
      </c>
      <c r="B564" s="315" t="str">
        <f>IF(ISBLANK(GlobBerMedDisc!$C$19),"",GlobBerMedDisc!$C$19)</f>
        <v/>
      </c>
      <c r="C564" s="130"/>
    </row>
    <row r="565" spans="1:3" s="315" customFormat="1" x14ac:dyDescent="0.2">
      <c r="A565" s="315" t="s">
        <v>4656</v>
      </c>
      <c r="B565" s="315" t="str">
        <f>IF(ISBLANK(GlobBerMedDisc!$C$20),"",GlobBerMedDisc!$C$20)</f>
        <v/>
      </c>
      <c r="C565" s="130"/>
    </row>
    <row r="566" spans="1:3" s="315" customFormat="1" x14ac:dyDescent="0.2">
      <c r="A566" s="315" t="s">
        <v>4657</v>
      </c>
      <c r="B566" s="315" t="str">
        <f>IF(ISBLANK(GlobBerMedDisc!$C$21),"",GlobBerMedDisc!$C$21)</f>
        <v/>
      </c>
      <c r="C566" s="130"/>
    </row>
    <row r="567" spans="1:3" s="315" customFormat="1" x14ac:dyDescent="0.2">
      <c r="A567" s="315" t="s">
        <v>4658</v>
      </c>
      <c r="B567" s="315" t="str">
        <f>IF(ISBLANK(GlobBerMedDisc!$C$22),"",GlobBerMedDisc!$C$22)</f>
        <v/>
      </c>
      <c r="C567" s="130"/>
    </row>
    <row r="568" spans="1:3" s="315" customFormat="1" x14ac:dyDescent="0.2">
      <c r="A568" s="315" t="s">
        <v>4659</v>
      </c>
      <c r="B568" s="315" t="str">
        <f>IF(ISBLANK(GlobBerMedDisc!$C$23),"",GlobBerMedDisc!$C$23)</f>
        <v/>
      </c>
      <c r="C568" s="130"/>
    </row>
    <row r="569" spans="1:3" s="315" customFormat="1" x14ac:dyDescent="0.2">
      <c r="A569" s="315" t="s">
        <v>4660</v>
      </c>
      <c r="B569" s="315" t="str">
        <f>IF(ISBLANK(GlobBerMedDisc!$C$24),"",GlobBerMedDisc!$C$24)</f>
        <v/>
      </c>
      <c r="C569" s="130"/>
    </row>
    <row r="570" spans="1:3" s="315" customFormat="1" x14ac:dyDescent="0.2">
      <c r="A570" s="315" t="s">
        <v>4661</v>
      </c>
      <c r="B570" s="315" t="str">
        <f>IF(ISBLANK(GlobBerMedDisc!$C$25),"",GlobBerMedDisc!$C$25)</f>
        <v/>
      </c>
      <c r="C570" s="130"/>
    </row>
    <row r="571" spans="1:3" s="315" customFormat="1" x14ac:dyDescent="0.2">
      <c r="A571" s="315" t="s">
        <v>4662</v>
      </c>
      <c r="B571" s="315" t="str">
        <f>IF(ISBLANK(GlobBerMedDisc!$C$26),"",GlobBerMedDisc!$C$26)</f>
        <v/>
      </c>
      <c r="C571" s="130"/>
    </row>
    <row r="572" spans="1:3" s="315" customFormat="1" x14ac:dyDescent="0.2">
      <c r="A572" s="315" t="s">
        <v>4663</v>
      </c>
      <c r="B572" s="315" t="str">
        <f>IF(ISBLANK(GlobBerMedDisc!$C$27),"",GlobBerMedDisc!$C$27)</f>
        <v/>
      </c>
      <c r="C572" s="130"/>
    </row>
    <row r="573" spans="1:3" s="315" customFormat="1" x14ac:dyDescent="0.2">
      <c r="A573" s="315" t="s">
        <v>4664</v>
      </c>
      <c r="B573" s="315" t="str">
        <f>IF(ISBLANK(GlobBerMedDisc!$C$28),"",GlobBerMedDisc!$C$28)</f>
        <v/>
      </c>
      <c r="C573" s="130"/>
    </row>
    <row r="574" spans="1:3" s="315" customFormat="1" x14ac:dyDescent="0.2">
      <c r="A574" s="315" t="s">
        <v>4665</v>
      </c>
      <c r="B574" s="315" t="str">
        <f>IF(ISBLANK(GlobBerMedDisc!$C$29),"",GlobBerMedDisc!$C$29)</f>
        <v/>
      </c>
      <c r="C574" s="130"/>
    </row>
    <row r="575" spans="1:3" s="315" customFormat="1" x14ac:dyDescent="0.2">
      <c r="A575" s="315" t="s">
        <v>4666</v>
      </c>
      <c r="B575" s="315" t="str">
        <f>IF(ISBLANK(GlobBerMedDisc!$C$30),"",GlobBerMedDisc!$C$30)</f>
        <v/>
      </c>
      <c r="C575" s="130"/>
    </row>
    <row r="576" spans="1:3" s="315" customFormat="1" x14ac:dyDescent="0.2">
      <c r="A576" s="315" t="s">
        <v>4667</v>
      </c>
      <c r="B576" s="315" t="str">
        <f>IF(ISBLANK(GlobBerMedDisc!$C$31),"",GlobBerMedDisc!$C$31)</f>
        <v/>
      </c>
      <c r="C576" s="130"/>
    </row>
    <row r="577" spans="1:6" x14ac:dyDescent="0.2">
      <c r="A577" s="315" t="s">
        <v>5073</v>
      </c>
      <c r="B577">
        <f>IF(ISBLANK(NeoDataInfB!$D$2),"",NeoDataInfB!$D$2)</f>
        <v>0</v>
      </c>
      <c r="C577" s="17">
        <v>0</v>
      </c>
    </row>
    <row r="578" spans="1:6" x14ac:dyDescent="0.2">
      <c r="A578" s="315" t="s">
        <v>5074</v>
      </c>
      <c r="B578">
        <f>IF(ISBLANK(NeoDataInfB!$D$3),"",NeoDataInfB!$D$3)</f>
        <v>1</v>
      </c>
      <c r="C578" s="315">
        <v>1</v>
      </c>
    </row>
    <row r="579" spans="1:6" x14ac:dyDescent="0.2">
      <c r="A579" s="315" t="s">
        <v>5075</v>
      </c>
      <c r="B579">
        <f>IF(ISBLANK(NeoDataInfB!$D$4),"",NeoDataInfB!$D$4)</f>
        <v>1</v>
      </c>
      <c r="C579" s="315">
        <v>1</v>
      </c>
    </row>
    <row r="580" spans="1:6" x14ac:dyDescent="0.2">
      <c r="A580" s="315" t="s">
        <v>5076</v>
      </c>
      <c r="B580">
        <f>IF(ISBLANK(NeoDataInfB!$D$5),"",NeoDataInfB!$D$5)</f>
        <v>1</v>
      </c>
      <c r="C580" s="315">
        <v>1</v>
      </c>
    </row>
    <row r="581" spans="1:6" x14ac:dyDescent="0.2">
      <c r="A581" s="315" t="s">
        <v>5077</v>
      </c>
      <c r="B581">
        <f>IF(ISBLANK(NeoDataInfB!$D$6),"",NeoDataInfB!$D$6)</f>
        <v>1</v>
      </c>
      <c r="C581" s="315">
        <v>1</v>
      </c>
    </row>
    <row r="582" spans="1:6" x14ac:dyDescent="0.2">
      <c r="A582" s="315" t="s">
        <v>5078</v>
      </c>
      <c r="B582">
        <f>IF(ISBLANK(NeoDataInfB!$D$7),"",NeoDataInfB!$D$7)</f>
        <v>1</v>
      </c>
      <c r="C582" s="315">
        <v>1</v>
      </c>
    </row>
    <row r="583" spans="1:6" x14ac:dyDescent="0.2">
      <c r="A583" s="315" t="s">
        <v>5079</v>
      </c>
      <c r="B583">
        <f>IF(ISBLANK(NeoDataInfB!$D$8),"",NeoDataInfB!$D$8)</f>
        <v>1</v>
      </c>
      <c r="C583" s="315">
        <v>1</v>
      </c>
    </row>
    <row r="584" spans="1:6" x14ac:dyDescent="0.2">
      <c r="A584" s="315" t="s">
        <v>5080</v>
      </c>
      <c r="B584">
        <f>IF(ISBLANK(NeoDataInfB!$D$9),"",NeoDataInfB!$D$9)</f>
        <v>1</v>
      </c>
      <c r="C584" s="315">
        <v>1</v>
      </c>
    </row>
    <row r="585" spans="1:6" x14ac:dyDescent="0.2">
      <c r="A585" s="315" t="s">
        <v>5081</v>
      </c>
      <c r="B585">
        <f>IF(ISBLANK(NeoDataInfB!$D$10),"",NeoDataInfB!$D$10)</f>
        <v>1</v>
      </c>
      <c r="C585" s="315">
        <v>1</v>
      </c>
    </row>
    <row r="586" spans="1:6" x14ac:dyDescent="0.2">
      <c r="A586" s="315" t="s">
        <v>5082</v>
      </c>
      <c r="B586">
        <f>IF(ISBLANK(NeoDataInfB!$D$11),"",NeoDataInfB!$D$11)</f>
        <v>1</v>
      </c>
      <c r="C586" s="315">
        <v>1</v>
      </c>
    </row>
    <row r="587" spans="1:6" x14ac:dyDescent="0.2">
      <c r="A587" s="315" t="s">
        <v>5083</v>
      </c>
      <c r="B587">
        <f>IF(ISBLANK(NeoDataInfB!$D$12),"",NeoDataInfB!$D$12)</f>
        <v>0</v>
      </c>
      <c r="C587" s="317">
        <v>0</v>
      </c>
      <c r="F587" s="315"/>
    </row>
    <row r="588" spans="1:6" x14ac:dyDescent="0.2">
      <c r="A588" s="315" t="s">
        <v>5084</v>
      </c>
      <c r="B588">
        <f>IF(ISBLANK(NeoDataInfB!$D$13),"",NeoDataInfB!$D$13)</f>
        <v>0</v>
      </c>
      <c r="C588" s="317">
        <v>0</v>
      </c>
    </row>
    <row r="589" spans="1:6" x14ac:dyDescent="0.2">
      <c r="A589" s="315" t="s">
        <v>5085</v>
      </c>
      <c r="B589" s="315">
        <f>IF(ISBLANK(NeoDataInfB!$D$14),"",NeoDataInfB!$D$14)</f>
        <v>0</v>
      </c>
      <c r="C589" s="317">
        <v>0</v>
      </c>
    </row>
    <row r="590" spans="1:6" x14ac:dyDescent="0.2">
      <c r="A590" s="315" t="s">
        <v>5086</v>
      </c>
      <c r="B590">
        <f>IF(ISBLANK(NeoDataInfB!$D$15),"",NeoDataInfB!$D$15)</f>
        <v>0</v>
      </c>
      <c r="C590" s="317">
        <v>0</v>
      </c>
    </row>
    <row r="591" spans="1:6" x14ac:dyDescent="0.2">
      <c r="A591" s="315" t="s">
        <v>5087</v>
      </c>
      <c r="B591">
        <f>IF(ISBLANK(NeoDataInfB!$D$16),"",NeoDataInfB!$D$16)</f>
        <v>0</v>
      </c>
      <c r="C591" s="317">
        <v>0</v>
      </c>
    </row>
    <row r="592" spans="1:6" x14ac:dyDescent="0.2">
      <c r="A592" s="315" t="s">
        <v>5088</v>
      </c>
      <c r="B592">
        <f>IF(ISBLANK(NeoDataInfB!$D$17),"",NeoDataInfB!$D$17)</f>
        <v>0</v>
      </c>
      <c r="C592" s="317">
        <v>0</v>
      </c>
    </row>
    <row r="593" spans="1:6" x14ac:dyDescent="0.2">
      <c r="A593" s="315" t="s">
        <v>5089</v>
      </c>
      <c r="B593">
        <f>IF(ISBLANK(NeoDataInfB!$D$18),"",NeoDataInfB!$D$18)</f>
        <v>0</v>
      </c>
      <c r="C593" s="317">
        <v>0</v>
      </c>
    </row>
    <row r="594" spans="1:6" x14ac:dyDescent="0.2">
      <c r="A594" s="315" t="s">
        <v>5090</v>
      </c>
      <c r="B594">
        <f>IF(ISBLANK(NeoDataInfB!$D$19),"",NeoDataInfB!$D$19)</f>
        <v>0</v>
      </c>
      <c r="C594" s="317">
        <v>0</v>
      </c>
    </row>
    <row r="595" spans="1:6" x14ac:dyDescent="0.2">
      <c r="A595" s="315" t="s">
        <v>5091</v>
      </c>
      <c r="B595">
        <f>IF(ISBLANK(NeoDataInfB!$D$20),"",NeoDataInfB!$D$20)</f>
        <v>0</v>
      </c>
      <c r="C595" s="317">
        <v>0</v>
      </c>
    </row>
    <row r="596" spans="1:6" x14ac:dyDescent="0.2">
      <c r="A596" s="315" t="s">
        <v>5092</v>
      </c>
      <c r="B596" t="str">
        <f>IF(ISBLANK(NeoDataInfB!$D$21),"",NeoDataInfB!$D$21)</f>
        <v/>
      </c>
      <c r="C596" s="130" t="s">
        <v>4694</v>
      </c>
    </row>
    <row r="597" spans="1:6" x14ac:dyDescent="0.2">
      <c r="A597" s="315" t="s">
        <v>5093</v>
      </c>
      <c r="B597" t="str">
        <f>IF(ISBLANK(NeoDataInfB!$D$22),"",NeoDataInfB!$D$22)</f>
        <v/>
      </c>
      <c r="C597" s="130" t="s">
        <v>4694</v>
      </c>
    </row>
    <row r="598" spans="1:6" x14ac:dyDescent="0.2">
      <c r="A598" s="315" t="s">
        <v>5094</v>
      </c>
      <c r="B598">
        <f>IF(ISBLANK(NeoDataInfB!$D$23),"",NeoDataInfB!$D$23)</f>
        <v>0</v>
      </c>
      <c r="C598" s="317">
        <v>0</v>
      </c>
    </row>
    <row r="599" spans="1:6" x14ac:dyDescent="0.2">
      <c r="A599" s="315" t="s">
        <v>5095</v>
      </c>
      <c r="B599">
        <f>IF(ISBLANK(NeoDataInfB!$D$24),"",NeoDataInfB!$D$24)</f>
        <v>0</v>
      </c>
      <c r="C599" s="317">
        <v>0</v>
      </c>
    </row>
    <row r="600" spans="1:6" x14ac:dyDescent="0.2">
      <c r="A600" s="315" t="s">
        <v>5096</v>
      </c>
      <c r="B600">
        <f>IF(ISBLANK(NeoDataInfB!$D$25),"",NeoDataInfB!$D$25)</f>
        <v>0</v>
      </c>
      <c r="C600" s="317">
        <v>0</v>
      </c>
      <c r="F600" s="315"/>
    </row>
    <row r="601" spans="1:6" x14ac:dyDescent="0.2">
      <c r="A601" s="315" t="s">
        <v>5097</v>
      </c>
      <c r="B601">
        <f>IF(ISBLANK(NeoDataInfB!$D$26),"",NeoDataInfB!$D$26)</f>
        <v>0</v>
      </c>
      <c r="C601" s="317">
        <v>0</v>
      </c>
    </row>
    <row r="602" spans="1:6" x14ac:dyDescent="0.2">
      <c r="A602" s="315" t="s">
        <v>5098</v>
      </c>
      <c r="B602">
        <f>IF(ISBLANK(NeoDataInfB!$D$27),"",NeoDataInfB!$D$27)</f>
        <v>0</v>
      </c>
      <c r="C602" s="317">
        <v>0</v>
      </c>
    </row>
    <row r="603" spans="1:6" x14ac:dyDescent="0.2">
      <c r="A603" s="315" t="s">
        <v>5099</v>
      </c>
      <c r="B603">
        <f>IF(ISBLANK(NeoDataInfB!$D$28),"",NeoDataInfB!$D$28)</f>
        <v>0</v>
      </c>
      <c r="C603" s="317">
        <v>0</v>
      </c>
    </row>
    <row r="604" spans="1:6" x14ac:dyDescent="0.2">
      <c r="A604" s="315" t="s">
        <v>5100</v>
      </c>
      <c r="B604">
        <f>IF(ISBLANK(NeoDataInfB!$D$29),"",NeoDataInfB!$D$29)</f>
        <v>0</v>
      </c>
      <c r="C604" s="317">
        <v>0</v>
      </c>
    </row>
    <row r="605" spans="1:6" x14ac:dyDescent="0.2">
      <c r="A605" s="315" t="s">
        <v>5101</v>
      </c>
      <c r="B605">
        <f>IF(ISBLANK(NeoDataInfB!$D$30),"",NeoDataInfB!$D$30)</f>
        <v>0</v>
      </c>
      <c r="C605" s="317">
        <v>0</v>
      </c>
    </row>
    <row r="606" spans="1:6" x14ac:dyDescent="0.2">
      <c r="A606" s="315" t="s">
        <v>5102</v>
      </c>
      <c r="B606">
        <f>IF(ISBLANK(NeoDataInfB!$D$31),"",NeoDataInfB!$D$31)</f>
        <v>0</v>
      </c>
      <c r="C606" s="317">
        <v>0</v>
      </c>
    </row>
    <row r="607" spans="1:6" x14ac:dyDescent="0.2">
      <c r="A607" s="315" t="s">
        <v>5103</v>
      </c>
      <c r="B607">
        <f>IF(ISBLANK(NeoDataInfB!$D$32),"",NeoDataInfB!$D$32)</f>
        <v>1</v>
      </c>
      <c r="C607" s="17">
        <v>1</v>
      </c>
    </row>
    <row r="608" spans="1:6" x14ac:dyDescent="0.2">
      <c r="A608" s="315" t="s">
        <v>5104</v>
      </c>
      <c r="B608">
        <f>IF(ISBLANK(NeoDataInfB!$D$33),"",NeoDataInfB!$D$33)</f>
        <v>1</v>
      </c>
      <c r="C608" s="17">
        <v>1</v>
      </c>
    </row>
    <row r="609" spans="1:6" x14ac:dyDescent="0.2">
      <c r="A609" s="315" t="s">
        <v>5105</v>
      </c>
      <c r="B609">
        <f>IF(ISBLANK(NeoDataInfB!$D$34),"",NeoDataInfB!$D$34)</f>
        <v>1</v>
      </c>
      <c r="C609" s="17">
        <v>1</v>
      </c>
    </row>
    <row r="610" spans="1:6" x14ac:dyDescent="0.2">
      <c r="A610" s="315" t="s">
        <v>5106</v>
      </c>
      <c r="B610">
        <f>IF(ISBLANK(NeoDataInfB!$D$35),"",NeoDataInfB!$D$35)</f>
        <v>1</v>
      </c>
      <c r="C610" s="17">
        <v>1</v>
      </c>
      <c r="F610" s="315"/>
    </row>
    <row r="611" spans="1:6" x14ac:dyDescent="0.2">
      <c r="A611" s="315" t="s">
        <v>5107</v>
      </c>
      <c r="B611">
        <f>IF(ISBLANK(NeoDataInfB!$D$36),"",NeoDataInfB!$D$36)</f>
        <v>1</v>
      </c>
      <c r="C611" s="17">
        <v>1</v>
      </c>
      <c r="F611" s="315"/>
    </row>
    <row r="612" spans="1:6" x14ac:dyDescent="0.2">
      <c r="A612" s="315" t="s">
        <v>5108</v>
      </c>
      <c r="B612">
        <f>IF(ISBLANK(NeoDataInfB!$D$37),"",NeoDataInfB!$D$37)</f>
        <v>1</v>
      </c>
      <c r="C612" s="17">
        <v>1</v>
      </c>
      <c r="F612" s="315"/>
    </row>
    <row r="613" spans="1:6" x14ac:dyDescent="0.2">
      <c r="A613" s="315" t="s">
        <v>5109</v>
      </c>
      <c r="B613">
        <f>IF(ISBLANK(NeoDataInfB!$D$38),"",NeoDataInfB!$D$38)</f>
        <v>1</v>
      </c>
      <c r="C613" s="17">
        <v>1</v>
      </c>
      <c r="F613" s="315"/>
    </row>
    <row r="614" spans="1:6" x14ac:dyDescent="0.2">
      <c r="A614" s="315" t="s">
        <v>5110</v>
      </c>
      <c r="B614">
        <f>IF(ISBLANK(NeoDataInfB!$D$39),"",NeoDataInfB!$D$39)</f>
        <v>1</v>
      </c>
      <c r="C614" s="17">
        <v>1</v>
      </c>
      <c r="F614" s="315"/>
    </row>
    <row r="615" spans="1:6" x14ac:dyDescent="0.2">
      <c r="A615" s="315" t="s">
        <v>5111</v>
      </c>
      <c r="B615">
        <f>IF(ISBLANK(NeoDataInfB!$D$40),"",NeoDataInfB!$D$40)</f>
        <v>1</v>
      </c>
      <c r="C615" s="17">
        <v>1</v>
      </c>
      <c r="F615" s="315"/>
    </row>
    <row r="616" spans="1:6" x14ac:dyDescent="0.2">
      <c r="A616" s="315" t="s">
        <v>5112</v>
      </c>
      <c r="B616">
        <f>IF(ISBLANK(NeoDataInfB!$D$41),"",NeoDataInfB!$D$41)</f>
        <v>0</v>
      </c>
      <c r="C616" s="17">
        <v>0</v>
      </c>
      <c r="F616" s="315"/>
    </row>
    <row r="617" spans="1:6" x14ac:dyDescent="0.2">
      <c r="A617" s="315" t="s">
        <v>5113</v>
      </c>
      <c r="B617">
        <f>IF(ISBLANK(NeoDataInfB!$D$42),"",NeoDataInfB!$D$42)</f>
        <v>0</v>
      </c>
      <c r="C617" s="17">
        <v>0</v>
      </c>
      <c r="F617" s="315"/>
    </row>
    <row r="618" spans="1:6" x14ac:dyDescent="0.2">
      <c r="A618" s="315" t="s">
        <v>5114</v>
      </c>
      <c r="B618">
        <f>IF(ISBLANK(NeoDataInfB!$D$43),"",NeoDataInfB!$D$43)</f>
        <v>0</v>
      </c>
      <c r="C618" s="17">
        <v>0</v>
      </c>
      <c r="F618" s="315"/>
    </row>
    <row r="619" spans="1:6" x14ac:dyDescent="0.2">
      <c r="A619" s="315" t="s">
        <v>5115</v>
      </c>
      <c r="B619">
        <f>IF(ISBLANK(NeoDataInfB!$D$44),"",NeoDataInfB!$D$44)</f>
        <v>0</v>
      </c>
      <c r="C619" s="317">
        <v>0</v>
      </c>
    </row>
    <row r="620" spans="1:6" x14ac:dyDescent="0.2">
      <c r="A620" s="315" t="s">
        <v>5116</v>
      </c>
      <c r="B620">
        <f>IF(ISBLANK(NeoDataInfB!$D$45),"",NeoDataInfB!$D$45)</f>
        <v>0</v>
      </c>
      <c r="C620" s="317">
        <v>0</v>
      </c>
    </row>
    <row r="621" spans="1:6" x14ac:dyDescent="0.2">
      <c r="A621" s="315" t="s">
        <v>5117</v>
      </c>
      <c r="B621">
        <f>IF(ISBLANK(NeoDataInfB!$D$46),"",NeoDataInfB!$D$46)</f>
        <v>0</v>
      </c>
      <c r="C621" s="317">
        <v>0</v>
      </c>
    </row>
    <row r="622" spans="1:6" x14ac:dyDescent="0.2">
      <c r="A622" s="315" t="s">
        <v>5118</v>
      </c>
      <c r="B622">
        <f>IF(ISBLANK(NeoDataInfB!$D$47),"",NeoDataInfB!$D$47)</f>
        <v>0</v>
      </c>
      <c r="C622" s="317">
        <v>0</v>
      </c>
    </row>
    <row r="623" spans="1:6" x14ac:dyDescent="0.2">
      <c r="A623" s="315" t="s">
        <v>5119</v>
      </c>
      <c r="B623">
        <f>IF(ISBLANK(NeoDataInfB!$D$48),"",NeoDataInfB!$D$48)</f>
        <v>0</v>
      </c>
      <c r="C623" s="317">
        <v>0</v>
      </c>
    </row>
    <row r="624" spans="1:6" x14ac:dyDescent="0.2">
      <c r="A624" s="315" t="s">
        <v>5120</v>
      </c>
      <c r="B624">
        <f>IF(ISBLANK(NeoDataInfB!$D$49),"",NeoDataInfB!$D$49)</f>
        <v>0</v>
      </c>
      <c r="C624" s="317">
        <v>0</v>
      </c>
    </row>
    <row r="625" spans="1:3" x14ac:dyDescent="0.2">
      <c r="A625" s="315" t="s">
        <v>5121</v>
      </c>
      <c r="B625">
        <f>IF(ISBLANK(NeoDataInfB!$D$50),"",NeoDataInfB!$D$50)</f>
        <v>0</v>
      </c>
      <c r="C625" s="317">
        <v>0</v>
      </c>
    </row>
    <row r="626" spans="1:3" x14ac:dyDescent="0.2">
      <c r="A626" s="315" t="s">
        <v>5122</v>
      </c>
      <c r="B626">
        <f>IF(ISBLANK(NeoDataInfB!$D$51),"",NeoDataInfB!$D$51)</f>
        <v>0</v>
      </c>
      <c r="C626" s="317">
        <v>0</v>
      </c>
    </row>
    <row r="627" spans="1:3" x14ac:dyDescent="0.2">
      <c r="A627" s="315" t="s">
        <v>5123</v>
      </c>
      <c r="B627" s="17">
        <f>IF(ISBLANK(NeoDataInfB!$D$52),"",NeoDataInfB!$D$52)</f>
        <v>0</v>
      </c>
      <c r="C627" s="317">
        <v>0</v>
      </c>
    </row>
    <row r="628" spans="1:3" x14ac:dyDescent="0.2">
      <c r="A628" s="315" t="s">
        <v>5124</v>
      </c>
      <c r="B628">
        <f>IF(ISBLANK(NeoDataInfB!$D$53),"",NeoDataInfB!$D$53)</f>
        <v>0</v>
      </c>
      <c r="C628" s="317">
        <v>0</v>
      </c>
    </row>
    <row r="629" spans="1:3" x14ac:dyDescent="0.2">
      <c r="A629" s="315" t="s">
        <v>5125</v>
      </c>
      <c r="B629">
        <f>IF(ISBLANK(NeoDataInfB!$D$54),"",NeoDataInfB!$D$54)</f>
        <v>0</v>
      </c>
      <c r="C629" s="317">
        <v>0</v>
      </c>
    </row>
    <row r="630" spans="1:3" x14ac:dyDescent="0.2">
      <c r="A630" s="315" t="s">
        <v>5126</v>
      </c>
      <c r="B630">
        <f>IF(ISBLANK(NeoDataInfB!$D$55),"",NeoDataInfB!$D$55)</f>
        <v>0</v>
      </c>
      <c r="C630" s="317">
        <v>0</v>
      </c>
    </row>
    <row r="631" spans="1:3" x14ac:dyDescent="0.2">
      <c r="A631" s="315" t="s">
        <v>5127</v>
      </c>
      <c r="B631">
        <f>IF(ISBLANK(NeoDataInfB!$D$56),"",NeoDataInfB!$D$56)</f>
        <v>0</v>
      </c>
      <c r="C631" s="17">
        <v>0</v>
      </c>
    </row>
    <row r="632" spans="1:3" x14ac:dyDescent="0.2">
      <c r="A632" s="315" t="s">
        <v>5128</v>
      </c>
      <c r="B632">
        <f>IF(ISBLANK(NeoDataInfB!$D$57),"",NeoDataInfB!$D$57)</f>
        <v>0</v>
      </c>
      <c r="C632" s="17">
        <v>0</v>
      </c>
    </row>
    <row r="633" spans="1:3" x14ac:dyDescent="0.2">
      <c r="A633" s="315" t="s">
        <v>5129</v>
      </c>
      <c r="B633">
        <f>IF(ISBLANK(NeoDataInfB!$D$58),"",NeoDataInfB!$D$58)</f>
        <v>0</v>
      </c>
      <c r="C633" s="17">
        <v>0</v>
      </c>
    </row>
    <row r="634" spans="1:3" x14ac:dyDescent="0.2">
      <c r="A634" s="315" t="s">
        <v>5130</v>
      </c>
      <c r="B634">
        <f>IF(ISBLANK(NeoDataInfB!$D$59),"",NeoDataInfB!$D$59)</f>
        <v>0</v>
      </c>
      <c r="C634" s="17">
        <v>0</v>
      </c>
    </row>
    <row r="635" spans="1:3" x14ac:dyDescent="0.2">
      <c r="A635" s="315" t="s">
        <v>5131</v>
      </c>
      <c r="B635">
        <f>IF(ISBLANK(NeoDataInfB!$D$60),"",NeoDataInfB!$D$60)</f>
        <v>0</v>
      </c>
      <c r="C635" s="17">
        <v>0</v>
      </c>
    </row>
    <row r="636" spans="1:3" x14ac:dyDescent="0.2">
      <c r="A636" s="315" t="s">
        <v>5132</v>
      </c>
      <c r="B636">
        <f>IF(ISBLANK(NeoDataInfB!$D$61),"",NeoDataInfB!$D$61)</f>
        <v>0</v>
      </c>
      <c r="C636" s="17">
        <v>0</v>
      </c>
    </row>
    <row r="637" spans="1:3" x14ac:dyDescent="0.2">
      <c r="A637" s="315" t="s">
        <v>5133</v>
      </c>
      <c r="B637">
        <f>IF(ISBLANK(NeoDataInfB!$D$62),"",NeoDataInfB!$D$62)</f>
        <v>0</v>
      </c>
      <c r="C637" s="17">
        <v>0</v>
      </c>
    </row>
    <row r="638" spans="1:3" x14ac:dyDescent="0.2">
      <c r="A638" s="315" t="s">
        <v>5134</v>
      </c>
      <c r="B638">
        <f>IF(ISBLANK(NeoDataInfB!$D$63),"",NeoDataInfB!$D$63)</f>
        <v>0</v>
      </c>
      <c r="C638" s="17">
        <v>0</v>
      </c>
    </row>
    <row r="639" spans="1:3" x14ac:dyDescent="0.2">
      <c r="A639" s="315" t="s">
        <v>5135</v>
      </c>
      <c r="B639">
        <f>IF(ISBLANK(NeoDataInfB!$D$64),"",NeoDataInfB!$D$64)</f>
        <v>0</v>
      </c>
      <c r="C639" s="17">
        <v>0</v>
      </c>
    </row>
    <row r="640" spans="1:3" x14ac:dyDescent="0.2">
      <c r="A640" s="315" t="s">
        <v>5136</v>
      </c>
      <c r="B640">
        <f>IF(ISBLANK(NeoDataInfB!$D$65),"",NeoDataInfB!$D$65)</f>
        <v>0</v>
      </c>
      <c r="C640" s="17">
        <v>0</v>
      </c>
    </row>
    <row r="641" spans="1:3" x14ac:dyDescent="0.2">
      <c r="A641" s="315" t="s">
        <v>5137</v>
      </c>
      <c r="B641" t="b">
        <f>IF(ISBLANK(NeoDataInfB!$D$66),"",NeoDataInfB!$D$66)</f>
        <v>0</v>
      </c>
      <c r="C641" s="315" t="b">
        <v>0</v>
      </c>
    </row>
    <row r="642" spans="1:3" x14ac:dyDescent="0.2">
      <c r="A642" s="315" t="s">
        <v>5138</v>
      </c>
      <c r="B642" t="b">
        <f>IF(ISBLANK(NeoDataInfB!$D$67),"",NeoDataInfB!$D$67)</f>
        <v>0</v>
      </c>
      <c r="C642" s="315" t="b">
        <v>0</v>
      </c>
    </row>
    <row r="643" spans="1:3" x14ac:dyDescent="0.2">
      <c r="A643" s="315" t="s">
        <v>5139</v>
      </c>
      <c r="B643" t="b">
        <f>IF(ISBLANK(NeoDataInfB!$D$68),"",NeoDataInfB!$D$68)</f>
        <v>0</v>
      </c>
      <c r="C643" s="315" t="b">
        <v>0</v>
      </c>
    </row>
    <row r="644" spans="1:3" x14ac:dyDescent="0.2">
      <c r="A644" s="315" t="s">
        <v>5140</v>
      </c>
      <c r="B644" t="b">
        <f>IF(ISBLANK(NeoDataInfB!$D$69),"",NeoDataInfB!$D$69)</f>
        <v>0</v>
      </c>
      <c r="C644" s="315" t="b">
        <v>0</v>
      </c>
    </row>
    <row r="645" spans="1:3" x14ac:dyDescent="0.2">
      <c r="A645" s="315" t="s">
        <v>5141</v>
      </c>
      <c r="B645">
        <f>IF(ISBLANK(NeoDataInfB!$D$70),"",NeoDataInfB!$D$70)</f>
        <v>0</v>
      </c>
      <c r="C645" s="17">
        <v>0</v>
      </c>
    </row>
    <row r="646" spans="1:3" x14ac:dyDescent="0.2">
      <c r="A646" s="315" t="s">
        <v>5142</v>
      </c>
      <c r="B646">
        <f>IF(ISBLANK(NeoDataInfB!$D$71),"",NeoDataInfB!$D$71)</f>
        <v>0</v>
      </c>
      <c r="C646" s="17">
        <v>0</v>
      </c>
    </row>
    <row r="647" spans="1:3" x14ac:dyDescent="0.2">
      <c r="A647" s="315" t="s">
        <v>5143</v>
      </c>
      <c r="B647">
        <f>IF(ISBLANK(NeoDataInfB!$D$72),"",NeoDataInfB!$D$72)</f>
        <v>0</v>
      </c>
      <c r="C647" s="317">
        <v>0</v>
      </c>
    </row>
    <row r="648" spans="1:3" x14ac:dyDescent="0.2">
      <c r="A648" s="315" t="s">
        <v>5144</v>
      </c>
      <c r="B648">
        <f>IF(ISBLANK(NeoDataInfB!$D$73),"",NeoDataInfB!$D$73)</f>
        <v>0</v>
      </c>
      <c r="C648" s="317">
        <v>0</v>
      </c>
    </row>
    <row r="649" spans="1:3" x14ac:dyDescent="0.2">
      <c r="A649" s="315" t="s">
        <v>5145</v>
      </c>
      <c r="B649">
        <f>IF(ISBLANK(NeoDataInfB!$D$74),"",NeoDataInfB!$D$74)</f>
        <v>1</v>
      </c>
      <c r="C649" s="17">
        <v>1</v>
      </c>
    </row>
    <row r="650" spans="1:3" x14ac:dyDescent="0.2">
      <c r="A650" s="315" t="s">
        <v>5146</v>
      </c>
      <c r="B650">
        <f>IF(ISBLANK(NeoDataInfB!$D$75),"",NeoDataInfB!$D$75)</f>
        <v>1</v>
      </c>
      <c r="C650" s="17">
        <v>1</v>
      </c>
    </row>
    <row r="651" spans="1:3" x14ac:dyDescent="0.2">
      <c r="A651" s="315" t="s">
        <v>5147</v>
      </c>
      <c r="B651">
        <f>IF(ISBLANK(NeoDataInfB!$D$76),"",NeoDataInfB!$D$76)</f>
        <v>1</v>
      </c>
      <c r="C651" s="17">
        <v>1</v>
      </c>
    </row>
    <row r="652" spans="1:3" x14ac:dyDescent="0.2">
      <c r="A652" s="315" t="s">
        <v>5148</v>
      </c>
      <c r="B652">
        <f>IF(ISBLANK(NeoDataInfB!$D$77),"",NeoDataInfB!$D$77)</f>
        <v>1</v>
      </c>
      <c r="C652" s="17">
        <v>1</v>
      </c>
    </row>
    <row r="653" spans="1:3" x14ac:dyDescent="0.2">
      <c r="A653" s="315" t="s">
        <v>5149</v>
      </c>
      <c r="B653">
        <f>IF(ISBLANK(NeoDataInfB!$D$78),"",NeoDataInfB!$D$78)</f>
        <v>1</v>
      </c>
      <c r="C653" s="17">
        <v>1</v>
      </c>
    </row>
    <row r="654" spans="1:3" x14ac:dyDescent="0.2">
      <c r="A654" s="315" t="s">
        <v>5150</v>
      </c>
      <c r="B654">
        <f>IF(ISBLANK(NeoDataInfB!$D$79),"",NeoDataInfB!$D$79)</f>
        <v>1</v>
      </c>
      <c r="C654" s="17">
        <v>1</v>
      </c>
    </row>
    <row r="655" spans="1:3" x14ac:dyDescent="0.2">
      <c r="A655" s="315" t="s">
        <v>5151</v>
      </c>
      <c r="B655">
        <f>IF(ISBLANK(NeoDataInfB!$D$80),"",NeoDataInfB!$D$80)</f>
        <v>1</v>
      </c>
      <c r="C655" s="17">
        <v>1</v>
      </c>
    </row>
    <row r="656" spans="1:3" x14ac:dyDescent="0.2">
      <c r="A656" s="315" t="s">
        <v>5152</v>
      </c>
      <c r="B656">
        <f>IF(ISBLANK(NeoDataInfB!$D$81),"",NeoDataInfB!$D$81)</f>
        <v>1</v>
      </c>
      <c r="C656" s="17">
        <v>1</v>
      </c>
    </row>
    <row r="657" spans="1:3" x14ac:dyDescent="0.2">
      <c r="A657" s="315" t="s">
        <v>5153</v>
      </c>
      <c r="B657">
        <f>IF(ISBLANK(NeoDataInfB!$D$82),"",NeoDataInfB!$D$82)</f>
        <v>1</v>
      </c>
      <c r="C657" s="17">
        <v>1</v>
      </c>
    </row>
    <row r="658" spans="1:3" x14ac:dyDescent="0.2">
      <c r="A658" s="315" t="s">
        <v>5154</v>
      </c>
      <c r="B658">
        <f>IF(ISBLANK(NeoDataInfB!$D$83),"",NeoDataInfB!$D$83)</f>
        <v>1</v>
      </c>
      <c r="C658" s="17">
        <v>1</v>
      </c>
    </row>
    <row r="659" spans="1:3" x14ac:dyDescent="0.2">
      <c r="A659" s="315" t="s">
        <v>5155</v>
      </c>
      <c r="B659">
        <f>IF(ISBLANK(NeoDataInfB!$D$84),"",NeoDataInfB!$D$84)</f>
        <v>1</v>
      </c>
      <c r="C659" s="17">
        <v>1</v>
      </c>
    </row>
    <row r="660" spans="1:3" x14ac:dyDescent="0.2">
      <c r="A660" s="315" t="s">
        <v>5156</v>
      </c>
      <c r="B660">
        <f>IF(ISBLANK(NeoDataInfB!$D$85),"",NeoDataInfB!$D$85)</f>
        <v>1</v>
      </c>
      <c r="C660" s="17">
        <v>1</v>
      </c>
    </row>
    <row r="661" spans="1:3" x14ac:dyDescent="0.2">
      <c r="A661" s="315" t="s">
        <v>5157</v>
      </c>
      <c r="B661">
        <f>IF(ISBLANK(NeoDataInfB!$D$86),"",NeoDataInfB!$D$86)</f>
        <v>1</v>
      </c>
      <c r="C661" s="17">
        <v>1</v>
      </c>
    </row>
    <row r="662" spans="1:3" x14ac:dyDescent="0.2">
      <c r="A662" s="315" t="s">
        <v>5158</v>
      </c>
      <c r="B662">
        <f>IF(ISBLANK(NeoDataInfB!$D$87),"",NeoDataInfB!$D$87)</f>
        <v>1</v>
      </c>
      <c r="C662" s="17">
        <v>1</v>
      </c>
    </row>
    <row r="663" spans="1:3" x14ac:dyDescent="0.2">
      <c r="A663" s="315" t="s">
        <v>5159</v>
      </c>
      <c r="B663">
        <f>IF(ISBLANK(NeoDataInfB!$D$88),"",NeoDataInfB!$D$88)</f>
        <v>1</v>
      </c>
      <c r="C663" s="17">
        <v>1</v>
      </c>
    </row>
    <row r="664" spans="1:3" x14ac:dyDescent="0.2">
      <c r="A664" s="315" t="s">
        <v>5160</v>
      </c>
      <c r="B664">
        <f>IF(ISBLANK(NeoDataInfB!$D$89),"",NeoDataInfB!$D$89)</f>
        <v>1</v>
      </c>
      <c r="C664" s="17">
        <v>1</v>
      </c>
    </row>
    <row r="665" spans="1:3" x14ac:dyDescent="0.2">
      <c r="A665" s="315" t="s">
        <v>5161</v>
      </c>
      <c r="B665">
        <f>IF(ISBLANK(NeoDataInfB!$D$90),"",NeoDataInfB!$D$90)</f>
        <v>1</v>
      </c>
      <c r="C665" s="17">
        <v>1</v>
      </c>
    </row>
    <row r="666" spans="1:3" s="315" customFormat="1" x14ac:dyDescent="0.2">
      <c r="A666" s="315" t="s">
        <v>5162</v>
      </c>
      <c r="B666" s="315">
        <f>IF(ISBLANK(NeoDataInfB!$D$91),"",NeoDataInfB!$D$91)</f>
        <v>1</v>
      </c>
      <c r="C666" s="315">
        <v>1</v>
      </c>
    </row>
    <row r="667" spans="1:3" x14ac:dyDescent="0.2">
      <c r="A667" s="315" t="s">
        <v>5163</v>
      </c>
      <c r="B667">
        <f>IF(ISBLANK(NeoDataInfB!$D$92),"",NeoDataInfB!$D$92)</f>
        <v>5000</v>
      </c>
      <c r="C667" s="315">
        <v>5000</v>
      </c>
    </row>
    <row r="668" spans="1:3" x14ac:dyDescent="0.2">
      <c r="A668" s="315" t="s">
        <v>5164</v>
      </c>
      <c r="B668">
        <f>IF(ISBLANK(NeoDataInfB!$D$93),"",NeoDataInfB!$D$93)</f>
        <v>1</v>
      </c>
      <c r="C668" s="315">
        <v>1</v>
      </c>
    </row>
    <row r="669" spans="1:3" x14ac:dyDescent="0.2">
      <c r="A669" s="315" t="s">
        <v>5165</v>
      </c>
      <c r="B669">
        <f>IF(ISBLANK(NeoDataInfB!$D$94),"",NeoDataInfB!$D$94)</f>
        <v>2</v>
      </c>
      <c r="C669" s="315">
        <v>2</v>
      </c>
    </row>
    <row r="670" spans="1:3" x14ac:dyDescent="0.2">
      <c r="A670" s="315" t="s">
        <v>5166</v>
      </c>
      <c r="B670">
        <f>IF(ISBLANK(NeoDataInfB!$D$95),"",NeoDataInfB!$D$95)</f>
        <v>2</v>
      </c>
      <c r="C670" s="315">
        <v>2</v>
      </c>
    </row>
    <row r="671" spans="1:3" x14ac:dyDescent="0.2">
      <c r="A671" s="315" t="s">
        <v>5167</v>
      </c>
      <c r="B671">
        <f>IF(ISBLANK(NeoDataInfB!$D$96),"",NeoDataInfB!$D$96)</f>
        <v>5000</v>
      </c>
      <c r="C671" s="315">
        <v>5000</v>
      </c>
    </row>
    <row r="672" spans="1:3" x14ac:dyDescent="0.2">
      <c r="A672" s="315" t="s">
        <v>5168</v>
      </c>
      <c r="B672">
        <f>IF(ISBLANK(NeoDataInfB!$D$97),"",NeoDataInfB!$D$97)</f>
        <v>5000</v>
      </c>
      <c r="C672" s="315">
        <v>5000</v>
      </c>
    </row>
    <row r="673" spans="1:3" x14ac:dyDescent="0.2">
      <c r="A673" s="315" t="s">
        <v>5169</v>
      </c>
      <c r="B673">
        <f>IF(ISBLANK(NeoDataInfB!$D$98),"",NeoDataInfB!$D$98)</f>
        <v>1</v>
      </c>
      <c r="C673" s="315">
        <v>1</v>
      </c>
    </row>
    <row r="674" spans="1:3" x14ac:dyDescent="0.2">
      <c r="A674" s="315" t="s">
        <v>5170</v>
      </c>
      <c r="B674">
        <f>IF(ISBLANK(NeoDataInfB!$D$99),"",NeoDataInfB!$D$99)</f>
        <v>5000</v>
      </c>
      <c r="C674" s="315">
        <v>5000</v>
      </c>
    </row>
    <row r="675" spans="1:3" x14ac:dyDescent="0.2">
      <c r="A675" s="315" t="s">
        <v>5171</v>
      </c>
      <c r="B675">
        <f>IF(ISBLANK(NeoDataInfB!$D$100),"",NeoDataInfB!$D$100)</f>
        <v>5000</v>
      </c>
      <c r="C675" s="315">
        <v>5000</v>
      </c>
    </row>
    <row r="676" spans="1:3" x14ac:dyDescent="0.2">
      <c r="A676" s="315" t="s">
        <v>5172</v>
      </c>
      <c r="B676">
        <f>IF(ISBLANK(NeoDataInfB!$D$101),"",NeoDataInfB!$D$101)</f>
        <v>5000</v>
      </c>
      <c r="C676" s="315">
        <v>5000</v>
      </c>
    </row>
    <row r="677" spans="1:3" x14ac:dyDescent="0.2">
      <c r="A677" s="315" t="s">
        <v>5173</v>
      </c>
      <c r="B677">
        <f>IF(ISBLANK(NeoDataInfB!$D$102),"",NeoDataInfB!$D$102)</f>
        <v>5000</v>
      </c>
      <c r="C677" s="315">
        <v>5000</v>
      </c>
    </row>
    <row r="678" spans="1:3" x14ac:dyDescent="0.2">
      <c r="A678" s="315" t="s">
        <v>5174</v>
      </c>
      <c r="B678" t="b">
        <f>IF(ISBLANK(NeoDataInfB!$D$103),"",NeoDataInfB!$D$103)</f>
        <v>0</v>
      </c>
      <c r="C678" s="315" t="b">
        <v>0</v>
      </c>
    </row>
    <row r="679" spans="1:3" x14ac:dyDescent="0.2">
      <c r="A679" s="315" t="s">
        <v>5175</v>
      </c>
      <c r="B679">
        <f>IF(ISBLANK(NeoDataInfB!$D$104),"",NeoDataInfB!$D$104)</f>
        <v>5000</v>
      </c>
      <c r="C679" s="315">
        <v>5000</v>
      </c>
    </row>
    <row r="680" spans="1:3" x14ac:dyDescent="0.2">
      <c r="A680" s="315" t="s">
        <v>5176</v>
      </c>
      <c r="B680">
        <f>IF(ISBLANK(NeoDataInfB!$D$105),"",NeoDataInfB!$D$105)</f>
        <v>5000</v>
      </c>
      <c r="C680" s="315">
        <v>5000</v>
      </c>
    </row>
    <row r="681" spans="1:3" x14ac:dyDescent="0.2">
      <c r="A681" s="315" t="s">
        <v>5177</v>
      </c>
      <c r="B681">
        <f>IF(ISBLANK(NeoDataInfB!$D$106),"",NeoDataInfB!$D$106)</f>
        <v>5000</v>
      </c>
      <c r="C681" s="315">
        <v>5000</v>
      </c>
    </row>
    <row r="682" spans="1:3" x14ac:dyDescent="0.2">
      <c r="A682" s="315" t="s">
        <v>2014</v>
      </c>
      <c r="B682" t="b">
        <f>IF(ISBLANK(NeoBerAfspr!$B$22),"",NeoBerAfspr!$B$22)</f>
        <v>0</v>
      </c>
      <c r="C682" t="b">
        <v>0</v>
      </c>
    </row>
    <row r="683" spans="1:3" x14ac:dyDescent="0.2">
      <c r="A683" s="315" t="s">
        <v>2015</v>
      </c>
      <c r="B683" t="b">
        <f>IF(ISBLANK(NeoBerAfspr!$D$11),"",NeoBerAfspr!$D$11)</f>
        <v>0</v>
      </c>
      <c r="C683" s="315" t="b">
        <v>0</v>
      </c>
    </row>
    <row r="684" spans="1:3" x14ac:dyDescent="0.2">
      <c r="A684" s="315" t="s">
        <v>2016</v>
      </c>
      <c r="B684" t="b">
        <f>IF(ISBLANK(NeoBerAfspr!$D$12),"",NeoBerAfspr!$D$12)</f>
        <v>0</v>
      </c>
      <c r="C684" s="315" t="b">
        <v>0</v>
      </c>
    </row>
    <row r="685" spans="1:3" x14ac:dyDescent="0.2">
      <c r="A685" s="315" t="s">
        <v>2017</v>
      </c>
      <c r="B685" t="b">
        <f>IF(ISBLANK(NeoBerAfspr!$D$13),"",NeoBerAfspr!$D$13)</f>
        <v>0</v>
      </c>
      <c r="C685" s="315" t="b">
        <v>0</v>
      </c>
    </row>
    <row r="686" spans="1:3" x14ac:dyDescent="0.2">
      <c r="A686" s="315" t="s">
        <v>2018</v>
      </c>
      <c r="B686" t="b">
        <f>IF(ISBLANK(NeoBerAfspr!$D$14),"",NeoBerAfspr!$D$14)</f>
        <v>0</v>
      </c>
      <c r="C686" s="315" t="b">
        <v>0</v>
      </c>
    </row>
    <row r="687" spans="1:3" x14ac:dyDescent="0.2">
      <c r="A687" s="315" t="s">
        <v>2019</v>
      </c>
      <c r="B687" t="b">
        <f>IF(ISBLANK(NeoBerAfspr!$F$7),"",NeoBerAfspr!$F$7)</f>
        <v>0</v>
      </c>
      <c r="C687" s="315" t="b">
        <v>0</v>
      </c>
    </row>
    <row r="688" spans="1:3" x14ac:dyDescent="0.2">
      <c r="A688" s="315" t="s">
        <v>2020</v>
      </c>
      <c r="B688" t="b">
        <f>IF(ISBLANK(NeoBerAfspr!$J$7),"",NeoBerAfspr!$J$7)</f>
        <v>0</v>
      </c>
      <c r="C688" s="315" t="b">
        <v>0</v>
      </c>
    </row>
    <row r="689" spans="1:3" x14ac:dyDescent="0.2">
      <c r="A689" s="315" t="s">
        <v>2021</v>
      </c>
      <c r="B689" t="b">
        <f>IF(ISBLANK(NeoBerAfspr!$B$23),"",NeoBerAfspr!$B$23)</f>
        <v>0</v>
      </c>
      <c r="C689" s="315" t="b">
        <v>0</v>
      </c>
    </row>
    <row r="690" spans="1:3" x14ac:dyDescent="0.2">
      <c r="A690" s="315" t="s">
        <v>2022</v>
      </c>
      <c r="B690" t="b">
        <f>IF(ISBLANK(NeoBerAfspr!$B$24),"",NeoBerAfspr!$B$24)</f>
        <v>0</v>
      </c>
      <c r="C690" s="315" t="b">
        <v>0</v>
      </c>
    </row>
    <row r="691" spans="1:3" x14ac:dyDescent="0.2">
      <c r="A691" s="315" t="s">
        <v>2023</v>
      </c>
      <c r="B691" t="b">
        <f>IF(ISBLANK(NeoBerAfspr!$B$25),"",NeoBerAfspr!$B$25)</f>
        <v>0</v>
      </c>
      <c r="C691" s="315" t="b">
        <v>0</v>
      </c>
    </row>
    <row r="692" spans="1:3" x14ac:dyDescent="0.2">
      <c r="A692" s="315" t="s">
        <v>2024</v>
      </c>
      <c r="B692" t="b">
        <f>IF(ISBLANK(NeoBerAfspr!$B$26),"",NeoBerAfspr!$B$26)</f>
        <v>0</v>
      </c>
      <c r="C692" s="315" t="b">
        <v>0</v>
      </c>
    </row>
    <row r="693" spans="1:3" x14ac:dyDescent="0.2">
      <c r="A693" s="315" t="s">
        <v>2025</v>
      </c>
      <c r="B693" t="b">
        <f>IF(ISBLANK(NeoBerAfspr!$H$8),"",NeoBerAfspr!$H$8)</f>
        <v>0</v>
      </c>
      <c r="C693" s="315" t="b">
        <v>0</v>
      </c>
    </row>
    <row r="694" spans="1:3" x14ac:dyDescent="0.2">
      <c r="A694" s="315" t="s">
        <v>2026</v>
      </c>
      <c r="B694" t="b">
        <f>IF(ISBLANK(NeoBerAfspr!$F$8),"",NeoBerAfspr!$F$8)</f>
        <v>0</v>
      </c>
      <c r="C694" s="315" t="b">
        <v>0</v>
      </c>
    </row>
    <row r="695" spans="1:3" x14ac:dyDescent="0.2">
      <c r="A695" s="315" t="s">
        <v>2027</v>
      </c>
      <c r="B695" t="b">
        <f>IF(ISBLANK(NeoBerAfspr!$H$9),"",NeoBerAfspr!$H$9)</f>
        <v>0</v>
      </c>
      <c r="C695" s="315" t="b">
        <v>0</v>
      </c>
    </row>
    <row r="696" spans="1:3" x14ac:dyDescent="0.2">
      <c r="A696" s="315" t="s">
        <v>2028</v>
      </c>
      <c r="B696" t="b">
        <f>IF(ISBLANK(NeoBerAfspr!$H$10),"",NeoBerAfspr!$H$10)</f>
        <v>0</v>
      </c>
      <c r="C696" s="315" t="b">
        <v>0</v>
      </c>
    </row>
    <row r="697" spans="1:3" x14ac:dyDescent="0.2">
      <c r="A697" s="315" t="s">
        <v>2029</v>
      </c>
      <c r="B697" t="b">
        <f>IF(ISBLANK(NeoBerAfspr!$H$11),"",NeoBerAfspr!$H$11)</f>
        <v>0</v>
      </c>
      <c r="C697" s="315" t="b">
        <v>0</v>
      </c>
    </row>
    <row r="698" spans="1:3" x14ac:dyDescent="0.2">
      <c r="A698" s="315" t="s">
        <v>2030</v>
      </c>
      <c r="B698" t="b">
        <f>IF(ISBLANK(NeoBerAfspr!$B$7),"",NeoBerAfspr!$B$7)</f>
        <v>0</v>
      </c>
      <c r="C698" s="315" t="b">
        <v>0</v>
      </c>
    </row>
    <row r="699" spans="1:3" x14ac:dyDescent="0.2">
      <c r="A699" s="315" t="s">
        <v>2031</v>
      </c>
      <c r="B699" t="b">
        <f>IF(ISBLANK(NeoBerAfspr!$J$29),"",NeoBerAfspr!$J$29)</f>
        <v>0</v>
      </c>
      <c r="C699" s="315" t="b">
        <v>0</v>
      </c>
    </row>
    <row r="700" spans="1:3" x14ac:dyDescent="0.2">
      <c r="A700" s="315" t="s">
        <v>2032</v>
      </c>
      <c r="B700" t="b">
        <f>IF(ISBLANK(NeoBerAfspr!$J$8),"",NeoBerAfspr!$J$8)</f>
        <v>0</v>
      </c>
      <c r="C700" s="315" t="b">
        <v>0</v>
      </c>
    </row>
    <row r="701" spans="1:3" x14ac:dyDescent="0.2">
      <c r="A701" s="315" t="s">
        <v>2033</v>
      </c>
      <c r="B701" t="b">
        <f>IF(ISBLANK(NeoBerAfspr!$J$9),"",NeoBerAfspr!$J$9)</f>
        <v>0</v>
      </c>
      <c r="C701" s="315" t="b">
        <v>0</v>
      </c>
    </row>
    <row r="702" spans="1:3" x14ac:dyDescent="0.2">
      <c r="A702" s="315" t="s">
        <v>2034</v>
      </c>
      <c r="B702" t="b">
        <f>IF(ISBLANK(NeoBerAfspr!$B$8),"",NeoBerAfspr!$B$8)</f>
        <v>0</v>
      </c>
      <c r="C702" s="315" t="b">
        <v>0</v>
      </c>
    </row>
    <row r="703" spans="1:3" x14ac:dyDescent="0.2">
      <c r="A703" s="315" t="s">
        <v>2035</v>
      </c>
      <c r="B703" t="b">
        <f>IF(ISBLANK(NeoBerAfspr!$J$10),"",NeoBerAfspr!$J$10)</f>
        <v>0</v>
      </c>
      <c r="C703" s="315" t="b">
        <v>0</v>
      </c>
    </row>
    <row r="704" spans="1:3" s="315" customFormat="1" x14ac:dyDescent="0.2">
      <c r="A704" s="315" t="s">
        <v>2036</v>
      </c>
      <c r="B704" t="b">
        <f>IF(ISBLANK(NeoBerAfspr!$J$11),"",NeoBerAfspr!$J$11)</f>
        <v>0</v>
      </c>
      <c r="C704" s="315" t="b">
        <v>0</v>
      </c>
    </row>
    <row r="705" spans="1:3" x14ac:dyDescent="0.2">
      <c r="A705" s="315" t="s">
        <v>2037</v>
      </c>
      <c r="B705" t="b">
        <f>IF(ISBLANK(NeoBerAfspr!$F$12),"",NeoBerAfspr!$F$12)</f>
        <v>0</v>
      </c>
      <c r="C705" s="315" t="b">
        <v>0</v>
      </c>
    </row>
    <row r="706" spans="1:3" x14ac:dyDescent="0.2">
      <c r="A706" s="315" t="s">
        <v>2038</v>
      </c>
      <c r="B706" t="b">
        <f>IF(ISBLANK(NeoBerAfspr!$B$9),"",NeoBerAfspr!$B$9)</f>
        <v>0</v>
      </c>
      <c r="C706" s="315" t="b">
        <v>0</v>
      </c>
    </row>
    <row r="707" spans="1:3" x14ac:dyDescent="0.2">
      <c r="A707" s="315" t="s">
        <v>2039</v>
      </c>
      <c r="B707" t="b">
        <f>IF(ISBLANK(NeoBerAfspr!$B$46),"",NeoBerAfspr!$B$46)</f>
        <v>0</v>
      </c>
      <c r="C707" s="315" t="b">
        <v>0</v>
      </c>
    </row>
    <row r="708" spans="1:3" x14ac:dyDescent="0.2">
      <c r="A708" s="315" t="s">
        <v>2040</v>
      </c>
      <c r="B708" t="b">
        <f>IF(ISBLANK(NeoBerAfspr!$J$12),"",NeoBerAfspr!$J$12)</f>
        <v>0</v>
      </c>
      <c r="C708" s="315" t="b">
        <v>0</v>
      </c>
    </row>
    <row r="709" spans="1:3" s="315" customFormat="1" x14ac:dyDescent="0.2">
      <c r="A709" s="315" t="s">
        <v>2041</v>
      </c>
      <c r="B709" t="b">
        <f>IF(ISBLANK(NeoBerAfspr!$B$10),"",NeoBerAfspr!$B$10)</f>
        <v>0</v>
      </c>
      <c r="C709" s="315" t="b">
        <v>0</v>
      </c>
    </row>
    <row r="710" spans="1:3" s="315" customFormat="1" x14ac:dyDescent="0.2">
      <c r="A710" s="315" t="s">
        <v>2042</v>
      </c>
      <c r="B710" t="b">
        <f>IF(ISBLANK(NeoBerAfspr!$B$27),"",NeoBerAfspr!$B$27)</f>
        <v>0</v>
      </c>
      <c r="C710" s="315" t="b">
        <v>0</v>
      </c>
    </row>
    <row r="711" spans="1:3" s="315" customFormat="1" x14ac:dyDescent="0.2">
      <c r="A711" s="315" t="s">
        <v>2043</v>
      </c>
      <c r="B711" t="b">
        <f>IF(ISBLANK(NeoBerAfspr!$F$13),"",NeoBerAfspr!$F$13)</f>
        <v>0</v>
      </c>
      <c r="C711" s="315" t="b">
        <v>0</v>
      </c>
    </row>
    <row r="712" spans="1:3" s="315" customFormat="1" x14ac:dyDescent="0.2">
      <c r="A712" s="315" t="s">
        <v>2044</v>
      </c>
      <c r="B712" t="b">
        <f>IF(ISBLANK(NeoBerAfspr!$H$13),"",NeoBerAfspr!$H$13)</f>
        <v>0</v>
      </c>
      <c r="C712" s="315" t="b">
        <v>0</v>
      </c>
    </row>
    <row r="713" spans="1:3" x14ac:dyDescent="0.2">
      <c r="A713" s="315" t="s">
        <v>2045</v>
      </c>
      <c r="B713" t="b">
        <f>IF(ISBLANK(NeoBerAfspr!$B$11),"",NeoBerAfspr!$B$11)</f>
        <v>0</v>
      </c>
      <c r="C713" s="315" t="b">
        <v>0</v>
      </c>
    </row>
    <row r="714" spans="1:3" x14ac:dyDescent="0.2">
      <c r="A714" s="315" t="s">
        <v>2046</v>
      </c>
      <c r="B714" t="b">
        <f>IF(ISBLANK(NeoBerAfspr!$B$15),"",NeoBerAfspr!$B$15)</f>
        <v>0</v>
      </c>
      <c r="C714" s="315" t="b">
        <v>0</v>
      </c>
    </row>
    <row r="715" spans="1:3" x14ac:dyDescent="0.2">
      <c r="A715" s="315" t="s">
        <v>2047</v>
      </c>
      <c r="B715" t="b">
        <f>IF(ISBLANK(NeoBerAfspr!$B$28),"",NeoBerAfspr!$B$28)</f>
        <v>0</v>
      </c>
      <c r="C715" s="315" t="b">
        <v>0</v>
      </c>
    </row>
    <row r="716" spans="1:3" x14ac:dyDescent="0.2">
      <c r="A716" s="315" t="s">
        <v>2048</v>
      </c>
      <c r="B716" t="b">
        <f>IF(ISBLANK(NeoBerAfspr!$B$29),"",NeoBerAfspr!$B$29)</f>
        <v>0</v>
      </c>
      <c r="C716" s="315" t="b">
        <v>0</v>
      </c>
    </row>
    <row r="717" spans="1:3" x14ac:dyDescent="0.2">
      <c r="A717" s="315" t="s">
        <v>2049</v>
      </c>
      <c r="B717" t="b">
        <f>IF(ISBLANK(NeoBerAfspr!$B$30),"",NeoBerAfspr!$B$30)</f>
        <v>0</v>
      </c>
      <c r="C717" s="315" t="b">
        <v>0</v>
      </c>
    </row>
    <row r="718" spans="1:3" x14ac:dyDescent="0.2">
      <c r="A718" s="315" t="s">
        <v>2050</v>
      </c>
      <c r="B718" t="b">
        <f>IF(ISBLANK(NeoBerAfspr!$J$15),"",NeoBerAfspr!$J$15)</f>
        <v>0</v>
      </c>
      <c r="C718" s="315" t="b">
        <v>0</v>
      </c>
    </row>
    <row r="719" spans="1:3" x14ac:dyDescent="0.2">
      <c r="A719" s="315" t="s">
        <v>2051</v>
      </c>
      <c r="B719" t="b">
        <f>IF(ISBLANK(NeoBerAfspr!$J$13),"",NeoBerAfspr!$J$13)</f>
        <v>0</v>
      </c>
      <c r="C719" s="315" t="b">
        <v>0</v>
      </c>
    </row>
    <row r="720" spans="1:3" x14ac:dyDescent="0.2">
      <c r="A720" s="315" t="s">
        <v>2052</v>
      </c>
      <c r="B720" t="b">
        <f>IF(ISBLANK(NeoBerAfspr!$J$14),"",NeoBerAfspr!$J$14)</f>
        <v>0</v>
      </c>
      <c r="C720" s="315" t="b">
        <v>0</v>
      </c>
    </row>
    <row r="721" spans="1:3" x14ac:dyDescent="0.2">
      <c r="A721" s="315" t="s">
        <v>2053</v>
      </c>
      <c r="B721" t="b">
        <f>IF(ISBLANK(NeoBerAfspr!$F$14),"",NeoBerAfspr!$F$14)</f>
        <v>0</v>
      </c>
      <c r="C721" s="315" t="b">
        <v>0</v>
      </c>
    </row>
    <row r="722" spans="1:3" x14ac:dyDescent="0.2">
      <c r="A722" s="315" t="s">
        <v>2054</v>
      </c>
      <c r="B722" t="b">
        <f>IF(ISBLANK(NeoBerAfspr!$H$16),"",NeoBerAfspr!$H$16)</f>
        <v>0</v>
      </c>
      <c r="C722" s="315" t="b">
        <v>0</v>
      </c>
    </row>
    <row r="723" spans="1:3" x14ac:dyDescent="0.2">
      <c r="A723" s="315" t="s">
        <v>2055</v>
      </c>
      <c r="B723" s="315" t="b">
        <f>IF(ISBLANK(NeoBerAfspr!$F$15),"",NeoBerAfspr!$F$15)</f>
        <v>0</v>
      </c>
      <c r="C723" s="315" t="b">
        <v>0</v>
      </c>
    </row>
    <row r="724" spans="1:3" x14ac:dyDescent="0.2">
      <c r="A724" s="315" t="s">
        <v>2056</v>
      </c>
      <c r="B724" s="315" t="b">
        <f>IF(ISBLANK(NeoBerAfspr!$H$15),"",NeoBerAfspr!$H$15)</f>
        <v>0</v>
      </c>
      <c r="C724" s="315" t="b">
        <v>0</v>
      </c>
    </row>
    <row r="725" spans="1:3" x14ac:dyDescent="0.2">
      <c r="A725" s="315" t="s">
        <v>2057</v>
      </c>
      <c r="B725" s="315" t="b">
        <f>IF(ISBLANK(NeoBerAfspr!$J$16),"",NeoBerAfspr!$J$16)</f>
        <v>0</v>
      </c>
      <c r="C725" s="315" t="b">
        <v>0</v>
      </c>
    </row>
    <row r="726" spans="1:3" x14ac:dyDescent="0.2">
      <c r="A726" s="315" t="s">
        <v>2058</v>
      </c>
      <c r="B726" s="315" t="b">
        <f>IF(ISBLANK(NeoBerAfspr!$B$43),"",NeoBerAfspr!$B$43)</f>
        <v>0</v>
      </c>
      <c r="C726" s="315" t="b">
        <v>0</v>
      </c>
    </row>
    <row r="727" spans="1:3" x14ac:dyDescent="0.2">
      <c r="A727" s="315" t="s">
        <v>2059</v>
      </c>
      <c r="B727" s="315" t="b">
        <f>IF(ISBLANK(NeoBerAfspr!$D$43),"",NeoBerAfspr!$D$43)</f>
        <v>0</v>
      </c>
      <c r="C727" s="315" t="b">
        <v>0</v>
      </c>
    </row>
    <row r="728" spans="1:3" x14ac:dyDescent="0.2">
      <c r="A728" s="315" t="s">
        <v>2060</v>
      </c>
      <c r="B728" s="315" t="b">
        <f>IF(ISBLANK(NeoBerAfspr!$B$44),"",NeoBerAfspr!$B$44)</f>
        <v>0</v>
      </c>
      <c r="C728" s="315" t="b">
        <v>0</v>
      </c>
    </row>
    <row r="729" spans="1:3" x14ac:dyDescent="0.2">
      <c r="A729" s="315" t="s">
        <v>2061</v>
      </c>
      <c r="B729" s="315" t="b">
        <f>IF(ISBLANK(NeoBerAfspr!$D$44),"",NeoBerAfspr!$D$44)</f>
        <v>0</v>
      </c>
      <c r="C729" s="315" t="b">
        <v>0</v>
      </c>
    </row>
    <row r="730" spans="1:3" x14ac:dyDescent="0.2">
      <c r="A730" s="315" t="s">
        <v>2062</v>
      </c>
      <c r="B730" s="315" t="b">
        <f>IF(ISBLANK(NeoBerAfspr!$B$45),"",NeoBerAfspr!$B$45)</f>
        <v>0</v>
      </c>
      <c r="C730" s="315" t="b">
        <v>0</v>
      </c>
    </row>
    <row r="731" spans="1:3" x14ac:dyDescent="0.2">
      <c r="A731" s="315" t="s">
        <v>2063</v>
      </c>
      <c r="B731" s="315" t="b">
        <f>IF(ISBLANK(NeoBerAfspr!$D$45),"",NeoBerAfspr!$D$45)</f>
        <v>0</v>
      </c>
      <c r="C731" s="315" t="b">
        <v>0</v>
      </c>
    </row>
    <row r="732" spans="1:3" x14ac:dyDescent="0.2">
      <c r="A732" s="315" t="s">
        <v>2064</v>
      </c>
      <c r="B732" s="315" t="b">
        <f>IF(ISBLANK(NeoBerAfspr!$J$17),"",NeoBerAfspr!$J$17)</f>
        <v>0</v>
      </c>
      <c r="C732" s="315" t="b">
        <v>0</v>
      </c>
    </row>
    <row r="733" spans="1:3" x14ac:dyDescent="0.2">
      <c r="A733" s="315" t="s">
        <v>2065</v>
      </c>
      <c r="B733" t="b">
        <f>IF(ISBLANK(NeoBerAfspr!$J$18),"",NeoBerAfspr!$J$18)</f>
        <v>0</v>
      </c>
      <c r="C733" s="315" t="b">
        <v>0</v>
      </c>
    </row>
    <row r="734" spans="1:3" s="315" customFormat="1" x14ac:dyDescent="0.2">
      <c r="A734" s="315" t="s">
        <v>2066</v>
      </c>
      <c r="B734" t="b">
        <f>IF(ISBLANK(NeoBerAfspr!$F$17),"",NeoBerAfspr!$F$17)</f>
        <v>0</v>
      </c>
      <c r="C734" s="315" t="b">
        <v>0</v>
      </c>
    </row>
    <row r="735" spans="1:3" x14ac:dyDescent="0.2">
      <c r="A735" s="315" t="s">
        <v>2067</v>
      </c>
      <c r="B735" t="b">
        <f>IF(ISBLANK(NeoBerAfspr!$B$16),"",NeoBerAfspr!$B$16)</f>
        <v>0</v>
      </c>
      <c r="C735" s="315" t="b">
        <v>0</v>
      </c>
    </row>
    <row r="736" spans="1:3" x14ac:dyDescent="0.2">
      <c r="A736" s="315" t="s">
        <v>2068</v>
      </c>
      <c r="B736" t="b">
        <f>IF(ISBLANK(NeoBerAfspr!$B$17),"",NeoBerAfspr!$B$17)</f>
        <v>0</v>
      </c>
      <c r="C736" s="315" t="b">
        <v>0</v>
      </c>
    </row>
    <row r="737" spans="1:3" x14ac:dyDescent="0.2">
      <c r="A737" s="315" t="s">
        <v>2069</v>
      </c>
      <c r="B737" t="b">
        <f>IF(ISBLANK(NeoBerAfspr!$B$18),"",NeoBerAfspr!$B$18)</f>
        <v>0</v>
      </c>
      <c r="C737" s="315" t="b">
        <v>0</v>
      </c>
    </row>
    <row r="738" spans="1:3" x14ac:dyDescent="0.2">
      <c r="A738" s="315" t="s">
        <v>2070</v>
      </c>
      <c r="B738" t="b">
        <f>IF(ISBLANK(NeoBerAfspr!$H$18),"",NeoBerAfspr!$H$18)</f>
        <v>0</v>
      </c>
      <c r="C738" s="315" t="b">
        <v>0</v>
      </c>
    </row>
    <row r="739" spans="1:3" s="315" customFormat="1" x14ac:dyDescent="0.2">
      <c r="A739" s="315" t="s">
        <v>2071</v>
      </c>
      <c r="B739" t="b">
        <f>IF(ISBLANK(NeoBerAfspr!$F$18),"",NeoBerAfspr!$F$18)</f>
        <v>0</v>
      </c>
      <c r="C739" s="315" t="b">
        <v>0</v>
      </c>
    </row>
    <row r="740" spans="1:3" s="315" customFormat="1" x14ac:dyDescent="0.2">
      <c r="A740" s="315" t="s">
        <v>2072</v>
      </c>
      <c r="B740" t="b">
        <f>IF(ISBLANK(NeoBerAfspr!$H$19),"",NeoBerAfspr!$H$19)</f>
        <v>0</v>
      </c>
      <c r="C740" s="315" t="b">
        <v>0</v>
      </c>
    </row>
    <row r="741" spans="1:3" s="315" customFormat="1" x14ac:dyDescent="0.2">
      <c r="A741" s="315" t="s">
        <v>2073</v>
      </c>
      <c r="B741" t="b">
        <f>IF(ISBLANK(NeoBerAfspr!$H$20),"",NeoBerAfspr!$H$20)</f>
        <v>0</v>
      </c>
      <c r="C741" s="315" t="b">
        <v>0</v>
      </c>
    </row>
    <row r="742" spans="1:3" s="315" customFormat="1" x14ac:dyDescent="0.2">
      <c r="A742" s="315" t="s">
        <v>2074</v>
      </c>
      <c r="B742" t="b">
        <f>IF(ISBLANK(NeoBerAfspr!$B$34),"",NeoBerAfspr!$B$34)</f>
        <v>0</v>
      </c>
      <c r="C742" s="315" t="b">
        <v>0</v>
      </c>
    </row>
    <row r="743" spans="1:3" x14ac:dyDescent="0.2">
      <c r="A743" s="315" t="s">
        <v>2075</v>
      </c>
      <c r="B743" t="b">
        <f>IF(ISBLANK(NeoBerAfspr!$B$37),"",NeoBerAfspr!$B$37)</f>
        <v>0</v>
      </c>
      <c r="C743" s="315" t="b">
        <v>0</v>
      </c>
    </row>
    <row r="744" spans="1:3" x14ac:dyDescent="0.2">
      <c r="A744" s="315" t="s">
        <v>2076</v>
      </c>
      <c r="B744" t="b">
        <f>IF(ISBLANK(NeoBerAfspr!$B$40),"",NeoBerAfspr!$B$40)</f>
        <v>0</v>
      </c>
      <c r="C744" s="315" t="b">
        <v>0</v>
      </c>
    </row>
    <row r="745" spans="1:3" x14ac:dyDescent="0.2">
      <c r="A745" s="315" t="s">
        <v>2077</v>
      </c>
      <c r="B745" t="b">
        <f>IF(ISBLANK(NeoBerAfspr!$F$21),"",NeoBerAfspr!$F$21)</f>
        <v>0</v>
      </c>
      <c r="C745" s="315" t="b">
        <v>0</v>
      </c>
    </row>
    <row r="746" spans="1:3" x14ac:dyDescent="0.2">
      <c r="A746" s="315" t="s">
        <v>2078</v>
      </c>
      <c r="B746" t="b">
        <f>IF(ISBLANK(NeoBerAfspr!$F$23),"",NeoBerAfspr!$F$23)</f>
        <v>0</v>
      </c>
      <c r="C746" s="315" t="b">
        <v>0</v>
      </c>
    </row>
    <row r="747" spans="1:3" x14ac:dyDescent="0.2">
      <c r="A747" s="315" t="s">
        <v>2079</v>
      </c>
      <c r="B747" t="b">
        <f>IF(ISBLANK(NeoBerAfspr!$H$27),"",NeoBerAfspr!$H$27)</f>
        <v>0</v>
      </c>
      <c r="C747" s="315" t="b">
        <v>0</v>
      </c>
    </row>
    <row r="748" spans="1:3" x14ac:dyDescent="0.2">
      <c r="A748" s="315" t="s">
        <v>2080</v>
      </c>
      <c r="B748" s="311" t="b">
        <f>IF(ISBLANK(NeoBerAfspr!$H$28),"",NeoBerAfspr!$H$28)</f>
        <v>0</v>
      </c>
      <c r="C748" s="315" t="b">
        <v>0</v>
      </c>
    </row>
    <row r="749" spans="1:3" x14ac:dyDescent="0.2">
      <c r="A749" s="315" t="s">
        <v>2081</v>
      </c>
      <c r="B749" s="311" t="b">
        <f>IF(ISBLANK(NeoBerAfspr!$F$22),"",NeoBerAfspr!$F$22)</f>
        <v>0</v>
      </c>
      <c r="C749" s="315" t="b">
        <v>0</v>
      </c>
    </row>
    <row r="750" spans="1:3" x14ac:dyDescent="0.2">
      <c r="A750" s="315" t="s">
        <v>2082</v>
      </c>
      <c r="B750" s="311" t="b">
        <f>IF(ISBLANK(NeoBerAfspr!$H$22),"",NeoBerAfspr!$H$22)</f>
        <v>0</v>
      </c>
      <c r="C750" s="315" t="b">
        <v>0</v>
      </c>
    </row>
    <row r="751" spans="1:3" x14ac:dyDescent="0.2">
      <c r="A751" s="315" t="s">
        <v>2083</v>
      </c>
      <c r="B751" s="311" t="b">
        <f>IF(ISBLANK(NeoBerAfspr!$H$29),"",NeoBerAfspr!$H$29)</f>
        <v>0</v>
      </c>
      <c r="C751" s="315" t="b">
        <v>0</v>
      </c>
    </row>
    <row r="752" spans="1:3" x14ac:dyDescent="0.2">
      <c r="A752" s="315" t="s">
        <v>2084</v>
      </c>
      <c r="B752" s="311" t="b">
        <f>IF(ISBLANK(NeoBerAfspr!$H$23),"",NeoBerAfspr!$H$23)</f>
        <v>0</v>
      </c>
      <c r="C752" s="315" t="b">
        <v>0</v>
      </c>
    </row>
    <row r="753" spans="1:3" x14ac:dyDescent="0.2">
      <c r="A753" s="315" t="s">
        <v>2085</v>
      </c>
      <c r="B753" s="311" t="b">
        <f>IF(ISBLANK(NeoBerAfspr!$H$30),"",NeoBerAfspr!$H$30)</f>
        <v>0</v>
      </c>
      <c r="C753" s="315" t="b">
        <v>0</v>
      </c>
    </row>
    <row r="754" spans="1:3" x14ac:dyDescent="0.2">
      <c r="A754" s="315" t="s">
        <v>2086</v>
      </c>
      <c r="B754" s="311" t="b">
        <f>IF(ISBLANK(NeoBerAfspr!$H$24),"",NeoBerAfspr!$H$24)</f>
        <v>0</v>
      </c>
      <c r="C754" s="315" t="b">
        <v>0</v>
      </c>
    </row>
    <row r="755" spans="1:3" x14ac:dyDescent="0.2">
      <c r="A755" s="315" t="s">
        <v>2087</v>
      </c>
      <c r="B755" s="311" t="b">
        <f>IF(ISBLANK(NeoBerAfspr!$H$25),"",NeoBerAfspr!$H$25)</f>
        <v>0</v>
      </c>
      <c r="C755" s="315" t="b">
        <v>0</v>
      </c>
    </row>
    <row r="756" spans="1:3" x14ac:dyDescent="0.2">
      <c r="A756" s="315" t="s">
        <v>2088</v>
      </c>
      <c r="B756" s="311" t="b">
        <f>IF(ISBLANK(NeoBerAfspr!$H$26),"",NeoBerAfspr!$H$26)</f>
        <v>0</v>
      </c>
      <c r="C756" s="315" t="b">
        <v>0</v>
      </c>
    </row>
    <row r="757" spans="1:3" x14ac:dyDescent="0.2">
      <c r="A757" s="315" t="s">
        <v>2089</v>
      </c>
      <c r="B757" s="311" t="b">
        <f>IF(ISBLANK(NeoBerAfspr!$J$19),"",NeoBerAfspr!$J$19)</f>
        <v>0</v>
      </c>
      <c r="C757" s="315" t="b">
        <v>0</v>
      </c>
    </row>
    <row r="758" spans="1:3" x14ac:dyDescent="0.2">
      <c r="A758" s="315" t="s">
        <v>2090</v>
      </c>
      <c r="B758" s="311" t="b">
        <f>IF(ISBLANK(NeoBerAfspr!$J$20),"",NeoBerAfspr!$J$20)</f>
        <v>0</v>
      </c>
      <c r="C758" s="315" t="b">
        <v>0</v>
      </c>
    </row>
    <row r="759" spans="1:3" x14ac:dyDescent="0.2">
      <c r="A759" s="315" t="s">
        <v>2091</v>
      </c>
      <c r="B759" s="311" t="b">
        <f>IF(ISBLANK(NeoBerAfspr!$L$23),"",NeoBerAfspr!$L$23)</f>
        <v>0</v>
      </c>
      <c r="C759" s="315" t="b">
        <v>0</v>
      </c>
    </row>
    <row r="760" spans="1:3" x14ac:dyDescent="0.2">
      <c r="A760" s="315" t="s">
        <v>2092</v>
      </c>
      <c r="B760" s="311" t="b">
        <f>IF(ISBLANK(NeoBerAfspr!$L$22),"",NeoBerAfspr!$L$22)</f>
        <v>0</v>
      </c>
      <c r="C760" s="315" t="b">
        <v>0</v>
      </c>
    </row>
    <row r="761" spans="1:3" x14ac:dyDescent="0.2">
      <c r="A761" s="315" t="s">
        <v>2093</v>
      </c>
      <c r="B761" s="311" t="b">
        <f>IF(ISBLANK(NeoBerAfspr!$L$21),"",NeoBerAfspr!$L$21)</f>
        <v>0</v>
      </c>
      <c r="C761" s="315" t="b">
        <v>0</v>
      </c>
    </row>
    <row r="762" spans="1:3" x14ac:dyDescent="0.2">
      <c r="A762" s="315" t="s">
        <v>2094</v>
      </c>
      <c r="B762" s="311" t="b">
        <f>IF(ISBLANK(NeoBerAfspr!$J$24),"",NeoBerAfspr!$J$24)</f>
        <v>0</v>
      </c>
      <c r="C762" s="315" t="b">
        <v>0</v>
      </c>
    </row>
    <row r="763" spans="1:3" x14ac:dyDescent="0.2">
      <c r="A763" s="315" t="s">
        <v>2095</v>
      </c>
      <c r="B763" s="311" t="b">
        <f>IF(ISBLANK(NeoBerAfspr!$L$24),"",NeoBerAfspr!$L$24)</f>
        <v>0</v>
      </c>
      <c r="C763" s="315" t="b">
        <v>0</v>
      </c>
    </row>
    <row r="764" spans="1:3" x14ac:dyDescent="0.2">
      <c r="A764" s="315" t="s">
        <v>2096</v>
      </c>
      <c r="B764" s="311" t="b">
        <f>IF(ISBLANK(NeoBerAfspr!$L$25),"",NeoBerAfspr!$L$25)</f>
        <v>0</v>
      </c>
      <c r="C764" s="315" t="b">
        <v>0</v>
      </c>
    </row>
    <row r="765" spans="1:3" x14ac:dyDescent="0.2">
      <c r="A765" s="315" t="s">
        <v>2097</v>
      </c>
      <c r="B765" s="311" t="b">
        <f>IF(ISBLANK(NeoBerAfspr!$L$26),"",NeoBerAfspr!$L$26)</f>
        <v>0</v>
      </c>
      <c r="C765" s="315" t="b">
        <v>0</v>
      </c>
    </row>
    <row r="766" spans="1:3" x14ac:dyDescent="0.2">
      <c r="A766" s="315" t="s">
        <v>2098</v>
      </c>
      <c r="B766" s="311" t="b">
        <f>IF(ISBLANK(NeoBerAfspr!$L$27),"",NeoBerAfspr!$L$27)</f>
        <v>0</v>
      </c>
      <c r="C766" s="315" t="b">
        <v>0</v>
      </c>
    </row>
    <row r="767" spans="1:3" x14ac:dyDescent="0.2">
      <c r="A767" s="315" t="s">
        <v>2099</v>
      </c>
      <c r="B767" s="311" t="b">
        <f>IF(ISBLANK(NeoBerAfspr!$B$19),"",NeoBerAfspr!$B$19)</f>
        <v>0</v>
      </c>
      <c r="C767" s="315" t="b">
        <v>0</v>
      </c>
    </row>
    <row r="768" spans="1:3" x14ac:dyDescent="0.2">
      <c r="A768" s="315" t="s">
        <v>2013</v>
      </c>
      <c r="B768" s="311" t="b">
        <f>IF(ISBLANK(NeoBerAfspr!$G$31),"",NeoBerAfspr!$G$31)</f>
        <v>0</v>
      </c>
      <c r="C768" s="130"/>
    </row>
    <row r="769" spans="1:3" x14ac:dyDescent="0.2">
      <c r="A769" s="315" t="s">
        <v>2100</v>
      </c>
      <c r="B769" s="311" t="b">
        <f>IF(ISBLANK(NeoBerAfspr!$B$31),"",NeoBerAfspr!$B$31)</f>
        <v>0</v>
      </c>
      <c r="C769" s="315" t="b">
        <v>0</v>
      </c>
    </row>
    <row r="770" spans="1:3" x14ac:dyDescent="0.2">
      <c r="A770" s="315" t="s">
        <v>2101</v>
      </c>
      <c r="B770" s="311" t="b">
        <f>IF(ISBLANK(NeoBerAfspr!$B$32),"",NeoBerAfspr!$B$32)</f>
        <v>0</v>
      </c>
      <c r="C770" s="315" t="b">
        <v>0</v>
      </c>
    </row>
    <row r="771" spans="1:3" x14ac:dyDescent="0.2">
      <c r="A771" s="315" t="s">
        <v>2102</v>
      </c>
      <c r="B771" s="311">
        <f>IF(ISBLANK(NeoBerAfspr!$K$29),"",NeoBerAfspr!$K$29)</f>
        <v>0</v>
      </c>
      <c r="C771">
        <v>0</v>
      </c>
    </row>
    <row r="772" spans="1:3" x14ac:dyDescent="0.2">
      <c r="A772" s="315" t="s">
        <v>2103</v>
      </c>
      <c r="B772" s="311">
        <f>IF(ISBLANK(NeoBerAfspr!$D$22),"",NeoBerAfspr!$D$22)</f>
        <v>1</v>
      </c>
      <c r="C772">
        <v>1</v>
      </c>
    </row>
    <row r="773" spans="1:3" x14ac:dyDescent="0.2">
      <c r="A773" s="315" t="s">
        <v>2104</v>
      </c>
      <c r="B773" s="311">
        <f>IF(ISBLANK(NeoBerAfspr!$C$8),"",NeoBerAfspr!$C$8)</f>
        <v>0</v>
      </c>
      <c r="C773">
        <v>0</v>
      </c>
    </row>
    <row r="774" spans="1:3" x14ac:dyDescent="0.2">
      <c r="A774" s="315" t="s">
        <v>2105</v>
      </c>
      <c r="B774" s="311">
        <f>IF(ISBLANK(NeoBerAfspr!$D$8),"",NeoBerAfspr!$D$8)</f>
        <v>1</v>
      </c>
      <c r="C774">
        <v>1</v>
      </c>
    </row>
    <row r="775" spans="1:3" x14ac:dyDescent="0.2">
      <c r="A775" s="315" t="s">
        <v>2106</v>
      </c>
      <c r="B775" s="311">
        <f>IF(ISBLANK(NeoBerAfspr!$C$9),"",NeoBerAfspr!$C$9)</f>
        <v>0</v>
      </c>
      <c r="C775">
        <v>0</v>
      </c>
    </row>
    <row r="776" spans="1:3" x14ac:dyDescent="0.2">
      <c r="A776" s="315" t="s">
        <v>2107</v>
      </c>
      <c r="B776" s="311">
        <f>IF(ISBLANK(NeoBerAfspr!$D$9),"",NeoBerAfspr!$D$9)</f>
        <v>1</v>
      </c>
      <c r="C776">
        <v>1</v>
      </c>
    </row>
    <row r="777" spans="1:3" x14ac:dyDescent="0.2">
      <c r="A777" s="315" t="s">
        <v>2108</v>
      </c>
      <c r="B777" s="311">
        <f>IF(ISBLANK(NeoBerAfspr!$D$47),"",NeoBerAfspr!$D$47)</f>
        <v>0</v>
      </c>
      <c r="C777">
        <v>0</v>
      </c>
    </row>
    <row r="778" spans="1:3" x14ac:dyDescent="0.2">
      <c r="A778" s="315" t="s">
        <v>2109</v>
      </c>
      <c r="B778" s="311">
        <f>IF(ISBLANK(NeoBerAfspr!$D$46),"",NeoBerAfspr!$D$46)</f>
        <v>1</v>
      </c>
      <c r="C778">
        <v>1</v>
      </c>
    </row>
    <row r="779" spans="1:3" x14ac:dyDescent="0.2">
      <c r="A779" s="315" t="s">
        <v>2110</v>
      </c>
      <c r="B779" s="311">
        <f>IF(ISBLANK(NeoBerAfspr!$B$12),"",NeoBerAfspr!$B$12)</f>
        <v>0</v>
      </c>
      <c r="C779">
        <v>0</v>
      </c>
    </row>
    <row r="780" spans="1:3" x14ac:dyDescent="0.2">
      <c r="A780" s="315" t="s">
        <v>2111</v>
      </c>
      <c r="B780" s="311">
        <f>IF(ISBLANK(NeoBerAfspr!$K$17),"",NeoBerAfspr!$K$17)</f>
        <v>0</v>
      </c>
      <c r="C780">
        <v>0</v>
      </c>
    </row>
    <row r="781" spans="1:3" x14ac:dyDescent="0.2">
      <c r="A781" s="315" t="s">
        <v>2112</v>
      </c>
      <c r="B781" s="311">
        <f>IF(ISBLANK(NeoBerAfspr!$L$17),"",NeoBerAfspr!$L$17)</f>
        <v>0</v>
      </c>
      <c r="C781">
        <v>0</v>
      </c>
    </row>
    <row r="782" spans="1:3" x14ac:dyDescent="0.2">
      <c r="A782" s="315" t="s">
        <v>2113</v>
      </c>
      <c r="B782" s="311">
        <f>IF(ISBLANK(NeoBerAfspr!$C$18),"",NeoBerAfspr!$C$18)</f>
        <v>0</v>
      </c>
      <c r="C782">
        <v>0</v>
      </c>
    </row>
    <row r="783" spans="1:3" x14ac:dyDescent="0.2">
      <c r="A783" s="315" t="s">
        <v>2114</v>
      </c>
      <c r="B783" s="311">
        <f>IF(ISBLANK(NeoBerAfspr!$D$18),"",NeoBerAfspr!$D$18)</f>
        <v>1</v>
      </c>
      <c r="C783">
        <v>1</v>
      </c>
    </row>
    <row r="784" spans="1:3" x14ac:dyDescent="0.2">
      <c r="A784" s="315" t="s">
        <v>2115</v>
      </c>
      <c r="B784" s="311">
        <f>IF(ISBLANK(NeoBerAfspr!$D$36),"",NeoBerAfspr!$D$36)</f>
        <v>1</v>
      </c>
      <c r="C784">
        <v>1</v>
      </c>
    </row>
    <row r="785" spans="1:6" x14ac:dyDescent="0.2">
      <c r="A785" s="315" t="s">
        <v>2116</v>
      </c>
      <c r="B785" s="311">
        <f>IF(ISBLANK(NeoBerAfspr!$D$34),"",NeoBerAfspr!$D$34)</f>
        <v>1</v>
      </c>
      <c r="C785">
        <v>1</v>
      </c>
    </row>
    <row r="786" spans="1:6" x14ac:dyDescent="0.2">
      <c r="A786" s="315" t="s">
        <v>2117</v>
      </c>
      <c r="B786" s="311">
        <f>IF(ISBLANK(NeoBerAfspr!$D$35),"",NeoBerAfspr!$D$35)</f>
        <v>1</v>
      </c>
      <c r="C786">
        <v>1</v>
      </c>
    </row>
    <row r="787" spans="1:6" x14ac:dyDescent="0.2">
      <c r="A787" s="315" t="s">
        <v>2118</v>
      </c>
      <c r="B787" s="311">
        <f>IF(ISBLANK(NeoBerAfspr!$D$39),"",NeoBerAfspr!$D$39)</f>
        <v>1</v>
      </c>
      <c r="C787">
        <v>1</v>
      </c>
    </row>
    <row r="788" spans="1:6" x14ac:dyDescent="0.2">
      <c r="A788" s="315" t="s">
        <v>2119</v>
      </c>
      <c r="B788" s="311">
        <f>IF(ISBLANK(NeoBerAfspr!$D$37),"",NeoBerAfspr!$D$37)</f>
        <v>1</v>
      </c>
      <c r="C788">
        <v>1</v>
      </c>
      <c r="F788" s="315"/>
    </row>
    <row r="789" spans="1:6" x14ac:dyDescent="0.2">
      <c r="A789" s="315" t="s">
        <v>2120</v>
      </c>
      <c r="B789" s="311">
        <f>IF(ISBLANK(NeoBerAfspr!$D$38),"",NeoBerAfspr!$D$38)</f>
        <v>1</v>
      </c>
      <c r="C789">
        <v>1</v>
      </c>
      <c r="F789" s="315"/>
    </row>
    <row r="790" spans="1:6" x14ac:dyDescent="0.2">
      <c r="A790" s="315" t="s">
        <v>2121</v>
      </c>
      <c r="B790" s="311">
        <f>IF(ISBLANK(NeoBerAfspr!$D$42),"",NeoBerAfspr!$D$42)</f>
        <v>1</v>
      </c>
      <c r="C790">
        <v>1</v>
      </c>
      <c r="F790" s="315"/>
    </row>
    <row r="791" spans="1:6" x14ac:dyDescent="0.2">
      <c r="A791" s="315" t="s">
        <v>2122</v>
      </c>
      <c r="B791" s="311">
        <f>IF(ISBLANK(NeoBerAfspr!$D$40),"",NeoBerAfspr!$D$40)</f>
        <v>1</v>
      </c>
      <c r="C791">
        <v>1</v>
      </c>
      <c r="F791" s="315"/>
    </row>
    <row r="792" spans="1:6" x14ac:dyDescent="0.2">
      <c r="A792" s="315" t="s">
        <v>2123</v>
      </c>
      <c r="B792" s="311">
        <f>IF(ISBLANK(NeoBerAfspr!$D$41),"",NeoBerAfspr!$D$41)</f>
        <v>1</v>
      </c>
      <c r="C792">
        <v>1</v>
      </c>
      <c r="F792" s="315"/>
    </row>
    <row r="793" spans="1:6" x14ac:dyDescent="0.2">
      <c r="A793" s="315" t="s">
        <v>2124</v>
      </c>
      <c r="B793" s="311">
        <f>IF(ISBLANK(NeoBerAfspr!$K$20),"",NeoBerAfspr!$K$20)</f>
        <v>0</v>
      </c>
      <c r="C793">
        <v>0</v>
      </c>
      <c r="F793" s="315"/>
    </row>
    <row r="794" spans="1:6" x14ac:dyDescent="0.2">
      <c r="A794" s="315" t="s">
        <v>2125</v>
      </c>
      <c r="B794" s="311">
        <f>IF(ISBLANK(NeoBerAfspr!$D$27),"",NeoBerAfspr!$D$27)</f>
        <v>50</v>
      </c>
      <c r="C794">
        <v>50</v>
      </c>
      <c r="F794" s="315"/>
    </row>
    <row r="795" spans="1:6" x14ac:dyDescent="0.2">
      <c r="A795" s="315" t="s">
        <v>2126</v>
      </c>
      <c r="B795" s="311" t="b">
        <f>IF(ISBLANK(NeoBerAfspr!$G$31),"",NeoBerAfspr!$G$31)</f>
        <v>0</v>
      </c>
      <c r="C795" s="591" t="b">
        <v>0</v>
      </c>
      <c r="F795" s="315"/>
    </row>
    <row r="796" spans="1:6" x14ac:dyDescent="0.2">
      <c r="A796" s="315" t="s">
        <v>2001</v>
      </c>
      <c r="B796" s="311">
        <f>IF(ISBLANK(NeoBerAfspr!$D$27),"",NeoBerAfspr!$D$27)</f>
        <v>50</v>
      </c>
      <c r="C796">
        <v>50</v>
      </c>
      <c r="F796" s="315"/>
    </row>
    <row r="797" spans="1:6" x14ac:dyDescent="0.2">
      <c r="A797" s="315" t="s">
        <v>5178</v>
      </c>
      <c r="B797" s="311">
        <f>IF(ISBLANK(NeoDataInfB!$B$2),"",NeoDataInfB!$B$2)</f>
        <v>0</v>
      </c>
      <c r="C797" s="17">
        <v>0</v>
      </c>
      <c r="F797" s="315"/>
    </row>
    <row r="798" spans="1:6" x14ac:dyDescent="0.2">
      <c r="A798" s="315" t="s">
        <v>5179</v>
      </c>
      <c r="B798" s="311">
        <f>IF(ISBLANK(NeoDataInfB!$B$3),"",NeoDataInfB!$B$3)</f>
        <v>1</v>
      </c>
      <c r="C798">
        <v>1</v>
      </c>
    </row>
    <row r="799" spans="1:6" x14ac:dyDescent="0.2">
      <c r="A799" s="315" t="s">
        <v>5180</v>
      </c>
      <c r="B799" s="311">
        <f>IF(ISBLANK(NeoDataInfB!$B$4),"",NeoDataInfB!$B$4)</f>
        <v>1</v>
      </c>
      <c r="C799">
        <v>1</v>
      </c>
    </row>
    <row r="800" spans="1:6" x14ac:dyDescent="0.2">
      <c r="A800" s="315" t="s">
        <v>5181</v>
      </c>
      <c r="B800" s="311">
        <f>IF(ISBLANK(NeoDataInfB!$B$5),"",NeoDataInfB!$B$5)</f>
        <v>1</v>
      </c>
      <c r="C800">
        <v>1</v>
      </c>
    </row>
    <row r="801" spans="1:3" x14ac:dyDescent="0.2">
      <c r="A801" s="315" t="s">
        <v>5182</v>
      </c>
      <c r="B801" s="311">
        <f>IF(ISBLANK(NeoDataInfB!$B$6),"",NeoDataInfB!$B$6)</f>
        <v>1</v>
      </c>
      <c r="C801">
        <v>1</v>
      </c>
    </row>
    <row r="802" spans="1:3" x14ac:dyDescent="0.2">
      <c r="A802" s="315" t="s">
        <v>5183</v>
      </c>
      <c r="B802" s="311">
        <f>IF(ISBLANK(NeoDataInfB!$B$7),"",NeoDataInfB!$B$7)</f>
        <v>1</v>
      </c>
      <c r="C802">
        <v>1</v>
      </c>
    </row>
    <row r="803" spans="1:3" x14ac:dyDescent="0.2">
      <c r="A803" s="315" t="s">
        <v>5184</v>
      </c>
      <c r="B803" s="311">
        <f>IF(ISBLANK(NeoDataInfB!$B$8),"",NeoDataInfB!$B$8)</f>
        <v>1</v>
      </c>
      <c r="C803">
        <v>1</v>
      </c>
    </row>
    <row r="804" spans="1:3" x14ac:dyDescent="0.2">
      <c r="A804" s="315" t="s">
        <v>5185</v>
      </c>
      <c r="B804" s="311">
        <f>IF(ISBLANK(NeoDataInfB!$B$9),"",NeoDataInfB!$B$9)</f>
        <v>1</v>
      </c>
      <c r="C804">
        <v>1</v>
      </c>
    </row>
    <row r="805" spans="1:3" x14ac:dyDescent="0.2">
      <c r="A805" s="315" t="s">
        <v>5186</v>
      </c>
      <c r="B805" s="311">
        <f>IF(ISBLANK(NeoDataInfB!$B$10),"",NeoDataInfB!$B$10)</f>
        <v>1</v>
      </c>
      <c r="C805">
        <v>1</v>
      </c>
    </row>
    <row r="806" spans="1:3" x14ac:dyDescent="0.2">
      <c r="A806" s="315" t="s">
        <v>5187</v>
      </c>
      <c r="B806" s="311">
        <f>IF(ISBLANK(NeoDataInfB!$B$11),"",NeoDataInfB!$B$11)</f>
        <v>1</v>
      </c>
      <c r="C806">
        <v>1</v>
      </c>
    </row>
    <row r="807" spans="1:3" x14ac:dyDescent="0.2">
      <c r="A807" s="315" t="s">
        <v>5188</v>
      </c>
      <c r="B807" s="311">
        <f>IF(ISBLANK(NeoDataInfB!$B$12),"",NeoDataInfB!$B$12)</f>
        <v>0</v>
      </c>
      <c r="C807" s="317">
        <v>0</v>
      </c>
    </row>
    <row r="808" spans="1:3" x14ac:dyDescent="0.2">
      <c r="A808" s="315" t="s">
        <v>5189</v>
      </c>
      <c r="B808" s="311">
        <f>IF(ISBLANK(NeoDataInfB!$B$13),"",NeoDataInfB!$B$13)</f>
        <v>0</v>
      </c>
      <c r="C808" s="317">
        <v>0</v>
      </c>
    </row>
    <row r="809" spans="1:3" x14ac:dyDescent="0.2">
      <c r="A809" s="315" t="s">
        <v>5190</v>
      </c>
      <c r="B809" s="311">
        <f>IF(ISBLANK(NeoDataInfB!$B$14),"",NeoDataInfB!$B$14)</f>
        <v>0</v>
      </c>
      <c r="C809" s="317">
        <v>0</v>
      </c>
    </row>
    <row r="810" spans="1:3" x14ac:dyDescent="0.2">
      <c r="A810" s="315" t="s">
        <v>5191</v>
      </c>
      <c r="B810" s="311">
        <f>IF(ISBLANK(NeoDataInfB!$B$15),"",NeoDataInfB!$B$15)</f>
        <v>0</v>
      </c>
      <c r="C810" s="317">
        <v>0</v>
      </c>
    </row>
    <row r="811" spans="1:3" x14ac:dyDescent="0.2">
      <c r="A811" s="315" t="s">
        <v>5192</v>
      </c>
      <c r="B811" s="311">
        <f>IF(ISBLANK(NeoDataInfB!$B$16),"",NeoDataInfB!$B$16)</f>
        <v>0</v>
      </c>
      <c r="C811" s="317">
        <v>0</v>
      </c>
    </row>
    <row r="812" spans="1:3" x14ac:dyDescent="0.2">
      <c r="A812" s="315" t="s">
        <v>5193</v>
      </c>
      <c r="B812" s="311">
        <f>IF(ISBLANK(NeoDataInfB!$B$17),"",NeoDataInfB!$B$17)</f>
        <v>0</v>
      </c>
      <c r="C812" s="317">
        <v>0</v>
      </c>
    </row>
    <row r="813" spans="1:3" x14ac:dyDescent="0.2">
      <c r="A813" s="315" t="s">
        <v>5194</v>
      </c>
      <c r="B813" s="311">
        <f>IF(ISBLANK(NeoDataInfB!$B$18),"",NeoDataInfB!$B$18)</f>
        <v>0</v>
      </c>
      <c r="C813" s="317">
        <v>0</v>
      </c>
    </row>
    <row r="814" spans="1:3" x14ac:dyDescent="0.2">
      <c r="A814" s="315" t="s">
        <v>5195</v>
      </c>
      <c r="B814" s="311">
        <f>IF(ISBLANK(NeoDataInfB!$B$19),"",NeoDataInfB!$B$19)</f>
        <v>0</v>
      </c>
      <c r="C814" s="317">
        <v>0</v>
      </c>
    </row>
    <row r="815" spans="1:3" x14ac:dyDescent="0.2">
      <c r="A815" s="315" t="s">
        <v>5196</v>
      </c>
      <c r="B815" s="311">
        <f>IF(ISBLANK(NeoDataInfB!$B$20),"",NeoDataInfB!$B$20)</f>
        <v>0</v>
      </c>
      <c r="C815" s="317">
        <v>0</v>
      </c>
    </row>
    <row r="816" spans="1:3" x14ac:dyDescent="0.2">
      <c r="A816" s="315" t="s">
        <v>5197</v>
      </c>
      <c r="B816" s="311" t="str">
        <f>IF(ISBLANK(NeoDataInfB!$B$21),"",NeoDataInfB!$B$21)</f>
        <v/>
      </c>
      <c r="C816" s="130" t="s">
        <v>4694</v>
      </c>
    </row>
    <row r="817" spans="1:3" x14ac:dyDescent="0.2">
      <c r="A817" s="315" t="s">
        <v>5198</v>
      </c>
      <c r="B817" s="311" t="str">
        <f>IF(ISBLANK(NeoDataInfB!$B$22),"",NeoDataInfB!$B$22)</f>
        <v/>
      </c>
      <c r="C817" s="130" t="s">
        <v>4694</v>
      </c>
    </row>
    <row r="818" spans="1:3" x14ac:dyDescent="0.2">
      <c r="A818" s="315" t="s">
        <v>5199</v>
      </c>
      <c r="B818" s="311">
        <f>IF(ISBLANK(NeoDataInfB!$B$23),"",NeoDataInfB!$B$23)</f>
        <v>0</v>
      </c>
      <c r="C818" s="317">
        <v>0</v>
      </c>
    </row>
    <row r="819" spans="1:3" x14ac:dyDescent="0.2">
      <c r="A819" s="315" t="s">
        <v>5200</v>
      </c>
      <c r="B819" s="311">
        <f>IF(ISBLANK(NeoDataInfB!$B$24),"",NeoDataInfB!$B$24)</f>
        <v>0</v>
      </c>
      <c r="C819" s="317">
        <v>0</v>
      </c>
    </row>
    <row r="820" spans="1:3" x14ac:dyDescent="0.2">
      <c r="A820" s="315" t="s">
        <v>5201</v>
      </c>
      <c r="B820" s="311">
        <f>IF(ISBLANK(NeoDataInfB!$B$25),"",NeoDataInfB!$B$25)</f>
        <v>0</v>
      </c>
      <c r="C820" s="317">
        <v>0</v>
      </c>
    </row>
    <row r="821" spans="1:3" x14ac:dyDescent="0.2">
      <c r="A821" s="315" t="s">
        <v>5202</v>
      </c>
      <c r="B821" s="311">
        <f>IF(ISBLANK(NeoDataInfB!$B$26),"",NeoDataInfB!$B$26)</f>
        <v>0</v>
      </c>
      <c r="C821" s="317">
        <v>0</v>
      </c>
    </row>
    <row r="822" spans="1:3" x14ac:dyDescent="0.2">
      <c r="A822" s="315" t="s">
        <v>5203</v>
      </c>
      <c r="B822" s="311">
        <f>IF(ISBLANK(NeoDataInfB!$B$27),"",NeoDataInfB!$B$27)</f>
        <v>0</v>
      </c>
      <c r="C822" s="317">
        <v>0</v>
      </c>
    </row>
    <row r="823" spans="1:3" x14ac:dyDescent="0.2">
      <c r="A823" s="315" t="s">
        <v>5204</v>
      </c>
      <c r="B823" s="311">
        <f>IF(ISBLANK(NeoDataInfB!$B$28),"",NeoDataInfB!$B$28)</f>
        <v>0</v>
      </c>
      <c r="C823" s="317">
        <v>0</v>
      </c>
    </row>
    <row r="824" spans="1:3" x14ac:dyDescent="0.2">
      <c r="A824" s="315" t="s">
        <v>5205</v>
      </c>
      <c r="B824" s="311">
        <f>IF(ISBLANK(NeoDataInfB!$B$29),"",NeoDataInfB!$B$29)</f>
        <v>0</v>
      </c>
      <c r="C824" s="317">
        <v>0</v>
      </c>
    </row>
    <row r="825" spans="1:3" x14ac:dyDescent="0.2">
      <c r="A825" s="315" t="s">
        <v>5206</v>
      </c>
      <c r="B825" s="311">
        <f>IF(ISBLANK(NeoDataInfB!$B$30),"",NeoDataInfB!$B$30)</f>
        <v>0</v>
      </c>
      <c r="C825" s="317">
        <v>0</v>
      </c>
    </row>
    <row r="826" spans="1:3" x14ac:dyDescent="0.2">
      <c r="A826" s="315" t="s">
        <v>5207</v>
      </c>
      <c r="B826" s="311">
        <f>IF(ISBLANK(NeoDataInfB!$B$31),"",NeoDataInfB!$B$31)</f>
        <v>0</v>
      </c>
      <c r="C826" s="317">
        <v>0</v>
      </c>
    </row>
    <row r="827" spans="1:3" x14ac:dyDescent="0.2">
      <c r="A827" s="315" t="s">
        <v>5208</v>
      </c>
      <c r="B827" s="311">
        <f>IF(ISBLANK(NeoDataInfB!$B$32),"",NeoDataInfB!$B$32)</f>
        <v>1</v>
      </c>
      <c r="C827" s="17">
        <v>1</v>
      </c>
    </row>
    <row r="828" spans="1:3" x14ac:dyDescent="0.2">
      <c r="A828" s="315" t="s">
        <v>5209</v>
      </c>
      <c r="B828" s="311">
        <f>IF(ISBLANK(NeoDataInfB!$B$33),"",NeoDataInfB!$B$33)</f>
        <v>1</v>
      </c>
      <c r="C828" s="17">
        <v>1</v>
      </c>
    </row>
    <row r="829" spans="1:3" x14ac:dyDescent="0.2">
      <c r="A829" s="315" t="s">
        <v>5210</v>
      </c>
      <c r="B829" s="311">
        <f>IF(ISBLANK(NeoDataInfB!$B$34),"",NeoDataInfB!$B$34)</f>
        <v>1</v>
      </c>
      <c r="C829" s="17">
        <v>1</v>
      </c>
    </row>
    <row r="830" spans="1:3" x14ac:dyDescent="0.2">
      <c r="A830" s="315" t="s">
        <v>5211</v>
      </c>
      <c r="B830" s="311">
        <f>IF(ISBLANK(NeoDataInfB!$B$35),"",NeoDataInfB!$B$35)</f>
        <v>1</v>
      </c>
      <c r="C830" s="17">
        <v>1</v>
      </c>
    </row>
    <row r="831" spans="1:3" x14ac:dyDescent="0.2">
      <c r="A831" s="315" t="s">
        <v>5212</v>
      </c>
      <c r="B831" s="311">
        <f>IF(ISBLANK(NeoDataInfB!$B$36),"",NeoDataInfB!$B$36)</f>
        <v>1</v>
      </c>
      <c r="C831" s="17">
        <v>1</v>
      </c>
    </row>
    <row r="832" spans="1:3" x14ac:dyDescent="0.2">
      <c r="A832" s="315" t="s">
        <v>5213</v>
      </c>
      <c r="B832" s="311">
        <f>IF(ISBLANK(NeoDataInfB!$B$37),"",NeoDataInfB!$B$37)</f>
        <v>1</v>
      </c>
      <c r="C832" s="17">
        <v>1</v>
      </c>
    </row>
    <row r="833" spans="1:3" x14ac:dyDescent="0.2">
      <c r="A833" s="315" t="s">
        <v>5214</v>
      </c>
      <c r="B833" s="311">
        <f>IF(ISBLANK(NeoDataInfB!$B$38),"",NeoDataInfB!$B$38)</f>
        <v>1</v>
      </c>
      <c r="C833" s="17">
        <v>1</v>
      </c>
    </row>
    <row r="834" spans="1:3" x14ac:dyDescent="0.2">
      <c r="A834" s="315" t="s">
        <v>5215</v>
      </c>
      <c r="B834" s="311">
        <f>IF(ISBLANK(NeoDataInfB!$B$39),"",NeoDataInfB!$B$39)</f>
        <v>1</v>
      </c>
      <c r="C834" s="17">
        <v>1</v>
      </c>
    </row>
    <row r="835" spans="1:3" x14ac:dyDescent="0.2">
      <c r="A835" s="315" t="s">
        <v>5216</v>
      </c>
      <c r="B835" s="311">
        <f>IF(ISBLANK(NeoDataInfB!$B$40),"",NeoDataInfB!$B$40)</f>
        <v>1</v>
      </c>
      <c r="C835" s="17">
        <v>1</v>
      </c>
    </row>
    <row r="836" spans="1:3" x14ac:dyDescent="0.2">
      <c r="A836" s="315" t="s">
        <v>5217</v>
      </c>
      <c r="B836" s="311">
        <f>IF(ISBLANK(NeoDataInfB!$B$41),"",NeoDataInfB!$B$41)</f>
        <v>0</v>
      </c>
      <c r="C836" s="17">
        <v>0</v>
      </c>
    </row>
    <row r="837" spans="1:3" x14ac:dyDescent="0.2">
      <c r="A837" s="315" t="s">
        <v>5218</v>
      </c>
      <c r="B837" s="311">
        <f>IF(ISBLANK(NeoDataInfB!$B$42),"",NeoDataInfB!$B$42)</f>
        <v>0</v>
      </c>
      <c r="C837" s="17">
        <v>0</v>
      </c>
    </row>
    <row r="838" spans="1:3" x14ac:dyDescent="0.2">
      <c r="A838" s="315" t="s">
        <v>5219</v>
      </c>
      <c r="B838" s="311">
        <f>IF(ISBLANK(NeoDataInfB!$B$43),"",NeoDataInfB!$B$43)</f>
        <v>0</v>
      </c>
      <c r="C838" s="17">
        <v>0</v>
      </c>
    </row>
    <row r="839" spans="1:3" x14ac:dyDescent="0.2">
      <c r="A839" s="315" t="s">
        <v>5220</v>
      </c>
      <c r="B839" s="311">
        <f>IF(ISBLANK(NeoDataInfB!$B$44),"",NeoDataInfB!$B$44)</f>
        <v>0</v>
      </c>
      <c r="C839" s="317">
        <v>0</v>
      </c>
    </row>
    <row r="840" spans="1:3" x14ac:dyDescent="0.2">
      <c r="A840" s="315" t="s">
        <v>5221</v>
      </c>
      <c r="B840" s="311">
        <f>IF(ISBLANK(NeoDataInfB!$B$45),"",NeoDataInfB!$B$45)</f>
        <v>0</v>
      </c>
      <c r="C840" s="317">
        <v>0</v>
      </c>
    </row>
    <row r="841" spans="1:3" x14ac:dyDescent="0.2">
      <c r="A841" s="315" t="s">
        <v>5222</v>
      </c>
      <c r="B841" s="311">
        <f>IF(ISBLANK(NeoDataInfB!$B$46),"",NeoDataInfB!$B$46)</f>
        <v>0</v>
      </c>
      <c r="C841" s="317">
        <v>0</v>
      </c>
    </row>
    <row r="842" spans="1:3" x14ac:dyDescent="0.2">
      <c r="A842" s="315" t="s">
        <v>5223</v>
      </c>
      <c r="B842" s="311">
        <f>IF(ISBLANK(NeoDataInfB!$B$47),"",NeoDataInfB!$B$47)</f>
        <v>0</v>
      </c>
      <c r="C842" s="317">
        <v>0</v>
      </c>
    </row>
    <row r="843" spans="1:3" x14ac:dyDescent="0.2">
      <c r="A843" s="315" t="s">
        <v>5224</v>
      </c>
      <c r="B843" s="311">
        <f>IF(ISBLANK(NeoDataInfB!$B$48),"",NeoDataInfB!$B$48)</f>
        <v>0</v>
      </c>
      <c r="C843" s="317">
        <v>0</v>
      </c>
    </row>
    <row r="844" spans="1:3" x14ac:dyDescent="0.2">
      <c r="A844" s="315" t="s">
        <v>5225</v>
      </c>
      <c r="B844" s="311">
        <f>IF(ISBLANK(NeoDataInfB!$B$49),"",NeoDataInfB!$B$49)</f>
        <v>0</v>
      </c>
      <c r="C844" s="317">
        <v>0</v>
      </c>
    </row>
    <row r="845" spans="1:3" x14ac:dyDescent="0.2">
      <c r="A845" s="315" t="s">
        <v>5226</v>
      </c>
      <c r="B845" s="311">
        <f>IF(ISBLANK(NeoDataInfB!$B$50),"",NeoDataInfB!$B$50)</f>
        <v>0</v>
      </c>
      <c r="C845" s="317">
        <v>0</v>
      </c>
    </row>
    <row r="846" spans="1:3" x14ac:dyDescent="0.2">
      <c r="A846" s="315" t="s">
        <v>5227</v>
      </c>
      <c r="B846" s="311">
        <f>IF(ISBLANK(NeoDataInfB!$B$51),"",NeoDataInfB!$B$51)</f>
        <v>0</v>
      </c>
      <c r="C846" s="317">
        <v>0</v>
      </c>
    </row>
    <row r="847" spans="1:3" x14ac:dyDescent="0.2">
      <c r="A847" s="315" t="s">
        <v>5228</v>
      </c>
      <c r="B847" s="311">
        <f>IF(ISBLANK(NeoDataInfB!$B$52),"",NeoDataInfB!$B$52)</f>
        <v>0</v>
      </c>
      <c r="C847" s="317">
        <v>0</v>
      </c>
    </row>
    <row r="848" spans="1:3" x14ac:dyDescent="0.2">
      <c r="A848" s="315" t="s">
        <v>5229</v>
      </c>
      <c r="B848" s="311">
        <f>IF(ISBLANK(NeoDataInfB!$B$53),"",NeoDataInfB!$B$53)</f>
        <v>0</v>
      </c>
      <c r="C848" s="317">
        <v>0</v>
      </c>
    </row>
    <row r="849" spans="1:3" x14ac:dyDescent="0.2">
      <c r="A849" s="315" t="s">
        <v>5230</v>
      </c>
      <c r="B849" s="311">
        <f>IF(ISBLANK(NeoDataInfB!$B$54),"",NeoDataInfB!$B$54)</f>
        <v>0</v>
      </c>
      <c r="C849" s="317">
        <v>0</v>
      </c>
    </row>
    <row r="850" spans="1:3" x14ac:dyDescent="0.2">
      <c r="A850" s="315" t="s">
        <v>5231</v>
      </c>
      <c r="B850" s="311">
        <f>IF(ISBLANK(NeoDataInfB!$B$55),"",NeoDataInfB!$B$55)</f>
        <v>0</v>
      </c>
      <c r="C850" s="317">
        <v>0</v>
      </c>
    </row>
    <row r="851" spans="1:3" x14ac:dyDescent="0.2">
      <c r="A851" s="315" t="s">
        <v>5232</v>
      </c>
      <c r="B851" s="311">
        <f>IF(ISBLANK(NeoDataInfB!$B$56),"",NeoDataInfB!$B$56)</f>
        <v>0</v>
      </c>
      <c r="C851" s="17">
        <v>0</v>
      </c>
    </row>
    <row r="852" spans="1:3" x14ac:dyDescent="0.2">
      <c r="A852" s="315" t="s">
        <v>5233</v>
      </c>
      <c r="B852" s="311">
        <f>IF(ISBLANK(NeoDataInfB!$B$57),"",NeoDataInfB!$B$57)</f>
        <v>0</v>
      </c>
      <c r="C852" s="17">
        <v>0</v>
      </c>
    </row>
    <row r="853" spans="1:3" x14ac:dyDescent="0.2">
      <c r="A853" s="315" t="s">
        <v>5234</v>
      </c>
      <c r="B853" s="311">
        <f>IF(ISBLANK(NeoDataInfB!$B$58),"",NeoDataInfB!$B$58)</f>
        <v>0</v>
      </c>
      <c r="C853" s="17">
        <v>0</v>
      </c>
    </row>
    <row r="854" spans="1:3" x14ac:dyDescent="0.2">
      <c r="A854" s="315" t="s">
        <v>5235</v>
      </c>
      <c r="B854" s="311">
        <f>IF(ISBLANK(NeoDataInfB!$B$59),"",NeoDataInfB!$B$59)</f>
        <v>0</v>
      </c>
      <c r="C854" s="17">
        <v>0</v>
      </c>
    </row>
    <row r="855" spans="1:3" x14ac:dyDescent="0.2">
      <c r="A855" s="315" t="s">
        <v>5236</v>
      </c>
      <c r="B855" s="311">
        <f>IF(ISBLANK(NeoDataInfB!$B$60),"",NeoDataInfB!$B$60)</f>
        <v>0</v>
      </c>
      <c r="C855" s="17">
        <v>0</v>
      </c>
    </row>
    <row r="856" spans="1:3" x14ac:dyDescent="0.2">
      <c r="A856" s="315" t="s">
        <v>5237</v>
      </c>
      <c r="B856" s="311">
        <f>IF(ISBLANK(NeoDataInfB!$B$61),"",NeoDataInfB!$B$61)</f>
        <v>0</v>
      </c>
      <c r="C856" s="17">
        <v>0</v>
      </c>
    </row>
    <row r="857" spans="1:3" x14ac:dyDescent="0.2">
      <c r="A857" s="315" t="s">
        <v>5238</v>
      </c>
      <c r="B857" s="311">
        <f>IF(ISBLANK(NeoDataInfB!$B$62),"",NeoDataInfB!$B$62)</f>
        <v>0</v>
      </c>
      <c r="C857" s="17">
        <v>0</v>
      </c>
    </row>
    <row r="858" spans="1:3" s="315" customFormat="1" x14ac:dyDescent="0.2">
      <c r="A858" s="315" t="s">
        <v>5239</v>
      </c>
      <c r="B858" s="311">
        <f>IF(ISBLANK(NeoDataInfB!$B$63),"",NeoDataInfB!$B$63)</f>
        <v>0</v>
      </c>
      <c r="C858" s="17">
        <v>0</v>
      </c>
    </row>
    <row r="859" spans="1:3" x14ac:dyDescent="0.2">
      <c r="A859" s="315" t="s">
        <v>5240</v>
      </c>
      <c r="B859" s="311">
        <f>IF(ISBLANK(NeoDataInfB!$B$64),"",NeoDataInfB!$B$64)</f>
        <v>0</v>
      </c>
      <c r="C859" s="17">
        <v>0</v>
      </c>
    </row>
    <row r="860" spans="1:3" x14ac:dyDescent="0.2">
      <c r="A860" s="315" t="s">
        <v>5241</v>
      </c>
      <c r="B860" s="311">
        <f>IF(ISBLANK(NeoDataInfB!$B$65),"",NeoDataInfB!$B$65)</f>
        <v>0</v>
      </c>
      <c r="C860" s="17">
        <v>0</v>
      </c>
    </row>
    <row r="861" spans="1:3" s="315" customFormat="1" x14ac:dyDescent="0.2">
      <c r="A861" s="315" t="s">
        <v>5242</v>
      </c>
      <c r="B861" s="311" t="b">
        <f>IF(ISBLANK(NeoDataInfB!$B$66),"",NeoDataInfB!$B$66)</f>
        <v>0</v>
      </c>
      <c r="C861" s="315" t="b">
        <v>0</v>
      </c>
    </row>
    <row r="862" spans="1:3" s="315" customFormat="1" x14ac:dyDescent="0.2">
      <c r="A862" s="315" t="s">
        <v>5243</v>
      </c>
      <c r="B862" s="154" t="b">
        <f>IF(ISBLANK(NeoDataInfB!$B$67),"",NeoDataInfB!$B$67)</f>
        <v>0</v>
      </c>
      <c r="C862" s="315" t="b">
        <v>0</v>
      </c>
    </row>
    <row r="863" spans="1:3" x14ac:dyDescent="0.2">
      <c r="A863" s="315" t="s">
        <v>5244</v>
      </c>
      <c r="B863" s="154" t="b">
        <f>IF(ISBLANK(NeoDataInfB!$B$68),"",NeoDataInfB!$B$68)</f>
        <v>0</v>
      </c>
      <c r="C863" t="b">
        <v>0</v>
      </c>
    </row>
    <row r="864" spans="1:3" x14ac:dyDescent="0.2">
      <c r="A864" s="315" t="s">
        <v>5245</v>
      </c>
      <c r="B864" s="154" t="b">
        <f>IF(ISBLANK(NeoDataInfB!$B$69),"",NeoDataInfB!$B$69)</f>
        <v>0</v>
      </c>
      <c r="C864" t="b">
        <v>0</v>
      </c>
    </row>
    <row r="865" spans="1:3" x14ac:dyDescent="0.2">
      <c r="A865" s="315" t="s">
        <v>5246</v>
      </c>
      <c r="B865" s="154">
        <f>IF(ISBLANK(NeoDataInfB!$B$70),"",NeoDataInfB!$B$70)</f>
        <v>0</v>
      </c>
      <c r="C865" s="17">
        <v>0</v>
      </c>
    </row>
    <row r="866" spans="1:3" x14ac:dyDescent="0.2">
      <c r="A866" s="315" t="s">
        <v>5247</v>
      </c>
      <c r="B866" s="154">
        <f>IF(ISBLANK(NeoDataInfB!$B$71),"",NeoDataInfB!$B$71)</f>
        <v>0</v>
      </c>
      <c r="C866" s="17">
        <v>0</v>
      </c>
    </row>
    <row r="867" spans="1:3" s="315" customFormat="1" x14ac:dyDescent="0.2">
      <c r="A867" s="315" t="s">
        <v>5248</v>
      </c>
      <c r="B867" s="154">
        <f>IF(ISBLANK(NeoDataInfB!$B$72),"",NeoDataInfB!$B$72)</f>
        <v>0</v>
      </c>
      <c r="C867" s="317">
        <v>0</v>
      </c>
    </row>
    <row r="868" spans="1:3" s="315" customFormat="1" x14ac:dyDescent="0.2">
      <c r="A868" s="315" t="s">
        <v>5249</v>
      </c>
      <c r="B868" s="154">
        <f>IF(ISBLANK(NeoDataInfB!$B$73),"",NeoDataInfB!$B$73)</f>
        <v>0</v>
      </c>
      <c r="C868" s="317">
        <v>0</v>
      </c>
    </row>
    <row r="869" spans="1:3" x14ac:dyDescent="0.2">
      <c r="A869" s="315" t="s">
        <v>5250</v>
      </c>
      <c r="B869" s="154">
        <f>IF(ISBLANK(NeoDataInfB!$B$74),"",NeoDataInfB!$B$74)</f>
        <v>1</v>
      </c>
      <c r="C869" s="17">
        <v>1</v>
      </c>
    </row>
    <row r="870" spans="1:3" x14ac:dyDescent="0.2">
      <c r="A870" s="315" t="s">
        <v>5251</v>
      </c>
      <c r="B870" s="154">
        <f>IF(ISBLANK(NeoDataInfB!$B$75),"",NeoDataInfB!$B$75)</f>
        <v>1</v>
      </c>
      <c r="C870" s="17">
        <v>1</v>
      </c>
    </row>
    <row r="871" spans="1:3" x14ac:dyDescent="0.2">
      <c r="A871" s="315" t="s">
        <v>5252</v>
      </c>
      <c r="B871" s="154">
        <f>IF(ISBLANK(NeoDataInfB!$B$76),"",NeoDataInfB!$B$76)</f>
        <v>1</v>
      </c>
      <c r="C871" s="17">
        <v>1</v>
      </c>
    </row>
    <row r="872" spans="1:3" x14ac:dyDescent="0.2">
      <c r="A872" s="315" t="s">
        <v>5253</v>
      </c>
      <c r="B872" s="154">
        <f>IF(ISBLANK(NeoDataInfB!$B$77),"",NeoDataInfB!$B$77)</f>
        <v>1</v>
      </c>
      <c r="C872" s="17">
        <v>1</v>
      </c>
    </row>
    <row r="873" spans="1:3" x14ac:dyDescent="0.2">
      <c r="A873" s="315" t="s">
        <v>5254</v>
      </c>
      <c r="B873" s="154">
        <f>IF(ISBLANK(NeoDataInfB!$B$78),"",NeoDataInfB!$B$78)</f>
        <v>1</v>
      </c>
      <c r="C873" s="17">
        <v>1</v>
      </c>
    </row>
    <row r="874" spans="1:3" x14ac:dyDescent="0.2">
      <c r="A874" s="315" t="s">
        <v>5255</v>
      </c>
      <c r="B874" s="154">
        <f>IF(ISBLANK(NeoDataInfB!$B$79),"",NeoDataInfB!$B$79)</f>
        <v>1</v>
      </c>
      <c r="C874" s="17">
        <v>1</v>
      </c>
    </row>
    <row r="875" spans="1:3" x14ac:dyDescent="0.2">
      <c r="A875" s="315" t="s">
        <v>5256</v>
      </c>
      <c r="B875">
        <f>IF(ISBLANK(NeoDataInfB!$B$80),"",NeoDataInfB!$B$80)</f>
        <v>1</v>
      </c>
      <c r="C875" s="17">
        <v>1</v>
      </c>
    </row>
    <row r="876" spans="1:3" x14ac:dyDescent="0.2">
      <c r="A876" s="315" t="s">
        <v>5257</v>
      </c>
      <c r="B876">
        <f>IF(ISBLANK(NeoDataInfB!$B$81),"",NeoDataInfB!$B$81)</f>
        <v>1</v>
      </c>
      <c r="C876" s="17">
        <v>1</v>
      </c>
    </row>
    <row r="877" spans="1:3" x14ac:dyDescent="0.2">
      <c r="A877" s="315" t="s">
        <v>5258</v>
      </c>
      <c r="B877">
        <f>IF(ISBLANK(NeoDataInfB!$B$82),"",NeoDataInfB!$B$82)</f>
        <v>1</v>
      </c>
      <c r="C877" s="17">
        <v>1</v>
      </c>
    </row>
    <row r="878" spans="1:3" x14ac:dyDescent="0.2">
      <c r="A878" s="315" t="s">
        <v>5259</v>
      </c>
      <c r="B878">
        <f>IF(ISBLANK(NeoDataInfB!$B$83),"",NeoDataInfB!$B$83)</f>
        <v>1</v>
      </c>
      <c r="C878" s="17">
        <v>1</v>
      </c>
    </row>
    <row r="879" spans="1:3" x14ac:dyDescent="0.2">
      <c r="A879" s="315" t="s">
        <v>5260</v>
      </c>
      <c r="B879">
        <f>IF(ISBLANK(NeoDataInfB!$B$84),"",NeoDataInfB!$B$84)</f>
        <v>1</v>
      </c>
      <c r="C879" s="17">
        <v>1</v>
      </c>
    </row>
    <row r="880" spans="1:3" x14ac:dyDescent="0.2">
      <c r="A880" s="315" t="s">
        <v>5261</v>
      </c>
      <c r="B880">
        <f>IF(ISBLANK(NeoDataInfB!$B$85),"",NeoDataInfB!$B$85)</f>
        <v>1</v>
      </c>
      <c r="C880" s="17">
        <v>1</v>
      </c>
    </row>
    <row r="881" spans="1:3" x14ac:dyDescent="0.2">
      <c r="A881" s="315" t="s">
        <v>5262</v>
      </c>
      <c r="B881">
        <f>IF(ISBLANK(NeoDataInfB!$B$86),"",NeoDataInfB!$B$86)</f>
        <v>1</v>
      </c>
      <c r="C881" s="17">
        <v>1</v>
      </c>
    </row>
    <row r="882" spans="1:3" x14ac:dyDescent="0.2">
      <c r="A882" s="315" t="s">
        <v>5263</v>
      </c>
      <c r="B882">
        <f>IF(ISBLANK(NeoDataInfB!$B$87),"",NeoDataInfB!$B$87)</f>
        <v>1</v>
      </c>
      <c r="C882" s="17">
        <v>1</v>
      </c>
    </row>
    <row r="883" spans="1:3" x14ac:dyDescent="0.2">
      <c r="A883" s="315" t="s">
        <v>5264</v>
      </c>
      <c r="B883">
        <f>IF(ISBLANK(NeoDataInfB!$B$88),"",NeoDataInfB!$B$88)</f>
        <v>1</v>
      </c>
      <c r="C883" s="17">
        <v>1</v>
      </c>
    </row>
    <row r="884" spans="1:3" x14ac:dyDescent="0.2">
      <c r="A884" s="315" t="s">
        <v>5265</v>
      </c>
      <c r="B884">
        <f>IF(ISBLANK(NeoDataInfB!$B$89),"",NeoDataInfB!$B$89)</f>
        <v>1</v>
      </c>
      <c r="C884" s="17">
        <v>1</v>
      </c>
    </row>
    <row r="885" spans="1:3" x14ac:dyDescent="0.2">
      <c r="A885" s="315" t="s">
        <v>5266</v>
      </c>
      <c r="B885" s="315">
        <f>IF(ISBLANK(NeoDataInfB!$B$90),"",NeoDataInfB!$B$90)</f>
        <v>1</v>
      </c>
      <c r="C885" s="17">
        <v>1</v>
      </c>
    </row>
    <row r="886" spans="1:3" x14ac:dyDescent="0.2">
      <c r="A886" s="315" t="s">
        <v>5267</v>
      </c>
      <c r="B886" s="315">
        <f>IF(ISBLANK(NeoDataInfB!$B$91),"",NeoDataInfB!$B$91)</f>
        <v>1</v>
      </c>
      <c r="C886">
        <v>1</v>
      </c>
    </row>
    <row r="887" spans="1:3" x14ac:dyDescent="0.2">
      <c r="A887" s="315" t="s">
        <v>5268</v>
      </c>
      <c r="B887" s="315">
        <f>IF(ISBLANK(NeoDataInfB!$B$92),"",NeoDataInfB!$B$92)</f>
        <v>5000</v>
      </c>
      <c r="C887">
        <v>5000</v>
      </c>
    </row>
    <row r="888" spans="1:3" x14ac:dyDescent="0.2">
      <c r="A888" s="315" t="s">
        <v>5269</v>
      </c>
      <c r="B888" s="315">
        <f>IF(ISBLANK(NeoDataInfB!$B$93),"",NeoDataInfB!$B$93)</f>
        <v>1</v>
      </c>
      <c r="C888">
        <v>1</v>
      </c>
    </row>
    <row r="889" spans="1:3" x14ac:dyDescent="0.2">
      <c r="A889" s="315" t="s">
        <v>5270</v>
      </c>
      <c r="B889" s="315">
        <f>IF(ISBLANK(NeoDataInfB!$B$94),"",NeoDataInfB!$B$94)</f>
        <v>2</v>
      </c>
      <c r="C889">
        <v>2</v>
      </c>
    </row>
    <row r="890" spans="1:3" x14ac:dyDescent="0.2">
      <c r="A890" s="315" t="s">
        <v>5271</v>
      </c>
      <c r="B890" s="315">
        <f>IF(ISBLANK(NeoDataInfB!$B$95),"",NeoDataInfB!$B$95)</f>
        <v>2</v>
      </c>
      <c r="C890">
        <v>2</v>
      </c>
    </row>
    <row r="891" spans="1:3" x14ac:dyDescent="0.2">
      <c r="A891" s="315" t="s">
        <v>5272</v>
      </c>
      <c r="B891" s="315">
        <f>IF(ISBLANK(NeoDataInfB!$B$96),"",NeoDataInfB!$B$96)</f>
        <v>5000</v>
      </c>
      <c r="C891">
        <v>5000</v>
      </c>
    </row>
    <row r="892" spans="1:3" x14ac:dyDescent="0.2">
      <c r="A892" s="315" t="s">
        <v>5273</v>
      </c>
      <c r="B892" s="315">
        <f>IF(ISBLANK(NeoDataInfB!$B$97),"",NeoDataInfB!$B$97)</f>
        <v>5000</v>
      </c>
      <c r="C892">
        <v>5000</v>
      </c>
    </row>
    <row r="893" spans="1:3" x14ac:dyDescent="0.2">
      <c r="A893" s="315" t="s">
        <v>5274</v>
      </c>
      <c r="B893" s="315">
        <f>IF(ISBLANK(NeoDataInfB!$B$98),"",NeoDataInfB!$B$98)</f>
        <v>1</v>
      </c>
      <c r="C893">
        <v>1</v>
      </c>
    </row>
    <row r="894" spans="1:3" x14ac:dyDescent="0.2">
      <c r="A894" s="315" t="s">
        <v>5275</v>
      </c>
      <c r="B894">
        <f>IF(ISBLANK(NeoDataInfB!$B$99),"",NeoDataInfB!$B$99)</f>
        <v>5000</v>
      </c>
      <c r="C894">
        <v>5000</v>
      </c>
    </row>
    <row r="895" spans="1:3" x14ac:dyDescent="0.2">
      <c r="A895" s="315" t="s">
        <v>5276</v>
      </c>
      <c r="B895">
        <f>IF(ISBLANK(NeoDataInfB!$B$100),"",NeoDataInfB!$B$100)</f>
        <v>5000</v>
      </c>
      <c r="C895">
        <v>5000</v>
      </c>
    </row>
    <row r="896" spans="1:3" x14ac:dyDescent="0.2">
      <c r="A896" s="315" t="s">
        <v>5277</v>
      </c>
      <c r="B896">
        <f>IF(ISBLANK(NeoDataInfB!$B$101),"",NeoDataInfB!$B$101)</f>
        <v>5000</v>
      </c>
      <c r="C896">
        <v>5000</v>
      </c>
    </row>
    <row r="897" spans="1:3" x14ac:dyDescent="0.2">
      <c r="A897" s="315" t="s">
        <v>5278</v>
      </c>
      <c r="B897">
        <f>IF(ISBLANK(NeoDataInfB!$B$102),"",NeoDataInfB!$B$102)</f>
        <v>5000</v>
      </c>
      <c r="C897">
        <v>5000</v>
      </c>
    </row>
    <row r="898" spans="1:3" x14ac:dyDescent="0.2">
      <c r="A898" s="315" t="s">
        <v>5279</v>
      </c>
      <c r="B898" t="b">
        <f>IF(ISBLANK(NeoDataInfB!$B$103),"",NeoDataInfB!$B$103)</f>
        <v>0</v>
      </c>
      <c r="C898" t="b">
        <v>0</v>
      </c>
    </row>
    <row r="899" spans="1:3" x14ac:dyDescent="0.2">
      <c r="A899" s="315" t="s">
        <v>5280</v>
      </c>
      <c r="B899">
        <f>IF(ISBLANK(NeoDataInfB!$B$104),"",NeoDataInfB!$B$104)</f>
        <v>5000</v>
      </c>
      <c r="C899">
        <v>5000</v>
      </c>
    </row>
    <row r="900" spans="1:3" x14ac:dyDescent="0.2">
      <c r="A900" s="315" t="s">
        <v>5281</v>
      </c>
      <c r="B900">
        <f>IF(ISBLANK(NeoDataInfB!$B$105),"",NeoDataInfB!$B$105)</f>
        <v>5000</v>
      </c>
      <c r="C900">
        <v>5000</v>
      </c>
    </row>
    <row r="901" spans="1:3" x14ac:dyDescent="0.2">
      <c r="A901" s="315" t="s">
        <v>5282</v>
      </c>
      <c r="B901">
        <f>IF(ISBLANK(NeoDataInfB!$B$106),"",NeoDataInfB!$B$106)</f>
        <v>5000</v>
      </c>
      <c r="C901">
        <v>5000</v>
      </c>
    </row>
    <row r="902" spans="1:3" x14ac:dyDescent="0.2">
      <c r="A902" s="315" t="s">
        <v>2957</v>
      </c>
      <c r="B902" t="b">
        <f>IF(ISBLANK(NeoBerLab!$M$4),"",NeoBerLab!$M$4)</f>
        <v>0</v>
      </c>
      <c r="C902" t="b">
        <v>0</v>
      </c>
    </row>
    <row r="903" spans="1:3" x14ac:dyDescent="0.2">
      <c r="A903" s="315" t="s">
        <v>2958</v>
      </c>
      <c r="B903" t="b">
        <f>IF(ISBLANK(NeoBerLab!$M$5),"",NeoBerLab!$M$5)</f>
        <v>0</v>
      </c>
      <c r="C903" s="315" t="b">
        <v>0</v>
      </c>
    </row>
    <row r="904" spans="1:3" x14ac:dyDescent="0.2">
      <c r="A904" s="315" t="s">
        <v>2959</v>
      </c>
      <c r="B904" t="b">
        <f>IF(ISBLANK(NeoBerLab!$M$6),"",NeoBerLab!$M$6)</f>
        <v>0</v>
      </c>
      <c r="C904" s="315" t="b">
        <v>0</v>
      </c>
    </row>
    <row r="905" spans="1:3" x14ac:dyDescent="0.2">
      <c r="A905" s="315" t="s">
        <v>2960</v>
      </c>
      <c r="B905" t="b">
        <f>IF(ISBLANK(NeoBerLab!$M$7),"",NeoBerLab!$M$7)</f>
        <v>0</v>
      </c>
      <c r="C905" s="315" t="b">
        <v>0</v>
      </c>
    </row>
    <row r="906" spans="1:3" x14ac:dyDescent="0.2">
      <c r="A906" s="315" t="s">
        <v>2961</v>
      </c>
      <c r="B906" t="b">
        <f>IF(ISBLANK(NeoBerLab!$M$8),"",NeoBerLab!$M$8)</f>
        <v>0</v>
      </c>
      <c r="C906" s="315" t="b">
        <v>0</v>
      </c>
    </row>
    <row r="907" spans="1:3" x14ac:dyDescent="0.2">
      <c r="A907" s="315" t="s">
        <v>2962</v>
      </c>
      <c r="B907" t="b">
        <f>IF(ISBLANK(NeoBerLab!$M$9),"",NeoBerLab!$M$9)</f>
        <v>0</v>
      </c>
      <c r="C907" s="315" t="b">
        <v>0</v>
      </c>
    </row>
    <row r="908" spans="1:3" x14ac:dyDescent="0.2">
      <c r="A908" s="315" t="s">
        <v>2963</v>
      </c>
      <c r="B908" t="b">
        <f>IF(ISBLANK(NeoBerLab!$M$10),"",NeoBerLab!$M$10)</f>
        <v>0</v>
      </c>
      <c r="C908" s="315" t="b">
        <v>0</v>
      </c>
    </row>
    <row r="909" spans="1:3" s="315" customFormat="1" x14ac:dyDescent="0.2">
      <c r="A909" s="315" t="s">
        <v>2964</v>
      </c>
      <c r="B909" t="b">
        <f>IF(ISBLANK(NeoBerLab!$M$11),"",NeoBerLab!$M$11)</f>
        <v>0</v>
      </c>
      <c r="C909" s="315" t="b">
        <v>0</v>
      </c>
    </row>
    <row r="910" spans="1:3" x14ac:dyDescent="0.2">
      <c r="A910" s="315" t="s">
        <v>2965</v>
      </c>
      <c r="B910" t="b">
        <f>IF(ISBLANK(NeoBerLab!$M$12),"",NeoBerLab!$M$12)</f>
        <v>0</v>
      </c>
      <c r="C910" s="315" t="b">
        <v>0</v>
      </c>
    </row>
    <row r="911" spans="1:3" x14ac:dyDescent="0.2">
      <c r="A911" s="315" t="s">
        <v>2966</v>
      </c>
      <c r="B911" t="b">
        <f>IF(ISBLANK(NeoBerLab!$M$13),"",NeoBerLab!$M$13)</f>
        <v>0</v>
      </c>
      <c r="C911" s="315" t="b">
        <v>0</v>
      </c>
    </row>
    <row r="912" spans="1:3" x14ac:dyDescent="0.2">
      <c r="A912" s="315" t="s">
        <v>2967</v>
      </c>
      <c r="B912" t="b">
        <f>IF(ISBLANK(NeoBerLab!$M$14),"",NeoBerLab!$M$14)</f>
        <v>0</v>
      </c>
      <c r="C912" s="315" t="b">
        <v>0</v>
      </c>
    </row>
    <row r="913" spans="1:3" x14ac:dyDescent="0.2">
      <c r="A913" s="315" t="s">
        <v>2968</v>
      </c>
      <c r="B913" t="b">
        <f>IF(ISBLANK(NeoBerLab!$M$15),"",NeoBerLab!$M$15)</f>
        <v>0</v>
      </c>
      <c r="C913" s="315" t="b">
        <v>0</v>
      </c>
    </row>
    <row r="914" spans="1:3" x14ac:dyDescent="0.2">
      <c r="A914" s="315" t="s">
        <v>2969</v>
      </c>
      <c r="B914" t="b">
        <f>IF(ISBLANK(NeoBerLab!$M$16),"",NeoBerLab!$M$16)</f>
        <v>0</v>
      </c>
      <c r="C914" s="315" t="b">
        <v>0</v>
      </c>
    </row>
    <row r="915" spans="1:3" x14ac:dyDescent="0.2">
      <c r="A915" s="315" t="s">
        <v>2970</v>
      </c>
      <c r="B915" t="b">
        <f>IF(ISBLANK(NeoBerLab!$M$17),"",NeoBerLab!$M$17)</f>
        <v>0</v>
      </c>
      <c r="C915" s="315" t="b">
        <v>0</v>
      </c>
    </row>
    <row r="916" spans="1:3" x14ac:dyDescent="0.2">
      <c r="A916" s="315" t="s">
        <v>2971</v>
      </c>
      <c r="B916" t="b">
        <f>IF(ISBLANK(NeoBerLab!$M$18),"",NeoBerLab!$M$18)</f>
        <v>0</v>
      </c>
      <c r="C916" s="315" t="b">
        <v>0</v>
      </c>
    </row>
    <row r="917" spans="1:3" x14ac:dyDescent="0.2">
      <c r="A917" s="315" t="s">
        <v>2972</v>
      </c>
      <c r="B917" t="b">
        <f>IF(ISBLANK(NeoBerLab!$M$19),"",NeoBerLab!$M$19)</f>
        <v>0</v>
      </c>
      <c r="C917" s="315" t="b">
        <v>0</v>
      </c>
    </row>
    <row r="918" spans="1:3" x14ac:dyDescent="0.2">
      <c r="A918" s="315" t="s">
        <v>2973</v>
      </c>
      <c r="B918" t="b">
        <f>IF(ISBLANK(NeoBerLab!$M$20),"",NeoBerLab!$M$20)</f>
        <v>0</v>
      </c>
      <c r="C918" s="315" t="b">
        <v>0</v>
      </c>
    </row>
    <row r="919" spans="1:3" x14ac:dyDescent="0.2">
      <c r="A919" s="315" t="s">
        <v>2974</v>
      </c>
      <c r="B919" t="b">
        <f>IF(ISBLANK(NeoBerLab!$M$21),"",NeoBerLab!$M$21)</f>
        <v>0</v>
      </c>
      <c r="C919" s="315" t="b">
        <v>0</v>
      </c>
    </row>
    <row r="920" spans="1:3" x14ac:dyDescent="0.2">
      <c r="A920" s="315" t="s">
        <v>2975</v>
      </c>
      <c r="B920" t="b">
        <f>IF(ISBLANK(NeoBerLab!$M$22),"",NeoBerLab!$M$22)</f>
        <v>0</v>
      </c>
      <c r="C920" s="315" t="b">
        <v>0</v>
      </c>
    </row>
    <row r="921" spans="1:3" s="315" customFormat="1" x14ac:dyDescent="0.2">
      <c r="A921" s="315" t="s">
        <v>2976</v>
      </c>
      <c r="B921" t="b">
        <f>IF(ISBLANK(NeoBerLab!$M$23),"",NeoBerLab!$M$23)</f>
        <v>0</v>
      </c>
      <c r="C921" s="315" t="b">
        <v>0</v>
      </c>
    </row>
    <row r="922" spans="1:3" x14ac:dyDescent="0.2">
      <c r="A922" s="315" t="s">
        <v>2977</v>
      </c>
      <c r="B922" t="b">
        <f>IF(ISBLANK(NeoBerLab!$M$24),"",NeoBerLab!$M$24)</f>
        <v>0</v>
      </c>
      <c r="C922" s="315" t="b">
        <v>0</v>
      </c>
    </row>
    <row r="923" spans="1:3" x14ac:dyDescent="0.2">
      <c r="A923" s="315" t="s">
        <v>2978</v>
      </c>
      <c r="B923" t="b">
        <f>IF(ISBLANK(NeoBerLab!$M$25),"",NeoBerLab!$M$25)</f>
        <v>0</v>
      </c>
      <c r="C923" s="315" t="b">
        <v>0</v>
      </c>
    </row>
    <row r="924" spans="1:3" x14ac:dyDescent="0.2">
      <c r="A924" s="315" t="s">
        <v>2979</v>
      </c>
      <c r="B924" t="b">
        <f>IF(ISBLANK(NeoBerLab!$M$26),"",NeoBerLab!$M$26)</f>
        <v>0</v>
      </c>
      <c r="C924" s="315" t="b">
        <v>0</v>
      </c>
    </row>
    <row r="925" spans="1:3" x14ac:dyDescent="0.2">
      <c r="A925" s="315" t="s">
        <v>2980</v>
      </c>
      <c r="B925" t="b">
        <f>IF(ISBLANK(NeoBerLab!$M$27),"",NeoBerLab!$M$27)</f>
        <v>0</v>
      </c>
      <c r="C925" s="315" t="b">
        <v>0</v>
      </c>
    </row>
    <row r="926" spans="1:3" x14ac:dyDescent="0.2">
      <c r="A926" s="315" t="s">
        <v>2981</v>
      </c>
      <c r="B926" t="b">
        <f>IF(ISBLANK(NeoBerLab!$M$28),"",NeoBerLab!$M$28)</f>
        <v>0</v>
      </c>
      <c r="C926" s="315" t="b">
        <v>0</v>
      </c>
    </row>
    <row r="927" spans="1:3" x14ac:dyDescent="0.2">
      <c r="A927" s="315" t="s">
        <v>2982</v>
      </c>
      <c r="B927" t="b">
        <f>IF(ISBLANK(NeoBerLab!$M$29),"",NeoBerLab!$M$29)</f>
        <v>0</v>
      </c>
      <c r="C927" s="315" t="b">
        <v>0</v>
      </c>
    </row>
    <row r="928" spans="1:3" x14ac:dyDescent="0.2">
      <c r="A928" s="315" t="s">
        <v>2983</v>
      </c>
      <c r="B928" t="b">
        <f>IF(ISBLANK(NeoBerLab!$M$30),"",NeoBerLab!$M$30)</f>
        <v>0</v>
      </c>
      <c r="C928" s="315" t="b">
        <v>0</v>
      </c>
    </row>
    <row r="929" spans="1:3" x14ac:dyDescent="0.2">
      <c r="A929" s="315" t="s">
        <v>2984</v>
      </c>
      <c r="B929" t="b">
        <f>IF(ISBLANK(NeoBerLab!$M$31),"",NeoBerLab!$M$31)</f>
        <v>0</v>
      </c>
      <c r="C929" s="315" t="b">
        <v>0</v>
      </c>
    </row>
    <row r="930" spans="1:3" x14ac:dyDescent="0.2">
      <c r="A930" s="315" t="s">
        <v>2985</v>
      </c>
      <c r="B930" t="b">
        <f>IF(ISBLANK(NeoBerLab!$M$32),"",NeoBerLab!$M$32)</f>
        <v>0</v>
      </c>
      <c r="C930" s="315" t="b">
        <v>0</v>
      </c>
    </row>
    <row r="931" spans="1:3" x14ac:dyDescent="0.2">
      <c r="A931" s="315" t="s">
        <v>2986</v>
      </c>
      <c r="B931" t="b">
        <f>IF(ISBLANK(NeoBerLab!$M$33),"",NeoBerLab!$M$33)</f>
        <v>0</v>
      </c>
      <c r="C931" s="315" t="b">
        <v>0</v>
      </c>
    </row>
    <row r="932" spans="1:3" x14ac:dyDescent="0.2">
      <c r="A932" s="315" t="s">
        <v>2987</v>
      </c>
      <c r="B932" t="b">
        <f>IF(ISBLANK(NeoBerLab!$M$34),"",NeoBerLab!$M$34)</f>
        <v>0</v>
      </c>
      <c r="C932" s="315" t="b">
        <v>0</v>
      </c>
    </row>
    <row r="933" spans="1:3" x14ac:dyDescent="0.2">
      <c r="A933" s="315" t="s">
        <v>2988</v>
      </c>
      <c r="B933" t="b">
        <f>IF(ISBLANK(NeoBerLab!$E$4),"",NeoBerLab!$E$4)</f>
        <v>0</v>
      </c>
      <c r="C933" s="315" t="b">
        <v>0</v>
      </c>
    </row>
    <row r="934" spans="1:3" x14ac:dyDescent="0.2">
      <c r="A934" s="315" t="s">
        <v>2989</v>
      </c>
      <c r="B934" t="b">
        <f>IF(ISBLANK(NeoBerLab!$E$5),"",NeoBerLab!$E$5)</f>
        <v>0</v>
      </c>
      <c r="C934" s="315" t="b">
        <v>0</v>
      </c>
    </row>
    <row r="935" spans="1:3" x14ac:dyDescent="0.2">
      <c r="A935" s="315" t="s">
        <v>2990</v>
      </c>
      <c r="B935" t="b">
        <f>IF(ISBLANK(NeoBerLab!$E$6),"",NeoBerLab!$E$6)</f>
        <v>0</v>
      </c>
      <c r="C935" s="315" t="b">
        <v>0</v>
      </c>
    </row>
    <row r="936" spans="1:3" x14ac:dyDescent="0.2">
      <c r="A936" s="315" t="s">
        <v>2991</v>
      </c>
      <c r="B936" t="b">
        <f>IF(ISBLANK(NeoBerLab!$E$7),"",NeoBerLab!$E$7)</f>
        <v>0</v>
      </c>
      <c r="C936" s="315" t="b">
        <v>0</v>
      </c>
    </row>
    <row r="937" spans="1:3" x14ac:dyDescent="0.2">
      <c r="A937" s="315" t="s">
        <v>2992</v>
      </c>
      <c r="B937" t="b">
        <f>IF(ISBLANK(NeoBerLab!$E$8),"",NeoBerLab!$E$8)</f>
        <v>0</v>
      </c>
      <c r="C937" s="315" t="b">
        <v>0</v>
      </c>
    </row>
    <row r="938" spans="1:3" x14ac:dyDescent="0.2">
      <c r="A938" s="315" t="s">
        <v>2993</v>
      </c>
      <c r="B938" t="b">
        <f>IF(ISBLANK(NeoBerLab!$E$9),"",NeoBerLab!$E$9)</f>
        <v>0</v>
      </c>
      <c r="C938" s="315" t="b">
        <v>0</v>
      </c>
    </row>
    <row r="939" spans="1:3" x14ac:dyDescent="0.2">
      <c r="A939" s="315" t="s">
        <v>2994</v>
      </c>
      <c r="B939" t="b">
        <f>IF(ISBLANK(NeoBerLab!$E$10),"",NeoBerLab!$E$10)</f>
        <v>0</v>
      </c>
      <c r="C939" s="315" t="b">
        <v>0</v>
      </c>
    </row>
    <row r="940" spans="1:3" x14ac:dyDescent="0.2">
      <c r="A940" s="315" t="s">
        <v>2995</v>
      </c>
      <c r="B940" t="b">
        <f>IF(ISBLANK(NeoBerLab!$E$11),"",NeoBerLab!$E$11)</f>
        <v>0</v>
      </c>
      <c r="C940" s="315" t="b">
        <v>0</v>
      </c>
    </row>
    <row r="941" spans="1:3" x14ac:dyDescent="0.2">
      <c r="A941" s="315" t="s">
        <v>2996</v>
      </c>
      <c r="B941" t="b">
        <f>IF(ISBLANK(NeoBerLab!$E$12),"",NeoBerLab!$E$12)</f>
        <v>0</v>
      </c>
      <c r="C941" s="315" t="b">
        <v>0</v>
      </c>
    </row>
    <row r="942" spans="1:3" x14ac:dyDescent="0.2">
      <c r="A942" s="315" t="s">
        <v>2997</v>
      </c>
      <c r="B942" t="b">
        <f>IF(ISBLANK(NeoBerLab!$E$13),"",NeoBerLab!$E$13)</f>
        <v>0</v>
      </c>
      <c r="C942" s="315" t="b">
        <v>0</v>
      </c>
    </row>
    <row r="943" spans="1:3" x14ac:dyDescent="0.2">
      <c r="A943" s="315" t="s">
        <v>2998</v>
      </c>
      <c r="B943" t="b">
        <f>IF(ISBLANK(NeoBerLab!$E$14),"",NeoBerLab!$E$14)</f>
        <v>0</v>
      </c>
      <c r="C943" s="315" t="b">
        <v>0</v>
      </c>
    </row>
    <row r="944" spans="1:3" x14ac:dyDescent="0.2">
      <c r="A944" s="315" t="s">
        <v>2999</v>
      </c>
      <c r="B944" t="b">
        <f>IF(ISBLANK(NeoBerLab!$E$15),"",NeoBerLab!$E$15)</f>
        <v>0</v>
      </c>
      <c r="C944" s="315" t="b">
        <v>0</v>
      </c>
    </row>
    <row r="945" spans="1:3" x14ac:dyDescent="0.2">
      <c r="A945" s="315" t="s">
        <v>3000</v>
      </c>
      <c r="B945" t="b">
        <f>IF(ISBLANK(NeoBerLab!$E$16),"",NeoBerLab!$E$16)</f>
        <v>0</v>
      </c>
      <c r="C945" s="315" t="b">
        <v>0</v>
      </c>
    </row>
    <row r="946" spans="1:3" x14ac:dyDescent="0.2">
      <c r="A946" s="315" t="s">
        <v>3001</v>
      </c>
      <c r="B946" t="b">
        <f>IF(ISBLANK(NeoBerLab!$E$17),"",NeoBerLab!$E$17)</f>
        <v>0</v>
      </c>
      <c r="C946" s="315" t="b">
        <v>0</v>
      </c>
    </row>
    <row r="947" spans="1:3" x14ac:dyDescent="0.2">
      <c r="A947" s="315" t="s">
        <v>3002</v>
      </c>
      <c r="B947" t="b">
        <f>IF(ISBLANK(NeoBerLab!$E$18),"",NeoBerLab!$E$18)</f>
        <v>0</v>
      </c>
      <c r="C947" s="315" t="b">
        <v>0</v>
      </c>
    </row>
    <row r="948" spans="1:3" x14ac:dyDescent="0.2">
      <c r="A948" s="315" t="s">
        <v>3003</v>
      </c>
      <c r="B948" t="b">
        <f>IF(ISBLANK(NeoBerLab!$E$19),"",NeoBerLab!$E$19)</f>
        <v>0</v>
      </c>
      <c r="C948" s="315" t="b">
        <v>0</v>
      </c>
    </row>
    <row r="949" spans="1:3" x14ac:dyDescent="0.2">
      <c r="A949" s="315" t="s">
        <v>3004</v>
      </c>
      <c r="B949" t="b">
        <f>IF(ISBLANK(NeoBerLab!$E$20),"",NeoBerLab!$E$20)</f>
        <v>0</v>
      </c>
      <c r="C949" s="315" t="b">
        <v>0</v>
      </c>
    </row>
    <row r="950" spans="1:3" x14ac:dyDescent="0.2">
      <c r="A950" s="315" t="s">
        <v>3005</v>
      </c>
      <c r="B950" t="b">
        <f>IF(ISBLANK(NeoBerLab!$E$21),"",NeoBerLab!$E$21)</f>
        <v>0</v>
      </c>
      <c r="C950" s="315" t="b">
        <v>0</v>
      </c>
    </row>
    <row r="951" spans="1:3" x14ac:dyDescent="0.2">
      <c r="A951" s="315" t="s">
        <v>3006</v>
      </c>
      <c r="B951" t="b">
        <f>IF(ISBLANK(NeoBerLab!$E$22),"",NeoBerLab!$E$22)</f>
        <v>0</v>
      </c>
      <c r="C951" s="315" t="b">
        <v>0</v>
      </c>
    </row>
    <row r="952" spans="1:3" x14ac:dyDescent="0.2">
      <c r="A952" s="315" t="s">
        <v>3007</v>
      </c>
      <c r="B952" t="b">
        <f>IF(ISBLANK(NeoBerLab!$E$23),"",NeoBerLab!$E$23)</f>
        <v>0</v>
      </c>
      <c r="C952" s="315" t="b">
        <v>0</v>
      </c>
    </row>
    <row r="953" spans="1:3" x14ac:dyDescent="0.2">
      <c r="A953" s="315" t="s">
        <v>3008</v>
      </c>
      <c r="B953" t="b">
        <f>IF(ISBLANK(NeoBerLab!$E$24),"",NeoBerLab!$E$24)</f>
        <v>0</v>
      </c>
      <c r="C953" s="315" t="b">
        <v>0</v>
      </c>
    </row>
    <row r="954" spans="1:3" x14ac:dyDescent="0.2">
      <c r="A954" s="315" t="s">
        <v>3009</v>
      </c>
      <c r="B954" t="b">
        <f>IF(ISBLANK(NeoBerLab!$E$25),"",NeoBerLab!$E$25)</f>
        <v>0</v>
      </c>
      <c r="C954" s="315" t="b">
        <v>0</v>
      </c>
    </row>
    <row r="955" spans="1:3" x14ac:dyDescent="0.2">
      <c r="A955" s="315" t="s">
        <v>3010</v>
      </c>
      <c r="B955" t="b">
        <f>IF(ISBLANK(NeoBerLab!$E$26),"",NeoBerLab!$E$26)</f>
        <v>0</v>
      </c>
      <c r="C955" s="315" t="b">
        <v>0</v>
      </c>
    </row>
    <row r="956" spans="1:3" x14ac:dyDescent="0.2">
      <c r="A956" s="315" t="s">
        <v>3011</v>
      </c>
      <c r="B956" t="b">
        <f>IF(ISBLANK(NeoBerLab!$E$27),"",NeoBerLab!$E$27)</f>
        <v>0</v>
      </c>
      <c r="C956" s="315" t="b">
        <v>0</v>
      </c>
    </row>
    <row r="957" spans="1:3" x14ac:dyDescent="0.2">
      <c r="A957" s="315" t="s">
        <v>3012</v>
      </c>
      <c r="B957" t="b">
        <f>IF(ISBLANK(NeoBerLab!$E$28),"",NeoBerLab!$E$28)</f>
        <v>0</v>
      </c>
      <c r="C957" s="315" t="b">
        <v>0</v>
      </c>
    </row>
    <row r="958" spans="1:3" x14ac:dyDescent="0.2">
      <c r="A958" s="315" t="s">
        <v>3013</v>
      </c>
      <c r="B958" t="b">
        <f>IF(ISBLANK(NeoBerLab!$E$29),"",NeoBerLab!$E$29)</f>
        <v>0</v>
      </c>
      <c r="C958" s="315" t="b">
        <v>0</v>
      </c>
    </row>
    <row r="959" spans="1:3" x14ac:dyDescent="0.2">
      <c r="A959" s="315" t="s">
        <v>3014</v>
      </c>
      <c r="B959" t="b">
        <f>IF(ISBLANK(NeoBerLab!$E$30),"",NeoBerLab!$E$30)</f>
        <v>0</v>
      </c>
      <c r="C959" s="315" t="b">
        <v>0</v>
      </c>
    </row>
    <row r="960" spans="1:3" x14ac:dyDescent="0.2">
      <c r="A960" s="315" t="s">
        <v>3015</v>
      </c>
      <c r="B960" t="b">
        <f>IF(ISBLANK(NeoBerLab!$E$31),"",NeoBerLab!$E$31)</f>
        <v>0</v>
      </c>
      <c r="C960" s="315" t="b">
        <v>0</v>
      </c>
    </row>
    <row r="961" spans="1:3" x14ac:dyDescent="0.2">
      <c r="A961" s="315" t="s">
        <v>3016</v>
      </c>
      <c r="B961" t="b">
        <f>IF(ISBLANK(NeoBerLab!$E$32),"",NeoBerLab!$E$32)</f>
        <v>0</v>
      </c>
      <c r="C961" s="315" t="b">
        <v>0</v>
      </c>
    </row>
    <row r="962" spans="1:3" x14ac:dyDescent="0.2">
      <c r="A962" s="315" t="s">
        <v>3017</v>
      </c>
      <c r="B962" t="b">
        <f>IF(ISBLANK(NeoBerLab!$E$33),"",NeoBerLab!$E$33)</f>
        <v>0</v>
      </c>
      <c r="C962" s="315" t="b">
        <v>0</v>
      </c>
    </row>
    <row r="963" spans="1:3" x14ac:dyDescent="0.2">
      <c r="A963" s="315" t="s">
        <v>3018</v>
      </c>
      <c r="B963" t="b">
        <f>IF(ISBLANK(NeoBerLab!$E$34),"",NeoBerLab!$E$34)</f>
        <v>0</v>
      </c>
      <c r="C963" s="315" t="b">
        <v>0</v>
      </c>
    </row>
    <row r="964" spans="1:3" x14ac:dyDescent="0.2">
      <c r="A964" s="315" t="s">
        <v>3019</v>
      </c>
      <c r="B964" t="b">
        <f>IF(ISBLANK(NeoBerLab!$G$4),"",NeoBerLab!$G$4)</f>
        <v>0</v>
      </c>
      <c r="C964" s="315" t="b">
        <v>0</v>
      </c>
    </row>
    <row r="965" spans="1:3" x14ac:dyDescent="0.2">
      <c r="A965" s="315" t="s">
        <v>3020</v>
      </c>
      <c r="B965" t="b">
        <f>IF(ISBLANK(NeoBerLab!$G$5),"",NeoBerLab!$G$5)</f>
        <v>0</v>
      </c>
      <c r="C965" s="315" t="b">
        <v>0</v>
      </c>
    </row>
    <row r="966" spans="1:3" x14ac:dyDescent="0.2">
      <c r="A966" s="315" t="s">
        <v>3021</v>
      </c>
      <c r="B966" t="b">
        <f>IF(ISBLANK(NeoBerLab!$G$6),"",NeoBerLab!$G$6)</f>
        <v>0</v>
      </c>
      <c r="C966" s="315" t="b">
        <v>0</v>
      </c>
    </row>
    <row r="967" spans="1:3" x14ac:dyDescent="0.2">
      <c r="A967" s="315" t="s">
        <v>3022</v>
      </c>
      <c r="B967" t="b">
        <f>IF(ISBLANK(NeoBerLab!$G$7),"",NeoBerLab!$G$7)</f>
        <v>0</v>
      </c>
      <c r="C967" s="315" t="b">
        <v>0</v>
      </c>
    </row>
    <row r="968" spans="1:3" x14ac:dyDescent="0.2">
      <c r="A968" s="315" t="s">
        <v>3023</v>
      </c>
      <c r="B968" t="b">
        <f>IF(ISBLANK(NeoBerLab!$G$8),"",NeoBerLab!$G$8)</f>
        <v>0</v>
      </c>
      <c r="C968" s="315" t="b">
        <v>0</v>
      </c>
    </row>
    <row r="969" spans="1:3" x14ac:dyDescent="0.2">
      <c r="A969" s="315" t="s">
        <v>3024</v>
      </c>
      <c r="B969" t="b">
        <f>IF(ISBLANK(NeoBerLab!$G$9),"",NeoBerLab!$G$9)</f>
        <v>0</v>
      </c>
      <c r="C969" s="315" t="b">
        <v>0</v>
      </c>
    </row>
    <row r="970" spans="1:3" s="315" customFormat="1" x14ac:dyDescent="0.2">
      <c r="A970" s="315" t="s">
        <v>3025</v>
      </c>
      <c r="B970" t="b">
        <f>IF(ISBLANK(NeoBerLab!$G$10),"",NeoBerLab!$G$10)</f>
        <v>0</v>
      </c>
      <c r="C970" s="315" t="b">
        <v>0</v>
      </c>
    </row>
    <row r="971" spans="1:3" x14ac:dyDescent="0.2">
      <c r="A971" s="315" t="s">
        <v>3026</v>
      </c>
      <c r="B971" t="b">
        <f>IF(ISBLANK(NeoBerLab!$G$11),"",NeoBerLab!$G$11)</f>
        <v>0</v>
      </c>
      <c r="C971" s="315" t="b">
        <v>0</v>
      </c>
    </row>
    <row r="972" spans="1:3" x14ac:dyDescent="0.2">
      <c r="A972" s="315" t="s">
        <v>3027</v>
      </c>
      <c r="B972" t="b">
        <f>IF(ISBLANK(NeoBerLab!$G$12),"",NeoBerLab!$G$12)</f>
        <v>0</v>
      </c>
      <c r="C972" s="315" t="b">
        <v>0</v>
      </c>
    </row>
    <row r="973" spans="1:3" x14ac:dyDescent="0.2">
      <c r="A973" s="315" t="s">
        <v>3028</v>
      </c>
      <c r="B973" t="b">
        <f>IF(ISBLANK(NeoBerLab!$G$13),"",NeoBerLab!$G$13)</f>
        <v>0</v>
      </c>
      <c r="C973" s="315" t="b">
        <v>0</v>
      </c>
    </row>
    <row r="974" spans="1:3" x14ac:dyDescent="0.2">
      <c r="A974" s="315" t="s">
        <v>3029</v>
      </c>
      <c r="B974" t="b">
        <f>IF(ISBLANK(NeoBerLab!$G$14),"",NeoBerLab!$G$14)</f>
        <v>0</v>
      </c>
      <c r="C974" s="315" t="b">
        <v>0</v>
      </c>
    </row>
    <row r="975" spans="1:3" x14ac:dyDescent="0.2">
      <c r="A975" s="315" t="s">
        <v>3030</v>
      </c>
      <c r="B975" t="b">
        <f>IF(ISBLANK(NeoBerLab!$G$15),"",NeoBerLab!$G$15)</f>
        <v>0</v>
      </c>
      <c r="C975" s="315" t="b">
        <v>0</v>
      </c>
    </row>
    <row r="976" spans="1:3" x14ac:dyDescent="0.2">
      <c r="A976" s="315" t="s">
        <v>3031</v>
      </c>
      <c r="B976" s="315" t="b">
        <f>IF(ISBLANK(NeoBerLab!$G$16),"",NeoBerLab!$G$16)</f>
        <v>0</v>
      </c>
      <c r="C976" s="315" t="b">
        <v>0</v>
      </c>
    </row>
    <row r="977" spans="1:3" x14ac:dyDescent="0.2">
      <c r="A977" s="315" t="s">
        <v>3032</v>
      </c>
      <c r="B977" t="b">
        <f>IF(ISBLANK(NeoBerLab!$G$17),"",NeoBerLab!$G$17)</f>
        <v>0</v>
      </c>
      <c r="C977" s="315" t="b">
        <v>0</v>
      </c>
    </row>
    <row r="978" spans="1:3" x14ac:dyDescent="0.2">
      <c r="A978" s="315" t="s">
        <v>3033</v>
      </c>
      <c r="B978" t="b">
        <f>IF(ISBLANK(NeoBerLab!$G$18),"",NeoBerLab!$G$18)</f>
        <v>0</v>
      </c>
      <c r="C978" s="315" t="b">
        <v>0</v>
      </c>
    </row>
    <row r="979" spans="1:3" x14ac:dyDescent="0.2">
      <c r="A979" s="315" t="s">
        <v>3034</v>
      </c>
      <c r="B979" s="315" t="b">
        <f>IF(ISBLANK(NeoBerLab!$G$19),"",NeoBerLab!$G$19)</f>
        <v>0</v>
      </c>
      <c r="C979" s="315" t="b">
        <v>0</v>
      </c>
    </row>
    <row r="980" spans="1:3" x14ac:dyDescent="0.2">
      <c r="A980" s="315" t="s">
        <v>3035</v>
      </c>
      <c r="B980" s="315" t="b">
        <f>IF(ISBLANK(NeoBerLab!$G$20),"",NeoBerLab!$G$20)</f>
        <v>0</v>
      </c>
      <c r="C980" s="315" t="b">
        <v>0</v>
      </c>
    </row>
    <row r="981" spans="1:3" x14ac:dyDescent="0.2">
      <c r="A981" s="315" t="s">
        <v>3036</v>
      </c>
      <c r="B981" t="b">
        <f>IF(ISBLANK(NeoBerLab!$G$21),"",NeoBerLab!$G$21)</f>
        <v>0</v>
      </c>
      <c r="C981" s="315" t="b">
        <v>0</v>
      </c>
    </row>
    <row r="982" spans="1:3" x14ac:dyDescent="0.2">
      <c r="A982" s="315" t="s">
        <v>3037</v>
      </c>
      <c r="B982" t="b">
        <f>IF(ISBLANK(NeoBerLab!$G$22),"",NeoBerLab!$G$22)</f>
        <v>0</v>
      </c>
      <c r="C982" s="315" t="b">
        <v>0</v>
      </c>
    </row>
    <row r="983" spans="1:3" x14ac:dyDescent="0.2">
      <c r="A983" s="315" t="s">
        <v>3038</v>
      </c>
      <c r="B983" t="b">
        <f>IF(ISBLANK(NeoBerLab!$G$23),"",NeoBerLab!$G$23)</f>
        <v>0</v>
      </c>
      <c r="C983" s="315" t="b">
        <v>0</v>
      </c>
    </row>
    <row r="984" spans="1:3" x14ac:dyDescent="0.2">
      <c r="A984" s="315" t="s">
        <v>3039</v>
      </c>
      <c r="B984" t="b">
        <f>IF(ISBLANK(NeoBerLab!$G$24),"",NeoBerLab!$G$24)</f>
        <v>0</v>
      </c>
      <c r="C984" s="315" t="b">
        <v>0</v>
      </c>
    </row>
    <row r="985" spans="1:3" x14ac:dyDescent="0.2">
      <c r="A985" s="315" t="s">
        <v>3040</v>
      </c>
      <c r="B985" s="315" t="b">
        <f>IF(ISBLANK(NeoBerLab!$G$25),"",NeoBerLab!$G$25)</f>
        <v>0</v>
      </c>
      <c r="C985" s="315" t="b">
        <v>0</v>
      </c>
    </row>
    <row r="986" spans="1:3" x14ac:dyDescent="0.2">
      <c r="A986" s="315" t="s">
        <v>3041</v>
      </c>
      <c r="B986" s="315" t="b">
        <f>IF(ISBLANK(NeoBerLab!$G$26),"",NeoBerLab!$G$26)</f>
        <v>0</v>
      </c>
      <c r="C986" s="315" t="b">
        <v>0</v>
      </c>
    </row>
    <row r="987" spans="1:3" x14ac:dyDescent="0.2">
      <c r="A987" s="315" t="s">
        <v>3042</v>
      </c>
      <c r="B987" t="b">
        <f>IF(ISBLANK(NeoBerLab!$G$27),"",NeoBerLab!$G$27)</f>
        <v>0</v>
      </c>
      <c r="C987" s="315" t="b">
        <v>0</v>
      </c>
    </row>
    <row r="988" spans="1:3" x14ac:dyDescent="0.2">
      <c r="A988" s="315" t="s">
        <v>3043</v>
      </c>
      <c r="B988" t="b">
        <f>IF(ISBLANK(NeoBerLab!$G$28),"",NeoBerLab!$G$28)</f>
        <v>0</v>
      </c>
      <c r="C988" s="315" t="b">
        <v>0</v>
      </c>
    </row>
    <row r="989" spans="1:3" x14ac:dyDescent="0.2">
      <c r="A989" s="315" t="s">
        <v>3044</v>
      </c>
      <c r="B989" t="b">
        <f>IF(ISBLANK(NeoBerLab!$G$29),"",NeoBerLab!$G$29)</f>
        <v>0</v>
      </c>
      <c r="C989" s="315" t="b">
        <v>0</v>
      </c>
    </row>
    <row r="990" spans="1:3" x14ac:dyDescent="0.2">
      <c r="A990" s="315" t="s">
        <v>3045</v>
      </c>
      <c r="B990" t="b">
        <f>IF(ISBLANK(NeoBerLab!$G$30),"",NeoBerLab!$G$30)</f>
        <v>0</v>
      </c>
      <c r="C990" s="315" t="b">
        <v>0</v>
      </c>
    </row>
    <row r="991" spans="1:3" x14ac:dyDescent="0.2">
      <c r="A991" s="315" t="s">
        <v>3046</v>
      </c>
      <c r="B991" t="b">
        <f>IF(ISBLANK(NeoBerLab!$G$31),"",NeoBerLab!$G$31)</f>
        <v>0</v>
      </c>
      <c r="C991" s="315" t="b">
        <v>0</v>
      </c>
    </row>
    <row r="992" spans="1:3" x14ac:dyDescent="0.2">
      <c r="A992" s="315" t="s">
        <v>3047</v>
      </c>
      <c r="B992" t="b">
        <f>IF(ISBLANK(NeoBerLab!$G$32),"",NeoBerLab!$G$32)</f>
        <v>0</v>
      </c>
      <c r="C992" s="315" t="b">
        <v>0</v>
      </c>
    </row>
    <row r="993" spans="1:3" x14ac:dyDescent="0.2">
      <c r="A993" s="315" t="s">
        <v>3048</v>
      </c>
      <c r="B993" t="b">
        <f>IF(ISBLANK(NeoBerLab!$G$33),"",NeoBerLab!$G$33)</f>
        <v>0</v>
      </c>
      <c r="C993" s="315" t="b">
        <v>0</v>
      </c>
    </row>
    <row r="994" spans="1:3" x14ac:dyDescent="0.2">
      <c r="A994" s="315" t="s">
        <v>3049</v>
      </c>
      <c r="B994" t="b">
        <f>IF(ISBLANK(NeoBerLab!$G$34),"",NeoBerLab!$G$34)</f>
        <v>0</v>
      </c>
      <c r="C994" s="315" t="b">
        <v>0</v>
      </c>
    </row>
    <row r="995" spans="1:3" x14ac:dyDescent="0.2">
      <c r="A995" s="315" t="s">
        <v>3050</v>
      </c>
      <c r="B995" t="b">
        <f>IF(ISBLANK(NeoBerLab!$I$4),"",NeoBerLab!$I$4)</f>
        <v>0</v>
      </c>
      <c r="C995" s="315" t="b">
        <v>0</v>
      </c>
    </row>
    <row r="996" spans="1:3" x14ac:dyDescent="0.2">
      <c r="A996" s="315" t="s">
        <v>3051</v>
      </c>
      <c r="B996" t="b">
        <f>IF(ISBLANK(NeoBerLab!$I$5),"",NeoBerLab!$I$5)</f>
        <v>0</v>
      </c>
      <c r="C996" s="315" t="b">
        <v>0</v>
      </c>
    </row>
    <row r="997" spans="1:3" x14ac:dyDescent="0.2">
      <c r="A997" s="315" t="s">
        <v>3052</v>
      </c>
      <c r="B997" t="b">
        <f>IF(ISBLANK(NeoBerLab!$I$6),"",NeoBerLab!$I$6)</f>
        <v>0</v>
      </c>
      <c r="C997" s="315" t="b">
        <v>0</v>
      </c>
    </row>
    <row r="998" spans="1:3" x14ac:dyDescent="0.2">
      <c r="A998" s="315" t="s">
        <v>3053</v>
      </c>
      <c r="B998" t="b">
        <f>IF(ISBLANK(NeoBerLab!$I$7),"",NeoBerLab!$I$7)</f>
        <v>0</v>
      </c>
      <c r="C998" s="315" t="b">
        <v>0</v>
      </c>
    </row>
    <row r="999" spans="1:3" x14ac:dyDescent="0.2">
      <c r="A999" s="315" t="s">
        <v>3054</v>
      </c>
      <c r="B999" t="b">
        <f>IF(ISBLANK(NeoBerLab!$I$8),"",NeoBerLab!$I$8)</f>
        <v>0</v>
      </c>
      <c r="C999" s="315" t="b">
        <v>0</v>
      </c>
    </row>
    <row r="1000" spans="1:3" x14ac:dyDescent="0.2">
      <c r="A1000" s="315" t="s">
        <v>3055</v>
      </c>
      <c r="B1000" t="b">
        <f>IF(ISBLANK(NeoBerLab!$I$9),"",NeoBerLab!$I$9)</f>
        <v>0</v>
      </c>
      <c r="C1000" s="315" t="b">
        <v>0</v>
      </c>
    </row>
    <row r="1001" spans="1:3" x14ac:dyDescent="0.2">
      <c r="A1001" s="315" t="s">
        <v>3056</v>
      </c>
      <c r="B1001" t="b">
        <f>IF(ISBLANK(NeoBerLab!$I$10),"",NeoBerLab!$I$10)</f>
        <v>0</v>
      </c>
      <c r="C1001" s="315" t="b">
        <v>0</v>
      </c>
    </row>
    <row r="1002" spans="1:3" x14ac:dyDescent="0.2">
      <c r="A1002" s="315" t="s">
        <v>3057</v>
      </c>
      <c r="B1002" t="b">
        <f>IF(ISBLANK(NeoBerLab!$I$11),"",NeoBerLab!$I$11)</f>
        <v>0</v>
      </c>
      <c r="C1002" s="315" t="b">
        <v>0</v>
      </c>
    </row>
    <row r="1003" spans="1:3" x14ac:dyDescent="0.2">
      <c r="A1003" s="315" t="s">
        <v>3058</v>
      </c>
      <c r="B1003" t="b">
        <f>IF(ISBLANK(NeoBerLab!$I$12),"",NeoBerLab!$I$12)</f>
        <v>0</v>
      </c>
      <c r="C1003" s="315" t="b">
        <v>0</v>
      </c>
    </row>
    <row r="1004" spans="1:3" x14ac:dyDescent="0.2">
      <c r="A1004" s="315" t="s">
        <v>3059</v>
      </c>
      <c r="B1004" t="b">
        <f>IF(ISBLANK(NeoBerLab!$I$13),"",NeoBerLab!$I$13)</f>
        <v>0</v>
      </c>
      <c r="C1004" s="315" t="b">
        <v>0</v>
      </c>
    </row>
    <row r="1005" spans="1:3" x14ac:dyDescent="0.2">
      <c r="A1005" s="315" t="s">
        <v>3060</v>
      </c>
      <c r="B1005" t="b">
        <f>IF(ISBLANK(NeoBerLab!$I$14),"",NeoBerLab!$I$14)</f>
        <v>0</v>
      </c>
      <c r="C1005" s="315" t="b">
        <v>0</v>
      </c>
    </row>
    <row r="1006" spans="1:3" x14ac:dyDescent="0.2">
      <c r="A1006" s="315" t="s">
        <v>3061</v>
      </c>
      <c r="B1006" t="b">
        <f>IF(ISBLANK(NeoBerLab!$I$15),"",NeoBerLab!$I$15)</f>
        <v>0</v>
      </c>
      <c r="C1006" s="315" t="b">
        <v>0</v>
      </c>
    </row>
    <row r="1007" spans="1:3" x14ac:dyDescent="0.2">
      <c r="A1007" s="315" t="s">
        <v>3062</v>
      </c>
      <c r="B1007" t="b">
        <f>IF(ISBLANK(NeoBerLab!$I$16),"",NeoBerLab!$I$16)</f>
        <v>0</v>
      </c>
      <c r="C1007" s="315" t="b">
        <v>0</v>
      </c>
    </row>
    <row r="1008" spans="1:3" x14ac:dyDescent="0.2">
      <c r="A1008" s="315" t="s">
        <v>3063</v>
      </c>
      <c r="B1008" t="b">
        <f>IF(ISBLANK(NeoBerLab!$I$17),"",NeoBerLab!$I$17)</f>
        <v>0</v>
      </c>
      <c r="C1008" s="315" t="b">
        <v>0</v>
      </c>
    </row>
    <row r="1009" spans="1:3" x14ac:dyDescent="0.2">
      <c r="A1009" s="315" t="s">
        <v>3064</v>
      </c>
      <c r="B1009" t="b">
        <f>IF(ISBLANK(NeoBerLab!$I$18),"",NeoBerLab!$I$18)</f>
        <v>0</v>
      </c>
      <c r="C1009" s="315" t="b">
        <v>0</v>
      </c>
    </row>
    <row r="1010" spans="1:3" x14ac:dyDescent="0.2">
      <c r="A1010" s="315" t="s">
        <v>3065</v>
      </c>
      <c r="B1010" t="b">
        <f>IF(ISBLANK(NeoBerLab!$I$19),"",NeoBerLab!$I$19)</f>
        <v>0</v>
      </c>
      <c r="C1010" s="315" t="b">
        <v>0</v>
      </c>
    </row>
    <row r="1011" spans="1:3" x14ac:dyDescent="0.2">
      <c r="A1011" s="315" t="s">
        <v>3066</v>
      </c>
      <c r="B1011" t="b">
        <f>IF(ISBLANK(NeoBerLab!$I$20),"",NeoBerLab!$I$20)</f>
        <v>0</v>
      </c>
      <c r="C1011" s="315" t="b">
        <v>0</v>
      </c>
    </row>
    <row r="1012" spans="1:3" x14ac:dyDescent="0.2">
      <c r="A1012" s="315" t="s">
        <v>3067</v>
      </c>
      <c r="B1012" t="b">
        <f>IF(ISBLANK(NeoBerLab!$I$21),"",NeoBerLab!$I$21)</f>
        <v>0</v>
      </c>
      <c r="C1012" s="315" t="b">
        <v>0</v>
      </c>
    </row>
    <row r="1013" spans="1:3" x14ac:dyDescent="0.2">
      <c r="A1013" s="315" t="s">
        <v>3068</v>
      </c>
      <c r="B1013" t="b">
        <f>IF(ISBLANK(NeoBerLab!$I$22),"",NeoBerLab!$I$22)</f>
        <v>0</v>
      </c>
      <c r="C1013" s="315" t="b">
        <v>0</v>
      </c>
    </row>
    <row r="1014" spans="1:3" x14ac:dyDescent="0.2">
      <c r="A1014" s="315" t="s">
        <v>3069</v>
      </c>
      <c r="B1014" t="b">
        <f>IF(ISBLANK(NeoBerLab!$I$23),"",NeoBerLab!$I$23)</f>
        <v>0</v>
      </c>
      <c r="C1014" s="315" t="b">
        <v>0</v>
      </c>
    </row>
    <row r="1015" spans="1:3" x14ac:dyDescent="0.2">
      <c r="A1015" s="315" t="s">
        <v>3070</v>
      </c>
      <c r="B1015" t="b">
        <f>IF(ISBLANK(NeoBerLab!$I$24),"",NeoBerLab!$I$24)</f>
        <v>0</v>
      </c>
      <c r="C1015" s="315" t="b">
        <v>0</v>
      </c>
    </row>
    <row r="1016" spans="1:3" x14ac:dyDescent="0.2">
      <c r="A1016" s="315" t="s">
        <v>3071</v>
      </c>
      <c r="B1016" t="b">
        <f>IF(ISBLANK(NeoBerLab!$I$25),"",NeoBerLab!$I$25)</f>
        <v>0</v>
      </c>
      <c r="C1016" s="315" t="b">
        <v>0</v>
      </c>
    </row>
    <row r="1017" spans="1:3" x14ac:dyDescent="0.2">
      <c r="A1017" s="315" t="s">
        <v>3072</v>
      </c>
      <c r="B1017" t="b">
        <f>IF(ISBLANK(NeoBerLab!$I$26),"",NeoBerLab!$I$26)</f>
        <v>0</v>
      </c>
      <c r="C1017" s="315" t="b">
        <v>0</v>
      </c>
    </row>
    <row r="1018" spans="1:3" x14ac:dyDescent="0.2">
      <c r="A1018" s="315" t="s">
        <v>3073</v>
      </c>
      <c r="B1018" t="b">
        <f>IF(ISBLANK(NeoBerLab!$I$27),"",NeoBerLab!$I$27)</f>
        <v>0</v>
      </c>
      <c r="C1018" s="315" t="b">
        <v>0</v>
      </c>
    </row>
    <row r="1019" spans="1:3" x14ac:dyDescent="0.2">
      <c r="A1019" s="315" t="s">
        <v>3074</v>
      </c>
      <c r="B1019" t="b">
        <f>IF(ISBLANK(NeoBerLab!$I$28),"",NeoBerLab!$I$28)</f>
        <v>0</v>
      </c>
      <c r="C1019" s="315" t="b">
        <v>0</v>
      </c>
    </row>
    <row r="1020" spans="1:3" x14ac:dyDescent="0.2">
      <c r="A1020" s="315" t="s">
        <v>3075</v>
      </c>
      <c r="B1020" t="b">
        <f>IF(ISBLANK(NeoBerLab!$I$29),"",NeoBerLab!$I$29)</f>
        <v>0</v>
      </c>
      <c r="C1020" s="315" t="b">
        <v>0</v>
      </c>
    </row>
    <row r="1021" spans="1:3" x14ac:dyDescent="0.2">
      <c r="A1021" s="315" t="s">
        <v>3076</v>
      </c>
      <c r="B1021" t="b">
        <f>IF(ISBLANK(NeoBerLab!$I$30),"",NeoBerLab!$I$30)</f>
        <v>0</v>
      </c>
      <c r="C1021" s="315" t="b">
        <v>0</v>
      </c>
    </row>
    <row r="1022" spans="1:3" x14ac:dyDescent="0.2">
      <c r="A1022" s="315" t="s">
        <v>3077</v>
      </c>
      <c r="B1022" t="b">
        <f>IF(ISBLANK(NeoBerLab!$I$31),"",NeoBerLab!$I$31)</f>
        <v>0</v>
      </c>
      <c r="C1022" s="315" t="b">
        <v>0</v>
      </c>
    </row>
    <row r="1023" spans="1:3" x14ac:dyDescent="0.2">
      <c r="A1023" s="315" t="s">
        <v>3078</v>
      </c>
      <c r="B1023" t="b">
        <f>IF(ISBLANK(NeoBerLab!$I$32),"",NeoBerLab!$I$32)</f>
        <v>0</v>
      </c>
      <c r="C1023" s="315" t="b">
        <v>0</v>
      </c>
    </row>
    <row r="1024" spans="1:3" x14ac:dyDescent="0.2">
      <c r="A1024" s="315" t="s">
        <v>3079</v>
      </c>
      <c r="B1024" t="b">
        <f>IF(ISBLANK(NeoBerLab!$I$33),"",NeoBerLab!$I$33)</f>
        <v>0</v>
      </c>
      <c r="C1024" s="315" t="b">
        <v>0</v>
      </c>
    </row>
    <row r="1025" spans="1:3" x14ac:dyDescent="0.2">
      <c r="A1025" s="315" t="s">
        <v>3080</v>
      </c>
      <c r="B1025" t="b">
        <f>IF(ISBLANK(NeoBerLab!$I$34),"",NeoBerLab!$I$34)</f>
        <v>0</v>
      </c>
      <c r="C1025" s="315" t="b">
        <v>0</v>
      </c>
    </row>
    <row r="1026" spans="1:3" x14ac:dyDescent="0.2">
      <c r="A1026" s="315" t="s">
        <v>3081</v>
      </c>
      <c r="B1026" t="b">
        <f>IF(ISBLANK(NeoBerLab!$K$4),"",NeoBerLab!$K$4)</f>
        <v>0</v>
      </c>
      <c r="C1026" s="315" t="b">
        <v>0</v>
      </c>
    </row>
    <row r="1027" spans="1:3" x14ac:dyDescent="0.2">
      <c r="A1027" s="315" t="s">
        <v>3082</v>
      </c>
      <c r="B1027" t="b">
        <f>IF(ISBLANK(NeoBerLab!$K$5),"",NeoBerLab!$K$5)</f>
        <v>0</v>
      </c>
      <c r="C1027" s="315" t="b">
        <v>0</v>
      </c>
    </row>
    <row r="1028" spans="1:3" x14ac:dyDescent="0.2">
      <c r="A1028" s="315" t="s">
        <v>3083</v>
      </c>
      <c r="B1028" t="b">
        <f>IF(ISBLANK(NeoBerLab!$K$6),"",NeoBerLab!$K$6)</f>
        <v>0</v>
      </c>
      <c r="C1028" s="315" t="b">
        <v>0</v>
      </c>
    </row>
    <row r="1029" spans="1:3" x14ac:dyDescent="0.2">
      <c r="A1029" s="315" t="s">
        <v>3084</v>
      </c>
      <c r="B1029" t="b">
        <f>IF(ISBLANK(NeoBerLab!$K$7),"",NeoBerLab!$K$7)</f>
        <v>0</v>
      </c>
      <c r="C1029" s="315" t="b">
        <v>0</v>
      </c>
    </row>
    <row r="1030" spans="1:3" x14ac:dyDescent="0.2">
      <c r="A1030" s="315" t="s">
        <v>3085</v>
      </c>
      <c r="B1030" t="b">
        <f>IF(ISBLANK(NeoBerLab!$K$8),"",NeoBerLab!$K$8)</f>
        <v>0</v>
      </c>
      <c r="C1030" s="315" t="b">
        <v>0</v>
      </c>
    </row>
    <row r="1031" spans="1:3" x14ac:dyDescent="0.2">
      <c r="A1031" s="315" t="s">
        <v>3086</v>
      </c>
      <c r="B1031" t="b">
        <f>IF(ISBLANK(NeoBerLab!$K$9),"",NeoBerLab!$K$9)</f>
        <v>0</v>
      </c>
      <c r="C1031" s="315" t="b">
        <v>0</v>
      </c>
    </row>
    <row r="1032" spans="1:3" x14ac:dyDescent="0.2">
      <c r="A1032" s="315" t="s">
        <v>3087</v>
      </c>
      <c r="B1032" t="b">
        <f>IF(ISBLANK(NeoBerLab!$K$10),"",NeoBerLab!$K$10)</f>
        <v>0</v>
      </c>
      <c r="C1032" s="315" t="b">
        <v>0</v>
      </c>
    </row>
    <row r="1033" spans="1:3" x14ac:dyDescent="0.2">
      <c r="A1033" s="315" t="s">
        <v>3088</v>
      </c>
      <c r="B1033" t="b">
        <f>IF(ISBLANK(NeoBerLab!$K$11),"",NeoBerLab!$K$11)</f>
        <v>0</v>
      </c>
      <c r="C1033" s="315" t="b">
        <v>0</v>
      </c>
    </row>
    <row r="1034" spans="1:3" x14ac:dyDescent="0.2">
      <c r="A1034" s="315" t="s">
        <v>3089</v>
      </c>
      <c r="B1034" t="b">
        <f>IF(ISBLANK(NeoBerLab!$K$12),"",NeoBerLab!$K$12)</f>
        <v>0</v>
      </c>
      <c r="C1034" s="315" t="b">
        <v>0</v>
      </c>
    </row>
    <row r="1035" spans="1:3" x14ac:dyDescent="0.2">
      <c r="A1035" s="315" t="s">
        <v>3090</v>
      </c>
      <c r="B1035" t="b">
        <f>IF(ISBLANK(NeoBerLab!$K$13),"",NeoBerLab!$K$13)</f>
        <v>0</v>
      </c>
      <c r="C1035" s="315" t="b">
        <v>0</v>
      </c>
    </row>
    <row r="1036" spans="1:3" x14ac:dyDescent="0.2">
      <c r="A1036" s="315" t="s">
        <v>3091</v>
      </c>
      <c r="B1036" t="b">
        <f>IF(ISBLANK(NeoBerLab!$K$14),"",NeoBerLab!$K$14)</f>
        <v>0</v>
      </c>
      <c r="C1036" s="315" t="b">
        <v>0</v>
      </c>
    </row>
    <row r="1037" spans="1:3" x14ac:dyDescent="0.2">
      <c r="A1037" s="315" t="s">
        <v>3092</v>
      </c>
      <c r="B1037" t="b">
        <f>IF(ISBLANK(NeoBerLab!$K$15),"",NeoBerLab!$K$15)</f>
        <v>0</v>
      </c>
      <c r="C1037" s="315" t="b">
        <v>0</v>
      </c>
    </row>
    <row r="1038" spans="1:3" x14ac:dyDescent="0.2">
      <c r="A1038" s="315" t="s">
        <v>3093</v>
      </c>
      <c r="B1038" t="b">
        <f>IF(ISBLANK(NeoBerLab!$K$16),"",NeoBerLab!$K$16)</f>
        <v>0</v>
      </c>
      <c r="C1038" s="315" t="b">
        <v>0</v>
      </c>
    </row>
    <row r="1039" spans="1:3" x14ac:dyDescent="0.2">
      <c r="A1039" s="315" t="s">
        <v>3094</v>
      </c>
      <c r="B1039" s="315" t="b">
        <f>IF(ISBLANK(NeoBerLab!$K$17),"",NeoBerLab!$K$17)</f>
        <v>0</v>
      </c>
      <c r="C1039" s="315" t="b">
        <v>0</v>
      </c>
    </row>
    <row r="1040" spans="1:3" x14ac:dyDescent="0.2">
      <c r="A1040" s="315" t="s">
        <v>3095</v>
      </c>
      <c r="B1040" t="b">
        <f>IF(ISBLANK(NeoBerLab!$K$18),"",NeoBerLab!$K$18)</f>
        <v>0</v>
      </c>
      <c r="C1040" s="315" t="b">
        <v>0</v>
      </c>
    </row>
    <row r="1041" spans="1:3" x14ac:dyDescent="0.2">
      <c r="A1041" s="315" t="s">
        <v>3096</v>
      </c>
      <c r="B1041" t="b">
        <f>IF(ISBLANK(NeoBerLab!$K$19),"",NeoBerLab!$K$19)</f>
        <v>0</v>
      </c>
      <c r="C1041" s="315" t="b">
        <v>0</v>
      </c>
    </row>
    <row r="1042" spans="1:3" x14ac:dyDescent="0.2">
      <c r="A1042" s="315" t="s">
        <v>3097</v>
      </c>
      <c r="B1042" t="b">
        <f>IF(ISBLANK(NeoBerLab!$K$20),"",NeoBerLab!$K$20)</f>
        <v>0</v>
      </c>
      <c r="C1042" s="315" t="b">
        <v>0</v>
      </c>
    </row>
    <row r="1043" spans="1:3" x14ac:dyDescent="0.2">
      <c r="A1043" s="315" t="s">
        <v>3098</v>
      </c>
      <c r="B1043" t="b">
        <f>IF(ISBLANK(NeoBerLab!$K$21),"",NeoBerLab!$K$21)</f>
        <v>0</v>
      </c>
      <c r="C1043" s="315" t="b">
        <v>0</v>
      </c>
    </row>
    <row r="1044" spans="1:3" x14ac:dyDescent="0.2">
      <c r="A1044" s="315" t="s">
        <v>3099</v>
      </c>
      <c r="B1044" t="b">
        <f>IF(ISBLANK(NeoBerLab!$K$22),"",NeoBerLab!$K$22)</f>
        <v>0</v>
      </c>
      <c r="C1044" s="315" t="b">
        <v>0</v>
      </c>
    </row>
    <row r="1045" spans="1:3" x14ac:dyDescent="0.2">
      <c r="A1045" s="315" t="s">
        <v>3100</v>
      </c>
      <c r="B1045" t="b">
        <f>IF(ISBLANK(NeoBerLab!$K$23),"",NeoBerLab!$K$23)</f>
        <v>0</v>
      </c>
      <c r="C1045" s="315" t="b">
        <v>0</v>
      </c>
    </row>
    <row r="1046" spans="1:3" x14ac:dyDescent="0.2">
      <c r="A1046" s="315" t="s">
        <v>3101</v>
      </c>
      <c r="B1046" t="b">
        <f>IF(ISBLANK(NeoBerLab!$K$24),"",NeoBerLab!$K$24)</f>
        <v>0</v>
      </c>
      <c r="C1046" s="315" t="b">
        <v>0</v>
      </c>
    </row>
    <row r="1047" spans="1:3" x14ac:dyDescent="0.2">
      <c r="A1047" s="315" t="s">
        <v>3102</v>
      </c>
      <c r="B1047" t="b">
        <f>IF(ISBLANK(NeoBerLab!$K$25),"",NeoBerLab!$K$25)</f>
        <v>0</v>
      </c>
      <c r="C1047" s="315" t="b">
        <v>0</v>
      </c>
    </row>
    <row r="1048" spans="1:3" x14ac:dyDescent="0.2">
      <c r="A1048" s="315" t="s">
        <v>3103</v>
      </c>
      <c r="B1048" t="b">
        <f>IF(ISBLANK(NeoBerLab!$K$26),"",NeoBerLab!$K$26)</f>
        <v>0</v>
      </c>
      <c r="C1048" s="315" t="b">
        <v>0</v>
      </c>
    </row>
    <row r="1049" spans="1:3" x14ac:dyDescent="0.2">
      <c r="A1049" s="315" t="s">
        <v>3104</v>
      </c>
      <c r="B1049" t="b">
        <f>IF(ISBLANK(NeoBerLab!$K$27),"",NeoBerLab!$K$27)</f>
        <v>0</v>
      </c>
      <c r="C1049" s="315" t="b">
        <v>0</v>
      </c>
    </row>
    <row r="1050" spans="1:3" x14ac:dyDescent="0.2">
      <c r="A1050" s="315" t="s">
        <v>3105</v>
      </c>
      <c r="B1050" t="b">
        <f>IF(ISBLANK(NeoBerLab!$K$28),"",NeoBerLab!$K$28)</f>
        <v>0</v>
      </c>
      <c r="C1050" s="315" t="b">
        <v>0</v>
      </c>
    </row>
    <row r="1051" spans="1:3" x14ac:dyDescent="0.2">
      <c r="A1051" s="315" t="s">
        <v>3106</v>
      </c>
      <c r="B1051" s="315" t="b">
        <f>IF(ISBLANK(NeoBerLab!$K$29),"",NeoBerLab!$K$29)</f>
        <v>0</v>
      </c>
      <c r="C1051" s="315" t="b">
        <v>0</v>
      </c>
    </row>
    <row r="1052" spans="1:3" x14ac:dyDescent="0.2">
      <c r="A1052" s="315" t="s">
        <v>3107</v>
      </c>
      <c r="B1052" t="b">
        <f>IF(ISBLANK(NeoBerLab!$K$30),"",NeoBerLab!$K$30)</f>
        <v>0</v>
      </c>
      <c r="C1052" s="315" t="b">
        <v>0</v>
      </c>
    </row>
    <row r="1053" spans="1:3" x14ac:dyDescent="0.2">
      <c r="A1053" s="315" t="s">
        <v>3108</v>
      </c>
      <c r="B1053" t="b">
        <f>IF(ISBLANK(NeoBerLab!$K$31),"",NeoBerLab!$K$31)</f>
        <v>0</v>
      </c>
      <c r="C1053" s="315" t="b">
        <v>0</v>
      </c>
    </row>
    <row r="1054" spans="1:3" x14ac:dyDescent="0.2">
      <c r="A1054" s="315" t="s">
        <v>3109</v>
      </c>
      <c r="B1054" t="b">
        <f>IF(ISBLANK(NeoBerLab!$K$32),"",NeoBerLab!$K$32)</f>
        <v>0</v>
      </c>
      <c r="C1054" s="315" t="b">
        <v>0</v>
      </c>
    </row>
    <row r="1055" spans="1:3" x14ac:dyDescent="0.2">
      <c r="A1055" s="315" t="s">
        <v>3110</v>
      </c>
      <c r="B1055" t="b">
        <f>IF(ISBLANK(NeoBerLab!$K$33),"",NeoBerLab!$K$33)</f>
        <v>0</v>
      </c>
      <c r="C1055" s="315" t="b">
        <v>0</v>
      </c>
    </row>
    <row r="1056" spans="1:3" x14ac:dyDescent="0.2">
      <c r="A1056" s="315" t="s">
        <v>3111</v>
      </c>
      <c r="B1056" t="b">
        <f>IF(ISBLANK(NeoBerLab!$K$34),"",NeoBerLab!$K$34)</f>
        <v>0</v>
      </c>
      <c r="C1056" s="315" t="b">
        <v>0</v>
      </c>
    </row>
    <row r="1057" spans="1:3" x14ac:dyDescent="0.2">
      <c r="A1057" s="315" t="s">
        <v>3112</v>
      </c>
      <c r="B1057" t="b">
        <f>IF(ISBLANK(NeoBerLab!$O$4),"",NeoBerLab!$O$4)</f>
        <v>0</v>
      </c>
      <c r="C1057" s="315" t="b">
        <v>0</v>
      </c>
    </row>
    <row r="1058" spans="1:3" x14ac:dyDescent="0.2">
      <c r="A1058" s="315" t="s">
        <v>3113</v>
      </c>
      <c r="B1058" t="b">
        <f>IF(ISBLANK(NeoBerLab!$O$5),"",NeoBerLab!$O$5)</f>
        <v>0</v>
      </c>
      <c r="C1058" s="315" t="b">
        <v>0</v>
      </c>
    </row>
    <row r="1059" spans="1:3" x14ac:dyDescent="0.2">
      <c r="A1059" s="315" t="s">
        <v>3114</v>
      </c>
      <c r="B1059" t="b">
        <f>IF(ISBLANK(NeoBerLab!$O$6),"",NeoBerLab!$O$6)</f>
        <v>0</v>
      </c>
      <c r="C1059" s="315" t="b">
        <v>0</v>
      </c>
    </row>
    <row r="1060" spans="1:3" x14ac:dyDescent="0.2">
      <c r="A1060" s="315" t="s">
        <v>3115</v>
      </c>
      <c r="B1060" t="b">
        <f>IF(ISBLANK(NeoBerLab!$O$7),"",NeoBerLab!$O$7)</f>
        <v>0</v>
      </c>
      <c r="C1060" s="315" t="b">
        <v>0</v>
      </c>
    </row>
    <row r="1061" spans="1:3" x14ac:dyDescent="0.2">
      <c r="A1061" s="315" t="s">
        <v>3116</v>
      </c>
      <c r="B1061" t="b">
        <f>IF(ISBLANK(NeoBerLab!$O$8),"",NeoBerLab!$O$8)</f>
        <v>0</v>
      </c>
      <c r="C1061" s="315" t="b">
        <v>0</v>
      </c>
    </row>
    <row r="1062" spans="1:3" x14ac:dyDescent="0.2">
      <c r="A1062" s="315" t="s">
        <v>3117</v>
      </c>
      <c r="B1062" t="b">
        <f>IF(ISBLANK(NeoBerLab!$O$9),"",NeoBerLab!$O$9)</f>
        <v>0</v>
      </c>
      <c r="C1062" s="315" t="b">
        <v>0</v>
      </c>
    </row>
    <row r="1063" spans="1:3" x14ac:dyDescent="0.2">
      <c r="A1063" s="315" t="s">
        <v>3118</v>
      </c>
      <c r="B1063" t="b">
        <f>IF(ISBLANK(NeoBerLab!$O$10),"",NeoBerLab!$O$10)</f>
        <v>0</v>
      </c>
      <c r="C1063" s="315" t="b">
        <v>0</v>
      </c>
    </row>
    <row r="1064" spans="1:3" x14ac:dyDescent="0.2">
      <c r="A1064" s="315" t="s">
        <v>3119</v>
      </c>
      <c r="B1064" t="b">
        <f>IF(ISBLANK(NeoBerLab!$O$11),"",NeoBerLab!$O$11)</f>
        <v>0</v>
      </c>
      <c r="C1064" s="315" t="b">
        <v>0</v>
      </c>
    </row>
    <row r="1065" spans="1:3" x14ac:dyDescent="0.2">
      <c r="A1065" s="315" t="s">
        <v>3120</v>
      </c>
      <c r="B1065" t="b">
        <f>IF(ISBLANK(NeoBerLab!$O$12),"",NeoBerLab!$O$12)</f>
        <v>0</v>
      </c>
      <c r="C1065" s="315" t="b">
        <v>0</v>
      </c>
    </row>
    <row r="1066" spans="1:3" x14ac:dyDescent="0.2">
      <c r="A1066" s="315" t="s">
        <v>3121</v>
      </c>
      <c r="B1066" t="b">
        <f>IF(ISBLANK(NeoBerLab!$O$13),"",NeoBerLab!$O$13)</f>
        <v>0</v>
      </c>
      <c r="C1066" s="315" t="b">
        <v>0</v>
      </c>
    </row>
    <row r="1067" spans="1:3" x14ac:dyDescent="0.2">
      <c r="A1067" s="315" t="s">
        <v>3122</v>
      </c>
      <c r="B1067" t="b">
        <f>IF(ISBLANK(NeoBerLab!$O$14),"",NeoBerLab!$O$14)</f>
        <v>0</v>
      </c>
      <c r="C1067" s="315" t="b">
        <v>0</v>
      </c>
    </row>
    <row r="1068" spans="1:3" x14ac:dyDescent="0.2">
      <c r="A1068" s="315" t="s">
        <v>3123</v>
      </c>
      <c r="B1068" t="b">
        <f>IF(ISBLANK(NeoBerLab!$O$15),"",NeoBerLab!$O$15)</f>
        <v>0</v>
      </c>
      <c r="C1068" s="315" t="b">
        <v>0</v>
      </c>
    </row>
    <row r="1069" spans="1:3" x14ac:dyDescent="0.2">
      <c r="A1069" s="315" t="s">
        <v>3124</v>
      </c>
      <c r="B1069" t="b">
        <f>IF(ISBLANK(NeoBerLab!$O$16),"",NeoBerLab!$O$16)</f>
        <v>0</v>
      </c>
      <c r="C1069" s="315" t="b">
        <v>0</v>
      </c>
    </row>
    <row r="1070" spans="1:3" x14ac:dyDescent="0.2">
      <c r="A1070" s="315" t="s">
        <v>3125</v>
      </c>
      <c r="B1070" t="b">
        <f>IF(ISBLANK(NeoBerLab!$O$17),"",NeoBerLab!$O$17)</f>
        <v>0</v>
      </c>
      <c r="C1070" s="315" t="b">
        <v>0</v>
      </c>
    </row>
    <row r="1071" spans="1:3" x14ac:dyDescent="0.2">
      <c r="A1071" s="315" t="s">
        <v>3126</v>
      </c>
      <c r="B1071" t="b">
        <f>IF(ISBLANK(NeoBerLab!$O$18),"",NeoBerLab!$O$18)</f>
        <v>0</v>
      </c>
      <c r="C1071" s="315" t="b">
        <v>0</v>
      </c>
    </row>
    <row r="1072" spans="1:3" x14ac:dyDescent="0.2">
      <c r="A1072" s="315" t="s">
        <v>3127</v>
      </c>
      <c r="B1072" t="b">
        <f>IF(ISBLANK(NeoBerLab!$O$19),"",NeoBerLab!$O$19)</f>
        <v>0</v>
      </c>
      <c r="C1072" s="315" t="b">
        <v>0</v>
      </c>
    </row>
    <row r="1073" spans="1:3" x14ac:dyDescent="0.2">
      <c r="A1073" s="315" t="s">
        <v>3128</v>
      </c>
      <c r="B1073" t="b">
        <f>IF(ISBLANK(NeoBerLab!$O$20),"",NeoBerLab!$O$20)</f>
        <v>0</v>
      </c>
      <c r="C1073" s="315" t="b">
        <v>0</v>
      </c>
    </row>
    <row r="1074" spans="1:3" x14ac:dyDescent="0.2">
      <c r="A1074" s="315" t="s">
        <v>3129</v>
      </c>
      <c r="B1074" t="b">
        <f>IF(ISBLANK(NeoBerLab!$O$21),"",NeoBerLab!$O$21)</f>
        <v>0</v>
      </c>
      <c r="C1074" s="315" t="b">
        <v>0</v>
      </c>
    </row>
    <row r="1075" spans="1:3" x14ac:dyDescent="0.2">
      <c r="A1075" s="315" t="s">
        <v>3130</v>
      </c>
      <c r="B1075" t="b">
        <f>IF(ISBLANK(NeoBerLab!$O$22),"",NeoBerLab!$O$22)</f>
        <v>0</v>
      </c>
      <c r="C1075" s="315" t="b">
        <v>0</v>
      </c>
    </row>
    <row r="1076" spans="1:3" x14ac:dyDescent="0.2">
      <c r="A1076" s="315" t="s">
        <v>3131</v>
      </c>
      <c r="B1076" t="b">
        <f>IF(ISBLANK(NeoBerLab!$O$23),"",NeoBerLab!$O$23)</f>
        <v>0</v>
      </c>
      <c r="C1076" s="315" t="b">
        <v>0</v>
      </c>
    </row>
    <row r="1077" spans="1:3" x14ac:dyDescent="0.2">
      <c r="A1077" s="315" t="s">
        <v>3132</v>
      </c>
      <c r="B1077" t="b">
        <f>IF(ISBLANK(NeoBerLab!$O$24),"",NeoBerLab!$O$24)</f>
        <v>0</v>
      </c>
      <c r="C1077" s="315" t="b">
        <v>0</v>
      </c>
    </row>
    <row r="1078" spans="1:3" x14ac:dyDescent="0.2">
      <c r="A1078" s="315" t="s">
        <v>3133</v>
      </c>
      <c r="B1078" t="b">
        <f>IF(ISBLANK(NeoBerLab!$O$25),"",NeoBerLab!$O$25)</f>
        <v>0</v>
      </c>
      <c r="C1078" s="315" t="b">
        <v>0</v>
      </c>
    </row>
    <row r="1079" spans="1:3" x14ac:dyDescent="0.2">
      <c r="A1079" s="315" t="s">
        <v>3134</v>
      </c>
      <c r="B1079" t="b">
        <f>IF(ISBLANK(NeoBerLab!$O$26),"",NeoBerLab!$O$26)</f>
        <v>0</v>
      </c>
      <c r="C1079" s="315" t="b">
        <v>0</v>
      </c>
    </row>
    <row r="1080" spans="1:3" x14ac:dyDescent="0.2">
      <c r="A1080" s="315" t="s">
        <v>3135</v>
      </c>
      <c r="B1080" t="b">
        <f>IF(ISBLANK(NeoBerLab!$O$27),"",NeoBerLab!$O$27)</f>
        <v>0</v>
      </c>
      <c r="C1080" s="315" t="b">
        <v>0</v>
      </c>
    </row>
    <row r="1081" spans="1:3" x14ac:dyDescent="0.2">
      <c r="A1081" s="315" t="s">
        <v>3136</v>
      </c>
      <c r="B1081" t="b">
        <f>IF(ISBLANK(NeoBerLab!$O$28),"",NeoBerLab!$O$28)</f>
        <v>0</v>
      </c>
      <c r="C1081" s="315" t="b">
        <v>0</v>
      </c>
    </row>
    <row r="1082" spans="1:3" x14ac:dyDescent="0.2">
      <c r="A1082" s="315" t="s">
        <v>3137</v>
      </c>
      <c r="B1082" t="b">
        <f>IF(ISBLANK(NeoBerLab!$O$29),"",NeoBerLab!$O$29)</f>
        <v>0</v>
      </c>
      <c r="C1082" s="315" t="b">
        <v>0</v>
      </c>
    </row>
    <row r="1083" spans="1:3" x14ac:dyDescent="0.2">
      <c r="A1083" s="315" t="s">
        <v>3138</v>
      </c>
      <c r="B1083" t="b">
        <f>IF(ISBLANK(NeoBerLab!$O$30),"",NeoBerLab!$O$30)</f>
        <v>0</v>
      </c>
      <c r="C1083" s="315" t="b">
        <v>0</v>
      </c>
    </row>
    <row r="1084" spans="1:3" x14ac:dyDescent="0.2">
      <c r="A1084" s="315" t="s">
        <v>3139</v>
      </c>
      <c r="B1084" t="b">
        <f>IF(ISBLANK(NeoBerLab!$O$31),"",NeoBerLab!$O$31)</f>
        <v>0</v>
      </c>
      <c r="C1084" s="315" t="b">
        <v>0</v>
      </c>
    </row>
    <row r="1085" spans="1:3" x14ac:dyDescent="0.2">
      <c r="A1085" s="315" t="s">
        <v>3140</v>
      </c>
      <c r="B1085" t="b">
        <f>IF(ISBLANK(NeoBerLab!$O$32),"",NeoBerLab!$O$32)</f>
        <v>0</v>
      </c>
      <c r="C1085" s="315" t="b">
        <v>0</v>
      </c>
    </row>
    <row r="1086" spans="1:3" x14ac:dyDescent="0.2">
      <c r="A1086" s="315" t="s">
        <v>3141</v>
      </c>
      <c r="B1086" t="b">
        <f>IF(ISBLANK(NeoBerLab!$O$33),"",NeoBerLab!$O$33)</f>
        <v>0</v>
      </c>
      <c r="C1086" s="315" t="b">
        <v>0</v>
      </c>
    </row>
    <row r="1087" spans="1:3" x14ac:dyDescent="0.2">
      <c r="A1087" s="315" t="s">
        <v>3142</v>
      </c>
      <c r="B1087" t="b">
        <f>IF(ISBLANK(NeoBerLab!$O$34),"",NeoBerLab!$O$34)</f>
        <v>0</v>
      </c>
      <c r="C1087" s="315" t="b">
        <v>0</v>
      </c>
    </row>
    <row r="1088" spans="1:3" x14ac:dyDescent="0.2">
      <c r="A1088" s="315" t="s">
        <v>3143</v>
      </c>
      <c r="B1088" t="b">
        <f>IF(ISBLANK(NeoBerLab!$Q$4),"",NeoBerLab!$Q$4)</f>
        <v>0</v>
      </c>
      <c r="C1088" s="315" t="b">
        <v>0</v>
      </c>
    </row>
    <row r="1089" spans="1:3" x14ac:dyDescent="0.2">
      <c r="A1089" s="315" t="s">
        <v>3144</v>
      </c>
      <c r="B1089" t="b">
        <f>IF(ISBLANK(NeoBerLab!$Q$5),"",NeoBerLab!$Q$5)</f>
        <v>0</v>
      </c>
      <c r="C1089" s="315" t="b">
        <v>0</v>
      </c>
    </row>
    <row r="1090" spans="1:3" x14ac:dyDescent="0.2">
      <c r="A1090" s="315" t="s">
        <v>3145</v>
      </c>
      <c r="B1090" t="b">
        <f>IF(ISBLANK(NeoBerLab!$Q$6),"",NeoBerLab!$Q$6)</f>
        <v>0</v>
      </c>
      <c r="C1090" s="315" t="b">
        <v>0</v>
      </c>
    </row>
    <row r="1091" spans="1:3" x14ac:dyDescent="0.2">
      <c r="A1091" s="315" t="s">
        <v>3146</v>
      </c>
      <c r="B1091" t="b">
        <f>IF(ISBLANK(NeoBerLab!$Q$7),"",NeoBerLab!$Q$7)</f>
        <v>0</v>
      </c>
      <c r="C1091" s="315" t="b">
        <v>0</v>
      </c>
    </row>
    <row r="1092" spans="1:3" x14ac:dyDescent="0.2">
      <c r="A1092" s="315" t="s">
        <v>3147</v>
      </c>
      <c r="B1092" t="b">
        <f>IF(ISBLANK(NeoBerLab!$Q$8),"",NeoBerLab!$Q$8)</f>
        <v>0</v>
      </c>
      <c r="C1092" s="315" t="b">
        <v>0</v>
      </c>
    </row>
    <row r="1093" spans="1:3" x14ac:dyDescent="0.2">
      <c r="A1093" s="315" t="s">
        <v>3148</v>
      </c>
      <c r="B1093" t="b">
        <f>IF(ISBLANK(NeoBerLab!$Q$9),"",NeoBerLab!$Q$9)</f>
        <v>0</v>
      </c>
      <c r="C1093" s="315" t="b">
        <v>0</v>
      </c>
    </row>
    <row r="1094" spans="1:3" x14ac:dyDescent="0.2">
      <c r="A1094" s="315" t="s">
        <v>3149</v>
      </c>
      <c r="B1094" t="b">
        <f>IF(ISBLANK(NeoBerLab!$Q$10),"",NeoBerLab!$Q$10)</f>
        <v>0</v>
      </c>
      <c r="C1094" s="315" t="b">
        <v>0</v>
      </c>
    </row>
    <row r="1095" spans="1:3" x14ac:dyDescent="0.2">
      <c r="A1095" s="315" t="s">
        <v>3150</v>
      </c>
      <c r="B1095" t="b">
        <f>IF(ISBLANK(NeoBerLab!$Q$11),"",NeoBerLab!$Q$11)</f>
        <v>0</v>
      </c>
      <c r="C1095" s="315" t="b">
        <v>0</v>
      </c>
    </row>
    <row r="1096" spans="1:3" x14ac:dyDescent="0.2">
      <c r="A1096" s="315" t="s">
        <v>3151</v>
      </c>
      <c r="B1096" t="b">
        <f>IF(ISBLANK(NeoBerLab!$Q$12),"",NeoBerLab!$Q$12)</f>
        <v>0</v>
      </c>
      <c r="C1096" s="315" t="b">
        <v>0</v>
      </c>
    </row>
    <row r="1097" spans="1:3" x14ac:dyDescent="0.2">
      <c r="A1097" s="315" t="s">
        <v>3152</v>
      </c>
      <c r="B1097" t="b">
        <f>IF(ISBLANK(NeoBerLab!$Q$13),"",NeoBerLab!$Q$13)</f>
        <v>0</v>
      </c>
      <c r="C1097" s="315" t="b">
        <v>0</v>
      </c>
    </row>
    <row r="1098" spans="1:3" x14ac:dyDescent="0.2">
      <c r="A1098" s="315" t="s">
        <v>3153</v>
      </c>
      <c r="B1098" t="b">
        <f>IF(ISBLANK(NeoBerLab!$Q$14),"",NeoBerLab!$Q$14)</f>
        <v>0</v>
      </c>
      <c r="C1098" s="315" t="b">
        <v>0</v>
      </c>
    </row>
    <row r="1099" spans="1:3" x14ac:dyDescent="0.2">
      <c r="A1099" s="315" t="s">
        <v>3154</v>
      </c>
      <c r="B1099" t="b">
        <f>IF(ISBLANK(NeoBerLab!$Q$15),"",NeoBerLab!$Q$15)</f>
        <v>0</v>
      </c>
      <c r="C1099" s="315" t="b">
        <v>0</v>
      </c>
    </row>
    <row r="1100" spans="1:3" x14ac:dyDescent="0.2">
      <c r="A1100" s="315" t="s">
        <v>3155</v>
      </c>
      <c r="B1100" s="315" t="b">
        <f>IF(ISBLANK(NeoBerLab!$Q$16),"",NeoBerLab!$Q$16)</f>
        <v>0</v>
      </c>
      <c r="C1100" s="315" t="b">
        <v>0</v>
      </c>
    </row>
    <row r="1101" spans="1:3" x14ac:dyDescent="0.2">
      <c r="A1101" s="315" t="s">
        <v>3156</v>
      </c>
      <c r="B1101" t="b">
        <f>IF(ISBLANK(NeoBerLab!$Q$17),"",NeoBerLab!$Q$17)</f>
        <v>0</v>
      </c>
      <c r="C1101" s="315" t="b">
        <v>0</v>
      </c>
    </row>
    <row r="1102" spans="1:3" x14ac:dyDescent="0.2">
      <c r="A1102" s="315" t="s">
        <v>3157</v>
      </c>
      <c r="B1102" t="b">
        <f>IF(ISBLANK(NeoBerLab!$Q$18),"",NeoBerLab!$Q$18)</f>
        <v>0</v>
      </c>
      <c r="C1102" s="315" t="b">
        <v>0</v>
      </c>
    </row>
    <row r="1103" spans="1:3" x14ac:dyDescent="0.2">
      <c r="A1103" s="315" t="s">
        <v>3158</v>
      </c>
      <c r="B1103" t="b">
        <f>IF(ISBLANK(NeoBerLab!$Q$19),"",NeoBerLab!$Q$19)</f>
        <v>0</v>
      </c>
      <c r="C1103" s="315" t="b">
        <v>0</v>
      </c>
    </row>
    <row r="1104" spans="1:3" x14ac:dyDescent="0.2">
      <c r="A1104" s="315" t="s">
        <v>3159</v>
      </c>
      <c r="B1104" t="b">
        <f>IF(ISBLANK(NeoBerLab!$Q$20),"",NeoBerLab!$Q$20)</f>
        <v>0</v>
      </c>
      <c r="C1104" s="315" t="b">
        <v>0</v>
      </c>
    </row>
    <row r="1105" spans="1:3" x14ac:dyDescent="0.2">
      <c r="A1105" s="315" t="s">
        <v>3160</v>
      </c>
      <c r="B1105" t="b">
        <f>IF(ISBLANK(NeoBerLab!$Q$21),"",NeoBerLab!$Q$21)</f>
        <v>0</v>
      </c>
      <c r="C1105" s="315" t="b">
        <v>0</v>
      </c>
    </row>
    <row r="1106" spans="1:3" x14ac:dyDescent="0.2">
      <c r="A1106" s="315" t="s">
        <v>3161</v>
      </c>
      <c r="B1106" t="b">
        <f>IF(ISBLANK(NeoBerLab!$Q$22),"",NeoBerLab!$Q$22)</f>
        <v>0</v>
      </c>
      <c r="C1106" s="315" t="b">
        <v>0</v>
      </c>
    </row>
    <row r="1107" spans="1:3" x14ac:dyDescent="0.2">
      <c r="A1107" s="315" t="s">
        <v>3162</v>
      </c>
      <c r="B1107" t="b">
        <f>IF(ISBLANK(NeoBerLab!$Q$23),"",NeoBerLab!$Q$23)</f>
        <v>0</v>
      </c>
      <c r="C1107" s="315" t="b">
        <v>0</v>
      </c>
    </row>
    <row r="1108" spans="1:3" x14ac:dyDescent="0.2">
      <c r="A1108" s="315" t="s">
        <v>3163</v>
      </c>
      <c r="B1108" t="b">
        <f>IF(ISBLANK(NeoBerLab!$Q$24),"",NeoBerLab!$Q$24)</f>
        <v>0</v>
      </c>
      <c r="C1108" s="315" t="b">
        <v>0</v>
      </c>
    </row>
    <row r="1109" spans="1:3" x14ac:dyDescent="0.2">
      <c r="A1109" s="315" t="s">
        <v>3164</v>
      </c>
      <c r="B1109" t="b">
        <f>IF(ISBLANK(NeoBerLab!$Q$25),"",NeoBerLab!$Q$25)</f>
        <v>0</v>
      </c>
      <c r="C1109" s="315" t="b">
        <v>0</v>
      </c>
    </row>
    <row r="1110" spans="1:3" x14ac:dyDescent="0.2">
      <c r="A1110" s="315" t="s">
        <v>3165</v>
      </c>
      <c r="B1110" t="b">
        <f>IF(ISBLANK(NeoBerLab!$Q$26),"",NeoBerLab!$Q$26)</f>
        <v>0</v>
      </c>
      <c r="C1110" s="315" t="b">
        <v>0</v>
      </c>
    </row>
    <row r="1111" spans="1:3" x14ac:dyDescent="0.2">
      <c r="A1111" s="315" t="s">
        <v>3166</v>
      </c>
      <c r="B1111" t="b">
        <f>IF(ISBLANK(NeoBerLab!$Q$27),"",NeoBerLab!$Q$27)</f>
        <v>0</v>
      </c>
      <c r="C1111" s="315" t="b">
        <v>0</v>
      </c>
    </row>
    <row r="1112" spans="1:3" x14ac:dyDescent="0.2">
      <c r="A1112" s="315" t="s">
        <v>3167</v>
      </c>
      <c r="B1112" t="b">
        <f>IF(ISBLANK(NeoBerLab!$Q$28),"",NeoBerLab!$Q$28)</f>
        <v>0</v>
      </c>
      <c r="C1112" s="315" t="b">
        <v>0</v>
      </c>
    </row>
    <row r="1113" spans="1:3" x14ac:dyDescent="0.2">
      <c r="A1113" s="315" t="s">
        <v>3168</v>
      </c>
      <c r="B1113" t="b">
        <f>IF(ISBLANK(NeoBerLab!$Q$29),"",NeoBerLab!$Q$29)</f>
        <v>0</v>
      </c>
      <c r="C1113" s="315" t="b">
        <v>0</v>
      </c>
    </row>
    <row r="1114" spans="1:3" x14ac:dyDescent="0.2">
      <c r="A1114" s="315" t="s">
        <v>3169</v>
      </c>
      <c r="B1114" t="b">
        <f>IF(ISBLANK(NeoBerLab!$Q$30),"",NeoBerLab!$Q$30)</f>
        <v>0</v>
      </c>
      <c r="C1114" s="315" t="b">
        <v>0</v>
      </c>
    </row>
    <row r="1115" spans="1:3" x14ac:dyDescent="0.2">
      <c r="A1115" s="315" t="s">
        <v>3170</v>
      </c>
      <c r="B1115" t="b">
        <f>IF(ISBLANK(NeoBerLab!$Q$31),"",NeoBerLab!$Q$31)</f>
        <v>0</v>
      </c>
      <c r="C1115" s="315" t="b">
        <v>0</v>
      </c>
    </row>
    <row r="1116" spans="1:3" x14ac:dyDescent="0.2">
      <c r="A1116" s="315" t="s">
        <v>3171</v>
      </c>
      <c r="B1116" t="b">
        <f>IF(ISBLANK(NeoBerLab!$Q$32),"",NeoBerLab!$Q$32)</f>
        <v>0</v>
      </c>
      <c r="C1116" s="315" t="b">
        <v>0</v>
      </c>
    </row>
    <row r="1117" spans="1:3" x14ac:dyDescent="0.2">
      <c r="A1117" s="315" t="s">
        <v>3172</v>
      </c>
      <c r="B1117" t="b">
        <f>IF(ISBLANK(NeoBerLab!$Q$33),"",NeoBerLab!$Q$33)</f>
        <v>0</v>
      </c>
      <c r="C1117" s="315" t="b">
        <v>0</v>
      </c>
    </row>
    <row r="1118" spans="1:3" x14ac:dyDescent="0.2">
      <c r="A1118" s="315" t="s">
        <v>3173</v>
      </c>
      <c r="B1118" t="b">
        <f>IF(ISBLANK(NeoBerLab!$Q$34),"",NeoBerLab!$Q$34)</f>
        <v>0</v>
      </c>
      <c r="C1118" s="315" t="b">
        <v>0</v>
      </c>
    </row>
    <row r="1119" spans="1:3" x14ac:dyDescent="0.2">
      <c r="A1119" s="315" t="s">
        <v>3174</v>
      </c>
      <c r="B1119" t="b">
        <f>IF(ISBLANK(NeoBerLab!$S$4),"",NeoBerLab!$S$4)</f>
        <v>0</v>
      </c>
      <c r="C1119" s="315" t="b">
        <v>0</v>
      </c>
    </row>
    <row r="1120" spans="1:3" x14ac:dyDescent="0.2">
      <c r="A1120" s="315" t="s">
        <v>3175</v>
      </c>
      <c r="B1120" t="b">
        <f>IF(ISBLANK(NeoBerLab!$S$5),"",NeoBerLab!$S$5)</f>
        <v>0</v>
      </c>
      <c r="C1120" s="315" t="b">
        <v>0</v>
      </c>
    </row>
    <row r="1121" spans="1:3" x14ac:dyDescent="0.2">
      <c r="A1121" s="315" t="s">
        <v>3176</v>
      </c>
      <c r="B1121" t="b">
        <f>IF(ISBLANK(NeoBerLab!$S$6),"",NeoBerLab!$S$6)</f>
        <v>0</v>
      </c>
      <c r="C1121" s="315" t="b">
        <v>0</v>
      </c>
    </row>
    <row r="1122" spans="1:3" x14ac:dyDescent="0.2">
      <c r="A1122" s="315" t="s">
        <v>3177</v>
      </c>
      <c r="B1122" t="b">
        <f>IF(ISBLANK(NeoBerLab!$S$7),"",NeoBerLab!$S$7)</f>
        <v>0</v>
      </c>
      <c r="C1122" s="315" t="b">
        <v>0</v>
      </c>
    </row>
    <row r="1123" spans="1:3" x14ac:dyDescent="0.2">
      <c r="A1123" s="315" t="s">
        <v>3178</v>
      </c>
      <c r="B1123" t="b">
        <f>IF(ISBLANK(NeoBerLab!$S$8),"",NeoBerLab!$S$8)</f>
        <v>0</v>
      </c>
      <c r="C1123" s="315" t="b">
        <v>0</v>
      </c>
    </row>
    <row r="1124" spans="1:3" x14ac:dyDescent="0.2">
      <c r="A1124" s="315" t="s">
        <v>3179</v>
      </c>
      <c r="B1124" t="b">
        <f>IF(ISBLANK(NeoBerLab!$S$9),"",NeoBerLab!$S$9)</f>
        <v>0</v>
      </c>
      <c r="C1124" s="315" t="b">
        <v>0</v>
      </c>
    </row>
    <row r="1125" spans="1:3" x14ac:dyDescent="0.2">
      <c r="A1125" s="315" t="s">
        <v>3180</v>
      </c>
      <c r="B1125" t="b">
        <f>IF(ISBLANK(NeoBerLab!$S$10),"",NeoBerLab!$S$10)</f>
        <v>0</v>
      </c>
      <c r="C1125" s="315" t="b">
        <v>0</v>
      </c>
    </row>
    <row r="1126" spans="1:3" x14ac:dyDescent="0.2">
      <c r="A1126" s="315" t="s">
        <v>3181</v>
      </c>
      <c r="B1126" t="b">
        <f>IF(ISBLANK(NeoBerLab!$S$11),"",NeoBerLab!$S$11)</f>
        <v>0</v>
      </c>
      <c r="C1126" s="315" t="b">
        <v>0</v>
      </c>
    </row>
    <row r="1127" spans="1:3" x14ac:dyDescent="0.2">
      <c r="A1127" s="315" t="s">
        <v>3182</v>
      </c>
      <c r="B1127" t="b">
        <f>IF(ISBLANK(NeoBerLab!$S$12),"",NeoBerLab!$S$12)</f>
        <v>0</v>
      </c>
      <c r="C1127" s="315" t="b">
        <v>0</v>
      </c>
    </row>
    <row r="1128" spans="1:3" x14ac:dyDescent="0.2">
      <c r="A1128" s="315" t="s">
        <v>3183</v>
      </c>
      <c r="B1128" t="b">
        <f>IF(ISBLANK(NeoBerLab!$S$13),"",NeoBerLab!$S$13)</f>
        <v>0</v>
      </c>
      <c r="C1128" s="315" t="b">
        <v>0</v>
      </c>
    </row>
    <row r="1129" spans="1:3" x14ac:dyDescent="0.2">
      <c r="A1129" s="315" t="s">
        <v>3184</v>
      </c>
      <c r="B1129" t="b">
        <f>IF(ISBLANK(NeoBerLab!$S$14),"",NeoBerLab!$S$14)</f>
        <v>0</v>
      </c>
      <c r="C1129" s="315" t="b">
        <v>0</v>
      </c>
    </row>
    <row r="1130" spans="1:3" x14ac:dyDescent="0.2">
      <c r="A1130" s="315" t="s">
        <v>3185</v>
      </c>
      <c r="B1130" t="b">
        <f>IF(ISBLANK(NeoBerLab!$S$15),"",NeoBerLab!$S$15)</f>
        <v>0</v>
      </c>
      <c r="C1130" s="315" t="b">
        <v>0</v>
      </c>
    </row>
    <row r="1131" spans="1:3" x14ac:dyDescent="0.2">
      <c r="A1131" s="315" t="s">
        <v>3186</v>
      </c>
      <c r="B1131" t="b">
        <f>IF(ISBLANK(NeoBerLab!$S$16),"",NeoBerLab!$S$16)</f>
        <v>0</v>
      </c>
      <c r="C1131" s="315" t="b">
        <v>0</v>
      </c>
    </row>
    <row r="1132" spans="1:3" x14ac:dyDescent="0.2">
      <c r="A1132" s="315" t="s">
        <v>3187</v>
      </c>
      <c r="B1132" t="b">
        <f>IF(ISBLANK(NeoBerLab!$S$17),"",NeoBerLab!$S$17)</f>
        <v>0</v>
      </c>
      <c r="C1132" s="315" t="b">
        <v>0</v>
      </c>
    </row>
    <row r="1133" spans="1:3" x14ac:dyDescent="0.2">
      <c r="A1133" s="315" t="s">
        <v>3188</v>
      </c>
      <c r="B1133" t="b">
        <f>IF(ISBLANK(NeoBerLab!$S$18),"",NeoBerLab!$S$18)</f>
        <v>0</v>
      </c>
      <c r="C1133" s="315" t="b">
        <v>0</v>
      </c>
    </row>
    <row r="1134" spans="1:3" x14ac:dyDescent="0.2">
      <c r="A1134" s="315" t="s">
        <v>3189</v>
      </c>
      <c r="B1134" t="b">
        <f>IF(ISBLANK(NeoBerLab!$S$19),"",NeoBerLab!$S$19)</f>
        <v>0</v>
      </c>
      <c r="C1134" s="315" t="b">
        <v>0</v>
      </c>
    </row>
    <row r="1135" spans="1:3" x14ac:dyDescent="0.2">
      <c r="A1135" s="315" t="s">
        <v>3190</v>
      </c>
      <c r="B1135" t="b">
        <f>IF(ISBLANK(NeoBerLab!$S$20),"",NeoBerLab!$S$20)</f>
        <v>0</v>
      </c>
      <c r="C1135" s="315" t="b">
        <v>0</v>
      </c>
    </row>
    <row r="1136" spans="1:3" x14ac:dyDescent="0.2">
      <c r="A1136" s="315" t="s">
        <v>3191</v>
      </c>
      <c r="B1136" t="b">
        <f>IF(ISBLANK(NeoBerLab!$S$21),"",NeoBerLab!$S$21)</f>
        <v>0</v>
      </c>
      <c r="C1136" s="315" t="b">
        <v>0</v>
      </c>
    </row>
    <row r="1137" spans="1:3" x14ac:dyDescent="0.2">
      <c r="A1137" s="315" t="s">
        <v>3192</v>
      </c>
      <c r="B1137" t="b">
        <f>IF(ISBLANK(NeoBerLab!$S$22),"",NeoBerLab!$S$22)</f>
        <v>0</v>
      </c>
      <c r="C1137" s="315" t="b">
        <v>0</v>
      </c>
    </row>
    <row r="1138" spans="1:3" x14ac:dyDescent="0.2">
      <c r="A1138" s="315" t="s">
        <v>3193</v>
      </c>
      <c r="B1138" t="b">
        <f>IF(ISBLANK(NeoBerLab!$S$23),"",NeoBerLab!$S$23)</f>
        <v>0</v>
      </c>
      <c r="C1138" s="315" t="b">
        <v>0</v>
      </c>
    </row>
    <row r="1139" spans="1:3" x14ac:dyDescent="0.2">
      <c r="A1139" s="315" t="s">
        <v>3194</v>
      </c>
      <c r="B1139" t="b">
        <f>IF(ISBLANK(NeoBerLab!$S$24),"",NeoBerLab!$S$24)</f>
        <v>0</v>
      </c>
      <c r="C1139" s="315" t="b">
        <v>0</v>
      </c>
    </row>
    <row r="1140" spans="1:3" x14ac:dyDescent="0.2">
      <c r="A1140" s="315" t="s">
        <v>3195</v>
      </c>
      <c r="B1140" t="b">
        <f>IF(ISBLANK(NeoBerLab!$S$25),"",NeoBerLab!$S$25)</f>
        <v>0</v>
      </c>
      <c r="C1140" s="315" t="b">
        <v>0</v>
      </c>
    </row>
    <row r="1141" spans="1:3" x14ac:dyDescent="0.2">
      <c r="A1141" s="315" t="s">
        <v>3196</v>
      </c>
      <c r="B1141" t="b">
        <f>IF(ISBLANK(NeoBerLab!$S$26),"",NeoBerLab!$S$26)</f>
        <v>0</v>
      </c>
      <c r="C1141" s="315" t="b">
        <v>0</v>
      </c>
    </row>
    <row r="1142" spans="1:3" x14ac:dyDescent="0.2">
      <c r="A1142" s="315" t="s">
        <v>3197</v>
      </c>
      <c r="B1142" t="b">
        <f>IF(ISBLANK(NeoBerLab!$S$27),"",NeoBerLab!$S$27)</f>
        <v>0</v>
      </c>
      <c r="C1142" s="315" t="b">
        <v>0</v>
      </c>
    </row>
    <row r="1143" spans="1:3" x14ac:dyDescent="0.2">
      <c r="A1143" s="315" t="s">
        <v>3198</v>
      </c>
      <c r="B1143" t="b">
        <f>IF(ISBLANK(NeoBerLab!$S$28),"",NeoBerLab!$S$28)</f>
        <v>0</v>
      </c>
      <c r="C1143" s="315" t="b">
        <v>0</v>
      </c>
    </row>
    <row r="1144" spans="1:3" x14ac:dyDescent="0.2">
      <c r="A1144" s="315" t="s">
        <v>3199</v>
      </c>
      <c r="B1144" t="b">
        <f>IF(ISBLANK(NeoBerLab!$S$29),"",NeoBerLab!$S$29)</f>
        <v>0</v>
      </c>
      <c r="C1144" s="315" t="b">
        <v>0</v>
      </c>
    </row>
    <row r="1145" spans="1:3" x14ac:dyDescent="0.2">
      <c r="A1145" s="315" t="s">
        <v>3200</v>
      </c>
      <c r="B1145" t="b">
        <f>IF(ISBLANK(NeoBerLab!$S$30),"",NeoBerLab!$S$30)</f>
        <v>0</v>
      </c>
      <c r="C1145" s="315" t="b">
        <v>0</v>
      </c>
    </row>
    <row r="1146" spans="1:3" x14ac:dyDescent="0.2">
      <c r="A1146" s="315" t="s">
        <v>3201</v>
      </c>
      <c r="B1146" t="b">
        <f>IF(ISBLANK(NeoBerLab!$S$31),"",NeoBerLab!$S$31)</f>
        <v>0</v>
      </c>
      <c r="C1146" s="315" t="b">
        <v>0</v>
      </c>
    </row>
    <row r="1147" spans="1:3" x14ac:dyDescent="0.2">
      <c r="A1147" s="315" t="s">
        <v>3202</v>
      </c>
      <c r="B1147" t="b">
        <f>IF(ISBLANK(NeoBerLab!$S$32),"",NeoBerLab!$S$32)</f>
        <v>0</v>
      </c>
      <c r="C1147" s="315" t="b">
        <v>0</v>
      </c>
    </row>
    <row r="1148" spans="1:3" x14ac:dyDescent="0.2">
      <c r="A1148" s="315" t="s">
        <v>3203</v>
      </c>
      <c r="B1148" t="b">
        <f>IF(ISBLANK(NeoBerLab!$S$33),"",NeoBerLab!$S$33)</f>
        <v>0</v>
      </c>
      <c r="C1148" s="315" t="b">
        <v>0</v>
      </c>
    </row>
    <row r="1149" spans="1:3" x14ac:dyDescent="0.2">
      <c r="A1149" s="315" t="s">
        <v>3204</v>
      </c>
      <c r="B1149" t="b">
        <f>IF(ISBLANK(NeoBerLab!$S$34),"",NeoBerLab!$S$34)</f>
        <v>0</v>
      </c>
      <c r="C1149" s="315" t="b">
        <v>0</v>
      </c>
    </row>
    <row r="1150" spans="1:3" x14ac:dyDescent="0.2">
      <c r="A1150" s="315" t="s">
        <v>3205</v>
      </c>
      <c r="B1150" t="str">
        <f>IF(ISBLANK(NeoBerLab!$D$38),"",NeoBerLab!$D$38)</f>
        <v/>
      </c>
      <c r="C1150" s="130"/>
    </row>
    <row r="1151" spans="1:3" x14ac:dyDescent="0.2">
      <c r="A1151" s="315" t="s">
        <v>3206</v>
      </c>
      <c r="B1151" t="b">
        <f>IF(ISBLANK(NeoBerLab!$C$4),"",NeoBerLab!$C$4)</f>
        <v>0</v>
      </c>
      <c r="C1151" s="315" t="b">
        <v>0</v>
      </c>
    </row>
    <row r="1152" spans="1:3" x14ac:dyDescent="0.2">
      <c r="A1152" s="315" t="s">
        <v>3207</v>
      </c>
      <c r="B1152" t="b">
        <f>IF(ISBLANK(NeoBerLab!$C$5),"",NeoBerLab!$C$5)</f>
        <v>0</v>
      </c>
      <c r="C1152" s="315" t="b">
        <v>0</v>
      </c>
    </row>
    <row r="1153" spans="1:3" x14ac:dyDescent="0.2">
      <c r="A1153" s="315" t="s">
        <v>3208</v>
      </c>
      <c r="B1153" t="b">
        <f>IF(ISBLANK(NeoBerLab!$C$6),"",NeoBerLab!$C$6)</f>
        <v>0</v>
      </c>
      <c r="C1153" s="315" t="b">
        <v>0</v>
      </c>
    </row>
    <row r="1154" spans="1:3" x14ac:dyDescent="0.2">
      <c r="A1154" s="315" t="s">
        <v>3209</v>
      </c>
      <c r="B1154" t="b">
        <f>IF(ISBLANK(NeoBerLab!$C$7),"",NeoBerLab!$C$7)</f>
        <v>0</v>
      </c>
      <c r="C1154" s="315" t="b">
        <v>0</v>
      </c>
    </row>
    <row r="1155" spans="1:3" x14ac:dyDescent="0.2">
      <c r="A1155" s="315" t="s">
        <v>3210</v>
      </c>
      <c r="B1155" t="b">
        <f>IF(ISBLANK(NeoBerLab!$C$8),"",NeoBerLab!$C$8)</f>
        <v>0</v>
      </c>
      <c r="C1155" s="315" t="b">
        <v>0</v>
      </c>
    </row>
    <row r="1156" spans="1:3" x14ac:dyDescent="0.2">
      <c r="A1156" s="315" t="s">
        <v>3211</v>
      </c>
      <c r="B1156" t="b">
        <f>IF(ISBLANK(NeoBerLab!$C$9),"",NeoBerLab!$C$9)</f>
        <v>0</v>
      </c>
      <c r="C1156" s="315" t="b">
        <v>0</v>
      </c>
    </row>
    <row r="1157" spans="1:3" x14ac:dyDescent="0.2">
      <c r="A1157" s="315" t="s">
        <v>3212</v>
      </c>
      <c r="B1157" t="b">
        <f>IF(ISBLANK(NeoBerLab!$C$10),"",NeoBerLab!$C$10)</f>
        <v>0</v>
      </c>
      <c r="C1157" s="315" t="b">
        <v>0</v>
      </c>
    </row>
    <row r="1158" spans="1:3" x14ac:dyDescent="0.2">
      <c r="A1158" s="315" t="s">
        <v>3213</v>
      </c>
      <c r="B1158" t="b">
        <f>IF(ISBLANK(NeoBerLab!$C$11),"",NeoBerLab!$C$11)</f>
        <v>0</v>
      </c>
      <c r="C1158" s="315" t="b">
        <v>0</v>
      </c>
    </row>
    <row r="1159" spans="1:3" x14ac:dyDescent="0.2">
      <c r="A1159" s="315" t="s">
        <v>3214</v>
      </c>
      <c r="B1159" t="b">
        <f>IF(ISBLANK(NeoBerLab!$C$12),"",NeoBerLab!$C$12)</f>
        <v>0</v>
      </c>
      <c r="C1159" s="315" t="b">
        <v>0</v>
      </c>
    </row>
    <row r="1160" spans="1:3" x14ac:dyDescent="0.2">
      <c r="A1160" s="315" t="s">
        <v>3215</v>
      </c>
      <c r="B1160" t="b">
        <f>IF(ISBLANK(NeoBerLab!$C$13),"",NeoBerLab!$C$13)</f>
        <v>0</v>
      </c>
      <c r="C1160" s="315" t="b">
        <v>0</v>
      </c>
    </row>
    <row r="1161" spans="1:3" x14ac:dyDescent="0.2">
      <c r="A1161" s="315" t="s">
        <v>3216</v>
      </c>
      <c r="B1161" t="b">
        <f>IF(ISBLANK(NeoBerLab!$C$14),"",NeoBerLab!$C$14)</f>
        <v>0</v>
      </c>
      <c r="C1161" s="315" t="b">
        <v>0</v>
      </c>
    </row>
    <row r="1162" spans="1:3" x14ac:dyDescent="0.2">
      <c r="A1162" s="315" t="s">
        <v>3217</v>
      </c>
      <c r="B1162" t="b">
        <f>IF(ISBLANK(NeoBerLab!$C$15),"",NeoBerLab!$C$15)</f>
        <v>0</v>
      </c>
      <c r="C1162" s="315" t="b">
        <v>0</v>
      </c>
    </row>
    <row r="1163" spans="1:3" x14ac:dyDescent="0.2">
      <c r="A1163" s="315" t="s">
        <v>3218</v>
      </c>
      <c r="B1163" t="b">
        <f>IF(ISBLANK(NeoBerLab!$C$16),"",NeoBerLab!$C$16)</f>
        <v>0</v>
      </c>
      <c r="C1163" s="315" t="b">
        <v>0</v>
      </c>
    </row>
    <row r="1164" spans="1:3" x14ac:dyDescent="0.2">
      <c r="A1164" s="315" t="s">
        <v>3219</v>
      </c>
      <c r="B1164" t="b">
        <f>IF(ISBLANK(NeoBerLab!$C$17),"",NeoBerLab!$C$17)</f>
        <v>0</v>
      </c>
      <c r="C1164" s="315" t="b">
        <v>0</v>
      </c>
    </row>
    <row r="1165" spans="1:3" x14ac:dyDescent="0.2">
      <c r="A1165" s="315" t="s">
        <v>3220</v>
      </c>
      <c r="B1165" t="b">
        <f>IF(ISBLANK(NeoBerLab!$C$18),"",NeoBerLab!$C$18)</f>
        <v>0</v>
      </c>
      <c r="C1165" s="315" t="b">
        <v>0</v>
      </c>
    </row>
    <row r="1166" spans="1:3" x14ac:dyDescent="0.2">
      <c r="A1166" s="315" t="s">
        <v>3221</v>
      </c>
      <c r="B1166" t="b">
        <f>IF(ISBLANK(NeoBerLab!$C$19),"",NeoBerLab!$C$19)</f>
        <v>0</v>
      </c>
      <c r="C1166" s="315" t="b">
        <v>0</v>
      </c>
    </row>
    <row r="1167" spans="1:3" x14ac:dyDescent="0.2">
      <c r="A1167" s="315" t="s">
        <v>3222</v>
      </c>
      <c r="B1167" t="b">
        <f>IF(ISBLANK(NeoBerLab!$C$20),"",NeoBerLab!$C$20)</f>
        <v>0</v>
      </c>
      <c r="C1167" s="315" t="b">
        <v>0</v>
      </c>
    </row>
    <row r="1168" spans="1:3" x14ac:dyDescent="0.2">
      <c r="A1168" s="315" t="s">
        <v>3223</v>
      </c>
      <c r="B1168" t="b">
        <f>IF(ISBLANK(NeoBerLab!$C$21),"",NeoBerLab!$C$21)</f>
        <v>0</v>
      </c>
      <c r="C1168" s="315" t="b">
        <v>0</v>
      </c>
    </row>
    <row r="1169" spans="1:3" x14ac:dyDescent="0.2">
      <c r="A1169" s="315" t="s">
        <v>3224</v>
      </c>
      <c r="B1169" t="b">
        <f>IF(ISBLANK(NeoBerLab!$C$22),"",NeoBerLab!$C$22)</f>
        <v>0</v>
      </c>
      <c r="C1169" s="315" t="b">
        <v>0</v>
      </c>
    </row>
    <row r="1170" spans="1:3" x14ac:dyDescent="0.2">
      <c r="A1170" s="315" t="s">
        <v>3225</v>
      </c>
      <c r="B1170" t="b">
        <f>IF(ISBLANK(NeoBerLab!$C$23),"",NeoBerLab!$C$23)</f>
        <v>0</v>
      </c>
      <c r="C1170" s="315" t="b">
        <v>0</v>
      </c>
    </row>
    <row r="1171" spans="1:3" x14ac:dyDescent="0.2">
      <c r="A1171" s="315" t="s">
        <v>3226</v>
      </c>
      <c r="B1171" t="b">
        <f>IF(ISBLANK(NeoBerLab!$C$24),"",NeoBerLab!$C$24)</f>
        <v>0</v>
      </c>
      <c r="C1171" s="315" t="b">
        <v>0</v>
      </c>
    </row>
    <row r="1172" spans="1:3" x14ac:dyDescent="0.2">
      <c r="A1172" s="315" t="s">
        <v>3227</v>
      </c>
      <c r="B1172" t="b">
        <f>IF(ISBLANK(NeoBerLab!$C$25),"",NeoBerLab!$C$25)</f>
        <v>0</v>
      </c>
      <c r="C1172" s="315" t="b">
        <v>0</v>
      </c>
    </row>
    <row r="1173" spans="1:3" x14ac:dyDescent="0.2">
      <c r="A1173" s="315" t="s">
        <v>3228</v>
      </c>
      <c r="B1173" t="b">
        <f>IF(ISBLANK(NeoBerLab!$C$26),"",NeoBerLab!$C$26)</f>
        <v>0</v>
      </c>
      <c r="C1173" s="315" t="b">
        <v>0</v>
      </c>
    </row>
    <row r="1174" spans="1:3" x14ac:dyDescent="0.2">
      <c r="A1174" s="315" t="s">
        <v>3229</v>
      </c>
      <c r="B1174" t="b">
        <f>IF(ISBLANK(NeoBerLab!$C$27),"",NeoBerLab!$C$27)</f>
        <v>0</v>
      </c>
      <c r="C1174" s="315" t="b">
        <v>0</v>
      </c>
    </row>
    <row r="1175" spans="1:3" x14ac:dyDescent="0.2">
      <c r="A1175" s="315" t="s">
        <v>3230</v>
      </c>
      <c r="B1175" t="b">
        <f>IF(ISBLANK(NeoBerLab!$C$28),"",NeoBerLab!$C$28)</f>
        <v>0</v>
      </c>
      <c r="C1175" s="315" t="b">
        <v>0</v>
      </c>
    </row>
    <row r="1176" spans="1:3" x14ac:dyDescent="0.2">
      <c r="A1176" s="315" t="s">
        <v>3231</v>
      </c>
      <c r="B1176" t="b">
        <f>IF(ISBLANK(NeoBerLab!$C$29),"",NeoBerLab!$C$29)</f>
        <v>0</v>
      </c>
      <c r="C1176" s="315" t="b">
        <v>0</v>
      </c>
    </row>
    <row r="1177" spans="1:3" x14ac:dyDescent="0.2">
      <c r="A1177" s="315" t="s">
        <v>3232</v>
      </c>
      <c r="B1177" t="b">
        <f>IF(ISBLANK(NeoBerLab!$C$30),"",NeoBerLab!$C$30)</f>
        <v>0</v>
      </c>
      <c r="C1177" s="315" t="b">
        <v>0</v>
      </c>
    </row>
    <row r="1178" spans="1:3" x14ac:dyDescent="0.2">
      <c r="A1178" s="315" t="s">
        <v>3233</v>
      </c>
      <c r="B1178" t="b">
        <f>IF(ISBLANK(NeoBerLab!$C$31),"",NeoBerLab!$C$31)</f>
        <v>0</v>
      </c>
      <c r="C1178" s="315" t="b">
        <v>0</v>
      </c>
    </row>
    <row r="1179" spans="1:3" x14ac:dyDescent="0.2">
      <c r="A1179" s="315" t="s">
        <v>3234</v>
      </c>
      <c r="B1179" t="b">
        <f>IF(ISBLANK(NeoBerLab!$C$32),"",NeoBerLab!$C$32)</f>
        <v>0</v>
      </c>
      <c r="C1179" s="315" t="b">
        <v>0</v>
      </c>
    </row>
    <row r="1180" spans="1:3" x14ac:dyDescent="0.2">
      <c r="A1180" s="315" t="s">
        <v>3235</v>
      </c>
      <c r="B1180" t="b">
        <f>IF(ISBLANK(NeoBerLab!$C$33),"",NeoBerLab!$C$33)</f>
        <v>0</v>
      </c>
      <c r="C1180" s="315" t="b">
        <v>0</v>
      </c>
    </row>
    <row r="1181" spans="1:3" x14ac:dyDescent="0.2">
      <c r="A1181" s="315" t="s">
        <v>3236</v>
      </c>
      <c r="B1181" t="b">
        <f>IF(ISBLANK(NeoBerLab!$C$34),"",NeoBerLab!$C$34)</f>
        <v>0</v>
      </c>
      <c r="C1181" s="315" t="b">
        <v>0</v>
      </c>
    </row>
    <row r="1182" spans="1:3" x14ac:dyDescent="0.2">
      <c r="A1182" s="315" t="s">
        <v>3237</v>
      </c>
      <c r="B1182" t="b">
        <f>IF(ISBLANK(NeoBerLab!$C$35),"",NeoBerLab!$C$35)</f>
        <v>0</v>
      </c>
      <c r="C1182" s="315" t="b">
        <v>0</v>
      </c>
    </row>
    <row r="1183" spans="1:3" s="315" customFormat="1" x14ac:dyDescent="0.2">
      <c r="A1183" s="315" t="s">
        <v>4226</v>
      </c>
      <c r="B1183" s="315">
        <f>IF(ISBLANK(PatDetails!$B$8),"",PatDetails!$B$8)</f>
        <v>0</v>
      </c>
      <c r="C1183" s="317">
        <v>0</v>
      </c>
    </row>
    <row r="1184" spans="1:3" x14ac:dyDescent="0.2">
      <c r="A1184" s="315" t="s">
        <v>3540</v>
      </c>
      <c r="B1184">
        <f>IF(ISBLANK(PatDetails!$B$6),"",PatDetails!$B$6)</f>
        <v>0</v>
      </c>
      <c r="C1184" s="317">
        <v>0</v>
      </c>
    </row>
    <row r="1185" spans="1:4" x14ac:dyDescent="0.2">
      <c r="A1185" s="315" t="s">
        <v>3541</v>
      </c>
      <c r="B1185">
        <f>IF(ISBLANK(PatDetails!$B$7),"",PatDetails!$B$7)</f>
        <v>0</v>
      </c>
      <c r="C1185" s="317">
        <v>0</v>
      </c>
    </row>
    <row r="1186" spans="1:4" x14ac:dyDescent="0.2">
      <c r="A1186" s="315" t="s">
        <v>3538</v>
      </c>
      <c r="B1186">
        <f>IF(ISBLANK(NeoBerInfB!$D$5),"",NeoBerInfB!$D$5)</f>
        <v>0</v>
      </c>
      <c r="C1186" s="317">
        <v>0</v>
      </c>
    </row>
    <row r="1187" spans="1:4" x14ac:dyDescent="0.2">
      <c r="A1187" s="315" t="s">
        <v>3537</v>
      </c>
      <c r="B1187" s="24">
        <f>IF(ISBLANK(PatDetails!$B$9),"",PatDetails!$B$9)</f>
        <v>1462</v>
      </c>
      <c r="C1187" s="128">
        <f>EmptyDate()</f>
        <v>1462</v>
      </c>
      <c r="D1187" s="128"/>
    </row>
    <row r="1188" spans="1:4" x14ac:dyDescent="0.2">
      <c r="A1188" s="315" t="s">
        <v>3539</v>
      </c>
      <c r="B1188">
        <f>IF(ISBLANK(NeoBerInfB!$D$4),"",NeoBerInfB!$D$4)</f>
        <v>0</v>
      </c>
      <c r="C1188" s="317">
        <v>0</v>
      </c>
    </row>
    <row r="1189" spans="1:4" x14ac:dyDescent="0.2">
      <c r="A1189" s="315" t="s">
        <v>2127</v>
      </c>
      <c r="B1189" t="b">
        <f>IF(ISBLANK(PedBerAfspr!$D$11),"",PedBerAfspr!$D$11)</f>
        <v>0</v>
      </c>
      <c r="C1189" t="b">
        <v>0</v>
      </c>
    </row>
    <row r="1190" spans="1:4" x14ac:dyDescent="0.2">
      <c r="A1190" s="315" t="s">
        <v>2128</v>
      </c>
      <c r="B1190" t="b">
        <f>IF(ISBLANK(PedBerAfspr!$D$12),"",PedBerAfspr!$D$12)</f>
        <v>0</v>
      </c>
      <c r="C1190" s="315" t="b">
        <v>0</v>
      </c>
    </row>
    <row r="1191" spans="1:4" x14ac:dyDescent="0.2">
      <c r="A1191" s="315" t="s">
        <v>2129</v>
      </c>
      <c r="B1191" t="b">
        <f>IF(ISBLANK(PedBerAfspr!$D$13),"",PedBerAfspr!$D$13)</f>
        <v>0</v>
      </c>
      <c r="C1191" s="315" t="b">
        <v>0</v>
      </c>
    </row>
    <row r="1192" spans="1:4" x14ac:dyDescent="0.2">
      <c r="A1192" s="315" t="s">
        <v>2130</v>
      </c>
      <c r="B1192" t="b">
        <f>IF(ISBLANK(PedBerAfspr!$D$14),"",PedBerAfspr!$D$14)</f>
        <v>0</v>
      </c>
      <c r="C1192" s="315" t="b">
        <v>0</v>
      </c>
    </row>
    <row r="1193" spans="1:4" x14ac:dyDescent="0.2">
      <c r="A1193" s="315" t="s">
        <v>2131</v>
      </c>
      <c r="B1193" t="b">
        <f>IF(ISBLANK(PedBerAfspr!$B$10),"",PedBerAfspr!$B$10)</f>
        <v>0</v>
      </c>
      <c r="C1193" s="315" t="b">
        <v>0</v>
      </c>
    </row>
    <row r="1194" spans="1:4" x14ac:dyDescent="0.2">
      <c r="A1194" s="315" t="s">
        <v>2132</v>
      </c>
      <c r="B1194" t="b">
        <f>IF(ISBLANK(PedBerAfspr!$F$7),"",PedBerAfspr!$F$7)</f>
        <v>0</v>
      </c>
      <c r="C1194" s="315" t="b">
        <v>0</v>
      </c>
    </row>
    <row r="1195" spans="1:4" x14ac:dyDescent="0.2">
      <c r="A1195" s="315" t="s">
        <v>2133</v>
      </c>
      <c r="B1195" t="b">
        <f>IF(ISBLANK(PedBerAfspr!$B$20),"",PedBerAfspr!$B$20)</f>
        <v>0</v>
      </c>
      <c r="C1195" s="315" t="b">
        <v>0</v>
      </c>
    </row>
    <row r="1196" spans="1:4" x14ac:dyDescent="0.2">
      <c r="A1196" s="315" t="s">
        <v>2134</v>
      </c>
      <c r="B1196" t="b">
        <f>IF(ISBLANK(PedBerAfspr!$F$10),"",PedBerAfspr!$F$10)</f>
        <v>0</v>
      </c>
      <c r="C1196" s="315" t="b">
        <v>0</v>
      </c>
    </row>
    <row r="1197" spans="1:4" x14ac:dyDescent="0.2">
      <c r="A1197" s="315" t="s">
        <v>2135</v>
      </c>
      <c r="B1197" t="b">
        <f>IF(ISBLANK(PedBerAfspr!$B$21),"",PedBerAfspr!$B$21)</f>
        <v>0</v>
      </c>
      <c r="C1197" s="315" t="b">
        <v>0</v>
      </c>
    </row>
    <row r="1198" spans="1:4" x14ac:dyDescent="0.2">
      <c r="A1198" s="315" t="s">
        <v>2136</v>
      </c>
      <c r="B1198" t="b">
        <f>IF(ISBLANK(PedBerAfspr!$F$12),"",PedBerAfspr!$F$12)</f>
        <v>0</v>
      </c>
      <c r="C1198" s="315" t="b">
        <v>0</v>
      </c>
    </row>
    <row r="1199" spans="1:4" x14ac:dyDescent="0.2">
      <c r="A1199" s="315" t="s">
        <v>2137</v>
      </c>
      <c r="B1199" t="b">
        <f>IF(ISBLANK(PedBerAfspr!$B$42),"",PedBerAfspr!$B$42)</f>
        <v>0</v>
      </c>
      <c r="C1199" s="315" t="b">
        <v>0</v>
      </c>
    </row>
    <row r="1200" spans="1:4" x14ac:dyDescent="0.2">
      <c r="A1200" s="315" t="s">
        <v>2138</v>
      </c>
      <c r="B1200" t="b">
        <f>IF(ISBLANK(PedBerAfspr!$B$7),"",PedBerAfspr!$B$7)</f>
        <v>0</v>
      </c>
      <c r="C1200" s="315" t="b">
        <v>0</v>
      </c>
    </row>
    <row r="1201" spans="1:3" x14ac:dyDescent="0.2">
      <c r="A1201" s="315" t="s">
        <v>2139</v>
      </c>
      <c r="B1201" t="b">
        <f>IF(ISBLANK(PedBerAfspr!$F$15),"",PedBerAfspr!$F$15)</f>
        <v>0</v>
      </c>
      <c r="C1201" s="315" t="b">
        <v>0</v>
      </c>
    </row>
    <row r="1202" spans="1:3" x14ac:dyDescent="0.2">
      <c r="A1202" s="315" t="s">
        <v>2140</v>
      </c>
      <c r="B1202" t="b">
        <f>IF(ISBLANK(PedBerAfspr!$F$13),"",PedBerAfspr!$F$13)</f>
        <v>0</v>
      </c>
      <c r="C1202" s="315" t="b">
        <v>0</v>
      </c>
    </row>
    <row r="1203" spans="1:3" x14ac:dyDescent="0.2">
      <c r="A1203" s="315" t="s">
        <v>2141</v>
      </c>
      <c r="B1203" t="b">
        <f>IF(ISBLANK(PedBerAfspr!$B$24),"",PedBerAfspr!$B$24)</f>
        <v>0</v>
      </c>
      <c r="C1203" s="315" t="b">
        <v>0</v>
      </c>
    </row>
    <row r="1204" spans="1:3" x14ac:dyDescent="0.2">
      <c r="A1204" s="315" t="s">
        <v>2142</v>
      </c>
      <c r="B1204" t="b">
        <f>IF(ISBLANK(PedBerAfspr!$B$8),"",PedBerAfspr!$B$8)</f>
        <v>0</v>
      </c>
      <c r="C1204" s="315" t="b">
        <v>0</v>
      </c>
    </row>
    <row r="1205" spans="1:3" x14ac:dyDescent="0.2">
      <c r="A1205" s="315" t="s">
        <v>2143</v>
      </c>
      <c r="B1205" t="b">
        <f>IF(ISBLANK(PedBerAfspr!$B$39),"",PedBerAfspr!$B$39)</f>
        <v>0</v>
      </c>
      <c r="C1205" s="315" t="b">
        <v>0</v>
      </c>
    </row>
    <row r="1206" spans="1:3" x14ac:dyDescent="0.2">
      <c r="A1206" s="315" t="s">
        <v>2144</v>
      </c>
      <c r="B1206" t="b">
        <f>IF(ISBLANK(PedBerAfspr!$F$16),"",PedBerAfspr!$F$16)</f>
        <v>0</v>
      </c>
      <c r="C1206" s="315" t="b">
        <v>0</v>
      </c>
    </row>
    <row r="1207" spans="1:3" x14ac:dyDescent="0.2">
      <c r="A1207" s="315" t="s">
        <v>2145</v>
      </c>
      <c r="B1207" t="b">
        <f>IF(ISBLANK(PedBerAfspr!$F$9),"",PedBerAfspr!$F$9)</f>
        <v>0</v>
      </c>
      <c r="C1207" s="315" t="b">
        <v>0</v>
      </c>
    </row>
    <row r="1208" spans="1:3" x14ac:dyDescent="0.2">
      <c r="A1208" s="315" t="s">
        <v>2146</v>
      </c>
      <c r="B1208" t="b">
        <f>IF(ISBLANK(PedBerAfspr!$B$11),"",PedBerAfspr!$B$11)</f>
        <v>0</v>
      </c>
      <c r="C1208" s="315" t="b">
        <v>0</v>
      </c>
    </row>
    <row r="1209" spans="1:3" x14ac:dyDescent="0.2">
      <c r="A1209" s="315" t="s">
        <v>2147</v>
      </c>
      <c r="B1209" t="b">
        <f>IF(ISBLANK(PedBerAfspr!$B$15),"",PedBerAfspr!$B$15)</f>
        <v>0</v>
      </c>
      <c r="C1209" s="315" t="b">
        <v>0</v>
      </c>
    </row>
    <row r="1210" spans="1:3" x14ac:dyDescent="0.2">
      <c r="A1210" s="315" t="s">
        <v>2148</v>
      </c>
      <c r="B1210" t="b">
        <f>IF(ISBLANK(PedBerAfspr!$B$22),"",PedBerAfspr!$B$22)</f>
        <v>0</v>
      </c>
      <c r="C1210" s="315" t="b">
        <v>0</v>
      </c>
    </row>
    <row r="1211" spans="1:3" x14ac:dyDescent="0.2">
      <c r="A1211" s="315" t="s">
        <v>2149</v>
      </c>
      <c r="B1211" t="b">
        <f>IF(ISBLANK(PedBerAfspr!$B$23),"",PedBerAfspr!$B$23)</f>
        <v>0</v>
      </c>
      <c r="C1211" s="315" t="b">
        <v>0</v>
      </c>
    </row>
    <row r="1212" spans="1:3" x14ac:dyDescent="0.2">
      <c r="A1212" s="315" t="s">
        <v>2150</v>
      </c>
      <c r="B1212" t="b">
        <f>IF(ISBLANK(PedBerAfspr!$F$11),"",PedBerAfspr!$F$11)</f>
        <v>0</v>
      </c>
      <c r="C1212" s="315" t="b">
        <v>0</v>
      </c>
    </row>
    <row r="1213" spans="1:3" x14ac:dyDescent="0.2">
      <c r="A1213" s="315" t="s">
        <v>2151</v>
      </c>
      <c r="B1213" t="b">
        <f>IF(ISBLANK(PedBerAfspr!$B$36),"",PedBerAfspr!$B$36)</f>
        <v>0</v>
      </c>
      <c r="C1213" s="315" t="b">
        <v>0</v>
      </c>
    </row>
    <row r="1214" spans="1:3" x14ac:dyDescent="0.2">
      <c r="A1214" s="315" t="s">
        <v>2152</v>
      </c>
      <c r="B1214" t="b">
        <f>IF(ISBLANK(PedBerAfspr!$D$36),"",PedBerAfspr!$D$36)</f>
        <v>0</v>
      </c>
      <c r="C1214" s="315" t="b">
        <v>0</v>
      </c>
    </row>
    <row r="1215" spans="1:3" x14ac:dyDescent="0.2">
      <c r="A1215" s="315" t="s">
        <v>2153</v>
      </c>
      <c r="B1215" t="b">
        <f>IF(ISBLANK(PedBerAfspr!$B$37),"",PedBerAfspr!$B$37)</f>
        <v>0</v>
      </c>
      <c r="C1215" s="315" t="b">
        <v>0</v>
      </c>
    </row>
    <row r="1216" spans="1:3" x14ac:dyDescent="0.2">
      <c r="A1216" s="315" t="s">
        <v>2154</v>
      </c>
      <c r="B1216" t="b">
        <f>IF(ISBLANK(PedBerAfspr!$D$37),"",PedBerAfspr!$D$37)</f>
        <v>0</v>
      </c>
      <c r="C1216" s="315" t="b">
        <v>0</v>
      </c>
    </row>
    <row r="1217" spans="1:3" x14ac:dyDescent="0.2">
      <c r="A1217" s="315" t="s">
        <v>2155</v>
      </c>
      <c r="B1217" t="b">
        <f>IF(ISBLANK(PedBerAfspr!$B$43),"",PedBerAfspr!$B$43)</f>
        <v>0</v>
      </c>
      <c r="C1217" s="315" t="b">
        <v>0</v>
      </c>
    </row>
    <row r="1218" spans="1:3" x14ac:dyDescent="0.2">
      <c r="A1218" s="315" t="s">
        <v>2156</v>
      </c>
      <c r="B1218" t="b">
        <f>IF(ISBLANK(PedBerAfspr!$B$38),"",PedBerAfspr!$B$38)</f>
        <v>0</v>
      </c>
      <c r="C1218" s="315" t="b">
        <v>0</v>
      </c>
    </row>
    <row r="1219" spans="1:3" x14ac:dyDescent="0.2">
      <c r="A1219" s="315" t="s">
        <v>2157</v>
      </c>
      <c r="B1219" t="b">
        <f>IF(ISBLANK(PedBerAfspr!$D$38),"",PedBerAfspr!$D$38)</f>
        <v>0</v>
      </c>
      <c r="C1219" s="315" t="b">
        <v>0</v>
      </c>
    </row>
    <row r="1220" spans="1:3" x14ac:dyDescent="0.2">
      <c r="A1220" s="315" t="s">
        <v>2158</v>
      </c>
      <c r="B1220" t="b">
        <f>IF(ISBLANK(PedBerAfspr!$B$16),"",PedBerAfspr!$B$16)</f>
        <v>0</v>
      </c>
      <c r="C1220" s="315" t="b">
        <v>0</v>
      </c>
    </row>
    <row r="1221" spans="1:3" x14ac:dyDescent="0.2">
      <c r="A1221" s="315" t="s">
        <v>2159</v>
      </c>
      <c r="B1221" t="b">
        <f>IF(ISBLANK(PedBerAfspr!$B$17),"",PedBerAfspr!$B$17)</f>
        <v>0</v>
      </c>
      <c r="C1221" s="315" t="b">
        <v>0</v>
      </c>
    </row>
    <row r="1222" spans="1:3" x14ac:dyDescent="0.2">
      <c r="A1222" s="315" t="s">
        <v>2160</v>
      </c>
      <c r="B1222" t="b">
        <f>IF(ISBLANK(PedBerAfspr!$B$9),"",PedBerAfspr!$B$9)</f>
        <v>0</v>
      </c>
      <c r="C1222" s="315" t="b">
        <v>0</v>
      </c>
    </row>
    <row r="1223" spans="1:3" x14ac:dyDescent="0.2">
      <c r="A1223" s="315" t="s">
        <v>2161</v>
      </c>
      <c r="B1223" t="b">
        <f>IF(ISBLANK(PedBerAfspr!$B$44),"",PedBerAfspr!$B$44)</f>
        <v>0</v>
      </c>
      <c r="C1223" s="315" t="b">
        <v>0</v>
      </c>
    </row>
    <row r="1224" spans="1:3" x14ac:dyDescent="0.2">
      <c r="A1224" s="315" t="s">
        <v>2162</v>
      </c>
      <c r="B1224" t="b">
        <f>IF(ISBLANK(PedBerAfspr!$B$27),"",PedBerAfspr!$B$27)</f>
        <v>0</v>
      </c>
      <c r="C1224" s="315" t="b">
        <v>0</v>
      </c>
    </row>
    <row r="1225" spans="1:3" x14ac:dyDescent="0.2">
      <c r="A1225" s="315" t="s">
        <v>2163</v>
      </c>
      <c r="B1225" t="b">
        <f>IF(ISBLANK(PedBerAfspr!$B$30),"",PedBerAfspr!$B$30)</f>
        <v>0</v>
      </c>
      <c r="C1225" s="315" t="b">
        <v>0</v>
      </c>
    </row>
    <row r="1226" spans="1:3" x14ac:dyDescent="0.2">
      <c r="A1226" s="315" t="s">
        <v>2164</v>
      </c>
      <c r="B1226" t="b">
        <f>IF(ISBLANK(PedBerAfspr!$B$33),"",PedBerAfspr!$B$33)</f>
        <v>0</v>
      </c>
      <c r="C1226" s="315" t="b">
        <v>0</v>
      </c>
    </row>
    <row r="1227" spans="1:3" x14ac:dyDescent="0.2">
      <c r="A1227" s="315" t="s">
        <v>2165</v>
      </c>
      <c r="B1227" t="b">
        <f>IF(ISBLANK(PedBerAfspr!$B$25),"",PedBerAfspr!$B$25)</f>
        <v>0</v>
      </c>
      <c r="C1227" s="315" t="b">
        <v>0</v>
      </c>
    </row>
    <row r="1228" spans="1:3" x14ac:dyDescent="0.2">
      <c r="A1228" s="315" t="s">
        <v>2166</v>
      </c>
      <c r="B1228" t="b">
        <f>IF(ISBLANK(PedBerAfspr!$F$8),"",PedBerAfspr!$F$8)</f>
        <v>0</v>
      </c>
      <c r="C1228" s="315" t="b">
        <v>0</v>
      </c>
    </row>
    <row r="1229" spans="1:3" x14ac:dyDescent="0.2">
      <c r="A1229" s="315" t="s">
        <v>2167</v>
      </c>
      <c r="B1229" t="b">
        <f>IF(ISBLANK(PedBerAfspr!$F$18),"",PedBerAfspr!$F$18)</f>
        <v>0</v>
      </c>
      <c r="C1229" s="315" t="b">
        <v>0</v>
      </c>
    </row>
    <row r="1230" spans="1:3" x14ac:dyDescent="0.2">
      <c r="A1230" s="315" t="s">
        <v>2168</v>
      </c>
      <c r="B1230" t="b">
        <f>IF(ISBLANK(PedBerAfspr!$F$14),"",PedBerAfspr!$F$14)</f>
        <v>0</v>
      </c>
      <c r="C1230" s="315" t="b">
        <v>0</v>
      </c>
    </row>
    <row r="1231" spans="1:3" x14ac:dyDescent="0.2">
      <c r="A1231" s="315" t="s">
        <v>2169</v>
      </c>
      <c r="B1231">
        <f>IF(ISBLANK(PedBerAfspr!$C$42),"",PedBerAfspr!$C$42)</f>
        <v>0</v>
      </c>
      <c r="C1231">
        <v>0</v>
      </c>
    </row>
    <row r="1232" spans="1:3" x14ac:dyDescent="0.2">
      <c r="A1232" s="315" t="s">
        <v>2170</v>
      </c>
      <c r="B1232">
        <f>IF(ISBLANK(PedBerAfspr!$C$7),"",PedBerAfspr!$C$7)</f>
        <v>0</v>
      </c>
      <c r="C1232">
        <v>0</v>
      </c>
    </row>
    <row r="1233" spans="1:3" x14ac:dyDescent="0.2">
      <c r="A1233" s="315" t="s">
        <v>2171</v>
      </c>
      <c r="B1233">
        <f>IF(ISBLANK(PedBerAfspr!$D$7),"",PedBerAfspr!$D$7)</f>
        <v>0</v>
      </c>
      <c r="C1233">
        <v>0</v>
      </c>
    </row>
    <row r="1234" spans="1:3" x14ac:dyDescent="0.2">
      <c r="A1234" s="315" t="s">
        <v>2172</v>
      </c>
      <c r="B1234">
        <f>IF(ISBLANK(PedBerAfspr!$C$8),"",PedBerAfspr!$C$8)</f>
        <v>0</v>
      </c>
      <c r="C1234">
        <v>0</v>
      </c>
    </row>
    <row r="1235" spans="1:3" x14ac:dyDescent="0.2">
      <c r="A1235" s="315" t="s">
        <v>2173</v>
      </c>
      <c r="B1235">
        <f>IF(ISBLANK(PedBerAfspr!$D$8),"",PedBerAfspr!$D$8)</f>
        <v>0</v>
      </c>
      <c r="C1235">
        <v>0</v>
      </c>
    </row>
    <row r="1236" spans="1:3" x14ac:dyDescent="0.2">
      <c r="A1236" s="315" t="s">
        <v>2174</v>
      </c>
      <c r="B1236">
        <f>IF(ISBLANK(PedBerAfspr!$D$40),"",PedBerAfspr!$D$40)</f>
        <v>0</v>
      </c>
      <c r="C1236">
        <v>0</v>
      </c>
    </row>
    <row r="1237" spans="1:3" x14ac:dyDescent="0.2">
      <c r="A1237" s="315" t="s">
        <v>2175</v>
      </c>
      <c r="B1237">
        <f>IF(ISBLANK(PedBerAfspr!$D$39),"",PedBerAfspr!$D$39)</f>
        <v>0</v>
      </c>
      <c r="C1237">
        <v>0</v>
      </c>
    </row>
    <row r="1238" spans="1:3" x14ac:dyDescent="0.2">
      <c r="A1238" s="315" t="s">
        <v>2176</v>
      </c>
      <c r="B1238">
        <f>IF(ISBLANK(PedBerAfspr!$G$16),"",PedBerAfspr!$G$16)</f>
        <v>0</v>
      </c>
      <c r="C1238">
        <v>0</v>
      </c>
    </row>
    <row r="1239" spans="1:3" x14ac:dyDescent="0.2">
      <c r="A1239" s="315" t="s">
        <v>2177</v>
      </c>
      <c r="B1239">
        <f>IF(ISBLANK(PedBerAfspr!$B$12),"",PedBerAfspr!$B$12)</f>
        <v>0</v>
      </c>
      <c r="C1239">
        <v>0</v>
      </c>
    </row>
    <row r="1240" spans="1:3" x14ac:dyDescent="0.2">
      <c r="A1240" s="315" t="s">
        <v>2178</v>
      </c>
      <c r="B1240" t="str">
        <f>IF(ISBLANK(PedBerAfspr!$F$17),"",PedBerAfspr!$F$17)</f>
        <v/>
      </c>
      <c r="C1240" s="130"/>
    </row>
    <row r="1241" spans="1:3" x14ac:dyDescent="0.2">
      <c r="A1241" s="315" t="s">
        <v>2179</v>
      </c>
      <c r="B1241">
        <f>IF(ISBLANK(PedBerAfspr!$C$9),"",PedBerAfspr!$C$9)</f>
        <v>0</v>
      </c>
      <c r="C1241">
        <v>0</v>
      </c>
    </row>
    <row r="1242" spans="1:3" x14ac:dyDescent="0.2">
      <c r="A1242" s="315" t="s">
        <v>2180</v>
      </c>
      <c r="B1242">
        <f>IF(ISBLANK(PedBerAfspr!$D$9),"",PedBerAfspr!$D$9)</f>
        <v>1</v>
      </c>
      <c r="C1242">
        <v>1</v>
      </c>
    </row>
    <row r="1243" spans="1:3" x14ac:dyDescent="0.2">
      <c r="A1243" s="315" t="s">
        <v>2181</v>
      </c>
      <c r="B1243">
        <f>IF(ISBLANK(PedBerAfspr!$D$29),"",PedBerAfspr!$D$29)</f>
        <v>1</v>
      </c>
      <c r="C1243">
        <v>1</v>
      </c>
    </row>
    <row r="1244" spans="1:3" x14ac:dyDescent="0.2">
      <c r="A1244" s="315" t="s">
        <v>2182</v>
      </c>
      <c r="B1244">
        <f>IF(ISBLANK(PedBerAfspr!$D$27),"",PedBerAfspr!$D$27)</f>
        <v>1</v>
      </c>
      <c r="C1244">
        <v>1</v>
      </c>
    </row>
    <row r="1245" spans="1:3" x14ac:dyDescent="0.2">
      <c r="A1245" s="315" t="s">
        <v>2183</v>
      </c>
      <c r="B1245">
        <f>IF(ISBLANK(PedBerAfspr!$D$28),"",PedBerAfspr!$D$28)</f>
        <v>1</v>
      </c>
      <c r="C1245">
        <v>1</v>
      </c>
    </row>
    <row r="1246" spans="1:3" x14ac:dyDescent="0.2">
      <c r="A1246" s="315" t="s">
        <v>2184</v>
      </c>
      <c r="B1246">
        <f>IF(ISBLANK(PedBerAfspr!$D$32),"",PedBerAfspr!$D$32)</f>
        <v>1</v>
      </c>
      <c r="C1246">
        <v>1</v>
      </c>
    </row>
    <row r="1247" spans="1:3" x14ac:dyDescent="0.2">
      <c r="A1247" s="315" t="s">
        <v>2185</v>
      </c>
      <c r="B1247">
        <f>IF(ISBLANK(PedBerAfspr!$D$30),"",PedBerAfspr!$D$30)</f>
        <v>1</v>
      </c>
      <c r="C1247">
        <v>1</v>
      </c>
    </row>
    <row r="1248" spans="1:3" x14ac:dyDescent="0.2">
      <c r="A1248" s="315" t="s">
        <v>2186</v>
      </c>
      <c r="B1248">
        <f>IF(ISBLANK(PedBerAfspr!$D$31),"",PedBerAfspr!$D$31)</f>
        <v>1</v>
      </c>
      <c r="C1248">
        <v>1</v>
      </c>
    </row>
    <row r="1249" spans="1:3" x14ac:dyDescent="0.2">
      <c r="A1249" s="315" t="s">
        <v>2187</v>
      </c>
      <c r="B1249">
        <f>IF(ISBLANK(PedBerAfspr!$D$35),"",PedBerAfspr!$D$35)</f>
        <v>1</v>
      </c>
      <c r="C1249">
        <v>1</v>
      </c>
    </row>
    <row r="1250" spans="1:3" x14ac:dyDescent="0.2">
      <c r="A1250" s="315" t="s">
        <v>2188</v>
      </c>
      <c r="B1250">
        <f>IF(ISBLANK(PedBerAfspr!$D$33),"",PedBerAfspr!$D$33)</f>
        <v>1</v>
      </c>
      <c r="C1250">
        <v>1</v>
      </c>
    </row>
    <row r="1251" spans="1:3" x14ac:dyDescent="0.2">
      <c r="A1251" s="315" t="s">
        <v>2189</v>
      </c>
      <c r="B1251">
        <f>IF(ISBLANK(PedBerAfspr!$D$34),"",PedBerAfspr!$D$34)</f>
        <v>1</v>
      </c>
      <c r="C1251">
        <v>1</v>
      </c>
    </row>
    <row r="1252" spans="1:3" x14ac:dyDescent="0.2">
      <c r="A1252" s="315" t="s">
        <v>3238</v>
      </c>
      <c r="B1252" t="str">
        <f>IF(ISBLANK(PedBerAfspr!$H$18),"",PedBerAfspr!$H$18)</f>
        <v/>
      </c>
      <c r="C1252">
        <v>0</v>
      </c>
    </row>
    <row r="1253" spans="1:3" x14ac:dyDescent="0.2">
      <c r="A1253" s="315" t="s">
        <v>2190</v>
      </c>
      <c r="B1253" t="str">
        <f>IF(ISBLANK(PedBerAfspr!$H$18),"",PedBerAfspr!$H$18)</f>
        <v/>
      </c>
      <c r="C1253" s="130"/>
    </row>
    <row r="1254" spans="1:3" x14ac:dyDescent="0.2">
      <c r="A1254" s="315" t="s">
        <v>2191</v>
      </c>
      <c r="B1254">
        <f>IF(ISBLANK(PedBerAfspr!$G$18),"",PedBerAfspr!$G$18)</f>
        <v>0</v>
      </c>
      <c r="C1254">
        <v>0</v>
      </c>
    </row>
    <row r="1255" spans="1:3" x14ac:dyDescent="0.2">
      <c r="A1255" s="315" t="s">
        <v>2006</v>
      </c>
      <c r="B1255" t="str">
        <f>IF(ISBLANK(PedBerAfspr!$F$17),"",PedBerAfspr!$F$17)</f>
        <v/>
      </c>
      <c r="C1255" s="130"/>
    </row>
    <row r="1256" spans="1:3" x14ac:dyDescent="0.2">
      <c r="A1256" s="315" t="s">
        <v>3239</v>
      </c>
      <c r="B1256">
        <f>IF(ISBLANK(PedBerEnt!$B$3),"",PedBerEnt!$B$3)</f>
        <v>1</v>
      </c>
      <c r="C1256">
        <v>1</v>
      </c>
    </row>
    <row r="1257" spans="1:3" x14ac:dyDescent="0.2">
      <c r="A1257" s="315" t="s">
        <v>3240</v>
      </c>
      <c r="B1257">
        <f>IF(ISBLANK(PedBerEnt!$B$4),"",PedBerEnt!$B$4)</f>
        <v>1</v>
      </c>
      <c r="C1257" s="315">
        <v>1</v>
      </c>
    </row>
    <row r="1258" spans="1:3" x14ac:dyDescent="0.2">
      <c r="A1258" s="315" t="s">
        <v>3241</v>
      </c>
      <c r="B1258">
        <f>IF(ISBLANK(PedBerEnt!$B$5),"",PedBerEnt!$B$5)</f>
        <v>1</v>
      </c>
      <c r="C1258" s="315">
        <v>1</v>
      </c>
    </row>
    <row r="1259" spans="1:3" x14ac:dyDescent="0.2">
      <c r="A1259" s="315" t="s">
        <v>3242</v>
      </c>
      <c r="B1259">
        <f>IF(ISBLANK(PedBerEnt!$B$6),"",PedBerEnt!$B$6)</f>
        <v>1</v>
      </c>
      <c r="C1259" s="315">
        <v>1</v>
      </c>
    </row>
    <row r="1260" spans="1:3" x14ac:dyDescent="0.2">
      <c r="A1260" s="315" t="s">
        <v>3243</v>
      </c>
      <c r="B1260">
        <f>IF(ISBLANK(PedBerEnt!$F$3),"",PedBerEnt!$F$3)</f>
        <v>25</v>
      </c>
      <c r="C1260" s="315">
        <v>1</v>
      </c>
    </row>
    <row r="1261" spans="1:3" x14ac:dyDescent="0.2">
      <c r="A1261" s="315" t="s">
        <v>3244</v>
      </c>
      <c r="B1261">
        <f>IF(ISBLANK(PedBerEnt!$F$4),"",PedBerEnt!$F$4)</f>
        <v>8</v>
      </c>
      <c r="C1261" s="315">
        <v>1</v>
      </c>
    </row>
    <row r="1262" spans="1:3" x14ac:dyDescent="0.2">
      <c r="A1262" s="315" t="s">
        <v>3245</v>
      </c>
      <c r="B1262">
        <f>IF(ISBLANK(PedBerEnt!$F$5),"",PedBerEnt!$F$5)</f>
        <v>10</v>
      </c>
      <c r="C1262" s="315">
        <v>1</v>
      </c>
    </row>
    <row r="1263" spans="1:3" x14ac:dyDescent="0.2">
      <c r="A1263" s="315" t="s">
        <v>3246</v>
      </c>
      <c r="B1263">
        <f>IF(ISBLANK(PedBerEnt!$F$6),"",PedBerEnt!$F$6)</f>
        <v>11</v>
      </c>
      <c r="C1263" s="315">
        <v>1</v>
      </c>
    </row>
    <row r="1264" spans="1:3" x14ac:dyDescent="0.2">
      <c r="A1264" s="315" t="s">
        <v>3247</v>
      </c>
      <c r="B1264" t="str">
        <f>IF(ISBLANK(PedBerEnt!$B$8),"",PedBerEnt!$B$8)</f>
        <v/>
      </c>
    </row>
    <row r="1265" spans="1:3" x14ac:dyDescent="0.2">
      <c r="A1265" s="315" t="s">
        <v>3248</v>
      </c>
      <c r="B1265">
        <f>IF(ISBLANK(PedBerEnt!$G$3),"",PedBerEnt!$G$3)</f>
        <v>1</v>
      </c>
      <c r="C1265">
        <v>1</v>
      </c>
    </row>
    <row r="1266" spans="1:3" x14ac:dyDescent="0.2">
      <c r="A1266" s="315" t="s">
        <v>3249</v>
      </c>
      <c r="B1266">
        <f>IF(ISBLANK(PedBerEnt!$B$11),"",PedBerEnt!$B$11)</f>
        <v>0</v>
      </c>
      <c r="C1266" s="317">
        <v>0</v>
      </c>
    </row>
    <row r="1267" spans="1:3" x14ac:dyDescent="0.2">
      <c r="A1267" s="315" t="s">
        <v>3250</v>
      </c>
      <c r="B1267">
        <f>IF(ISBLANK(PedBerEnt!$B$12),"",PedBerEnt!$B$12)</f>
        <v>0</v>
      </c>
      <c r="C1267" s="317">
        <v>0</v>
      </c>
    </row>
    <row r="1268" spans="1:3" x14ac:dyDescent="0.2">
      <c r="A1268" s="315" t="s">
        <v>3251</v>
      </c>
      <c r="B1268">
        <f>IF(ISBLANK(PedBerEnt!$B$13),"",PedBerEnt!$B$13)</f>
        <v>0</v>
      </c>
      <c r="C1268" s="317">
        <v>0</v>
      </c>
    </row>
    <row r="1269" spans="1:3" x14ac:dyDescent="0.2">
      <c r="A1269" s="315" t="s">
        <v>3252</v>
      </c>
      <c r="B1269">
        <f>IF(ISBLANK(PedBerEnt!$B$14),"",PedBerEnt!$B$14)</f>
        <v>0</v>
      </c>
      <c r="C1269" s="317">
        <v>0</v>
      </c>
    </row>
    <row r="1270" spans="1:3" x14ac:dyDescent="0.2">
      <c r="A1270" s="315" t="s">
        <v>3253</v>
      </c>
      <c r="B1270">
        <f>IF(ISBLANK(PedBerEnt!$B$15),"",PedBerEnt!$B$15)</f>
        <v>0</v>
      </c>
      <c r="C1270" s="317">
        <v>0</v>
      </c>
    </row>
    <row r="1271" spans="1:3" x14ac:dyDescent="0.2">
      <c r="A1271" s="315" t="s">
        <v>3254</v>
      </c>
      <c r="B1271">
        <f>IF(ISBLANK(PedBerEnt!$B$16),"",PedBerEnt!$B$16)</f>
        <v>0</v>
      </c>
      <c r="C1271" s="317">
        <v>0</v>
      </c>
    </row>
    <row r="1272" spans="1:3" x14ac:dyDescent="0.2">
      <c r="A1272" s="315" t="s">
        <v>3255</v>
      </c>
      <c r="B1272">
        <f>IF(ISBLANK(PedBerEnt!$B$17),"",PedBerEnt!$B$17)</f>
        <v>0</v>
      </c>
      <c r="C1272" s="317">
        <v>0</v>
      </c>
    </row>
    <row r="1273" spans="1:3" x14ac:dyDescent="0.2">
      <c r="A1273" s="315" t="s">
        <v>3256</v>
      </c>
      <c r="B1273">
        <f>IF(ISBLANK(PedBerEnt!$B$18),"",PedBerEnt!$B$18)</f>
        <v>0</v>
      </c>
      <c r="C1273" s="317">
        <v>0</v>
      </c>
    </row>
    <row r="1274" spans="1:3" x14ac:dyDescent="0.2">
      <c r="A1274" s="315" t="s">
        <v>3257</v>
      </c>
      <c r="B1274">
        <f>IF(ISBLANK(PedBerEnt!$B$19),"",PedBerEnt!$B$19)</f>
        <v>0</v>
      </c>
      <c r="C1274" s="317">
        <v>0</v>
      </c>
    </row>
    <row r="1275" spans="1:3" x14ac:dyDescent="0.2">
      <c r="A1275" s="315" t="s">
        <v>3258</v>
      </c>
      <c r="B1275">
        <f>IF(ISBLANK(PedBerEnt!$B$20),"",PedBerEnt!$B$20)</f>
        <v>0</v>
      </c>
      <c r="C1275" s="317">
        <v>0</v>
      </c>
    </row>
    <row r="1276" spans="1:3" x14ac:dyDescent="0.2">
      <c r="A1276" s="315" t="s">
        <v>3259</v>
      </c>
      <c r="B1276">
        <f>IF(ISBLANK(PedBerEnt!$B$21),"",PedBerEnt!$B$21)</f>
        <v>0</v>
      </c>
      <c r="C1276" s="317">
        <v>0</v>
      </c>
    </row>
    <row r="1277" spans="1:3" x14ac:dyDescent="0.2">
      <c r="A1277" s="315" t="s">
        <v>3260</v>
      </c>
      <c r="B1277">
        <f>IF(ISBLANK(PedBerEnt!$B$22),"",PedBerEnt!$B$22)</f>
        <v>0</v>
      </c>
      <c r="C1277" s="317">
        <v>0</v>
      </c>
    </row>
    <row r="1278" spans="1:3" x14ac:dyDescent="0.2">
      <c r="A1278" s="315" t="s">
        <v>3261</v>
      </c>
      <c r="B1278">
        <f>IF(ISBLANK(PedBerEnt!$C$3),"",PedBerEnt!$C$3)</f>
        <v>10</v>
      </c>
      <c r="C1278" s="317">
        <v>0</v>
      </c>
    </row>
    <row r="1279" spans="1:3" x14ac:dyDescent="0.2">
      <c r="A1279" s="315" t="s">
        <v>3262</v>
      </c>
      <c r="B1279">
        <f>IF(ISBLANK(PedBerEnt!$C$4),"",PedBerEnt!$C$4)</f>
        <v>10</v>
      </c>
      <c r="C1279" s="317">
        <v>0</v>
      </c>
    </row>
    <row r="1280" spans="1:3" x14ac:dyDescent="0.2">
      <c r="A1280" s="315" t="s">
        <v>3263</v>
      </c>
      <c r="B1280">
        <f>IF(ISBLANK(PedBerEnt!$C$5),"",PedBerEnt!$C$5)</f>
        <v>10</v>
      </c>
      <c r="C1280" s="317">
        <v>0</v>
      </c>
    </row>
    <row r="1281" spans="1:3" x14ac:dyDescent="0.2">
      <c r="A1281" s="315" t="s">
        <v>3264</v>
      </c>
      <c r="B1281">
        <f>IF(ISBLANK(PedBerEnt!$C$6),"",PedBerEnt!$C$6)</f>
        <v>10</v>
      </c>
      <c r="C1281" s="317">
        <v>0</v>
      </c>
    </row>
    <row r="1282" spans="1:3" x14ac:dyDescent="0.2">
      <c r="A1282" s="315" t="s">
        <v>1159</v>
      </c>
      <c r="B1282">
        <f>IF(ISBLANK(PedBerIVenPM!$B$2),"",PedBerIVenPM!$B$2)</f>
        <v>1</v>
      </c>
      <c r="C1282">
        <v>1</v>
      </c>
    </row>
    <row r="1283" spans="1:3" x14ac:dyDescent="0.2">
      <c r="A1283" s="315" t="s">
        <v>1160</v>
      </c>
      <c r="B1283">
        <f>IF(ISBLANK(PedBerIVenPM!$B$3),"",PedBerIVenPM!$B$3)</f>
        <v>1</v>
      </c>
      <c r="C1283">
        <v>1</v>
      </c>
    </row>
    <row r="1284" spans="1:3" x14ac:dyDescent="0.2">
      <c r="A1284" s="315" t="s">
        <v>1161</v>
      </c>
      <c r="B1284">
        <f>IF(ISBLANK(PedBerIVenPM!$B$4),"",PedBerIVenPM!$B$4)</f>
        <v>1</v>
      </c>
      <c r="C1284">
        <v>1</v>
      </c>
    </row>
    <row r="1285" spans="1:3" x14ac:dyDescent="0.2">
      <c r="A1285" s="315" t="s">
        <v>1162</v>
      </c>
      <c r="B1285">
        <f>IF(ISBLANK(PedBerIVenPM!$B$5),"",PedBerIVenPM!$B$5)</f>
        <v>1</v>
      </c>
      <c r="C1285">
        <v>1</v>
      </c>
    </row>
    <row r="1286" spans="1:3" x14ac:dyDescent="0.2">
      <c r="A1286" s="315" t="s">
        <v>1163</v>
      </c>
      <c r="B1286">
        <f>IF(ISBLANK(PedBerIVenPM!$B$6),"",PedBerIVenPM!$B$6)</f>
        <v>1</v>
      </c>
      <c r="C1286">
        <v>1</v>
      </c>
    </row>
    <row r="1287" spans="1:3" x14ac:dyDescent="0.2">
      <c r="A1287" s="315" t="s">
        <v>1164</v>
      </c>
      <c r="B1287">
        <f>IF(ISBLANK(PedBerIVenPM!$B$7),"",PedBerIVenPM!$B$7)</f>
        <v>1</v>
      </c>
      <c r="C1287">
        <v>1</v>
      </c>
    </row>
    <row r="1288" spans="1:3" x14ac:dyDescent="0.2">
      <c r="A1288" s="315" t="s">
        <v>3265</v>
      </c>
      <c r="B1288" t="str">
        <f>IF(ISBLANK(PedBerIVenPM!$B$9),"",PedBerIVenPM!$B$9)</f>
        <v/>
      </c>
      <c r="C1288" s="130"/>
    </row>
    <row r="1289" spans="1:3" x14ac:dyDescent="0.2">
      <c r="A1289" s="315" t="s">
        <v>3266</v>
      </c>
      <c r="B1289" t="b">
        <f>IF(ISBLANK(PedBerLab!$E$4),"",PedBerLab!$E$4)</f>
        <v>0</v>
      </c>
      <c r="C1289" t="b">
        <v>0</v>
      </c>
    </row>
    <row r="1290" spans="1:3" x14ac:dyDescent="0.2">
      <c r="A1290" s="315" t="s">
        <v>3267</v>
      </c>
      <c r="B1290" t="b">
        <f>IF(ISBLANK(PedBerLab!$E$5),"",PedBerLab!$E$5)</f>
        <v>0</v>
      </c>
      <c r="C1290" s="315" t="b">
        <v>0</v>
      </c>
    </row>
    <row r="1291" spans="1:3" x14ac:dyDescent="0.2">
      <c r="A1291" s="315" t="s">
        <v>3268</v>
      </c>
      <c r="B1291" t="b">
        <f>IF(ISBLANK(PedBerLab!$E$6),"",PedBerLab!$E$6)</f>
        <v>0</v>
      </c>
      <c r="C1291" s="315" t="b">
        <v>0</v>
      </c>
    </row>
    <row r="1292" spans="1:3" x14ac:dyDescent="0.2">
      <c r="A1292" s="315" t="s">
        <v>3269</v>
      </c>
      <c r="B1292" t="b">
        <f>IF(ISBLANK(PedBerLab!$E$7),"",PedBerLab!$E$7)</f>
        <v>0</v>
      </c>
      <c r="C1292" s="315" t="b">
        <v>0</v>
      </c>
    </row>
    <row r="1293" spans="1:3" x14ac:dyDescent="0.2">
      <c r="A1293" s="315" t="s">
        <v>3270</v>
      </c>
      <c r="B1293" t="b">
        <f>IF(ISBLANK(PedBerLab!$E$8),"",PedBerLab!$E$8)</f>
        <v>0</v>
      </c>
      <c r="C1293" s="315" t="b">
        <v>0</v>
      </c>
    </row>
    <row r="1294" spans="1:3" x14ac:dyDescent="0.2">
      <c r="A1294" s="315" t="s">
        <v>3271</v>
      </c>
      <c r="B1294" t="b">
        <f>IF(ISBLANK(PedBerLab!$E$9),"",PedBerLab!$E$9)</f>
        <v>0</v>
      </c>
      <c r="C1294" s="315" t="b">
        <v>0</v>
      </c>
    </row>
    <row r="1295" spans="1:3" x14ac:dyDescent="0.2">
      <c r="A1295" s="315" t="s">
        <v>3272</v>
      </c>
      <c r="B1295" t="b">
        <f>IF(ISBLANK(PedBerLab!$E$10),"",PedBerLab!$E$10)</f>
        <v>0</v>
      </c>
      <c r="C1295" s="315" t="b">
        <v>0</v>
      </c>
    </row>
    <row r="1296" spans="1:3" x14ac:dyDescent="0.2">
      <c r="A1296" s="315" t="s">
        <v>3273</v>
      </c>
      <c r="B1296" t="b">
        <f>IF(ISBLANK(PedBerLab!$E$11),"",PedBerLab!$E$11)</f>
        <v>0</v>
      </c>
      <c r="C1296" s="315" t="b">
        <v>0</v>
      </c>
    </row>
    <row r="1297" spans="1:3" x14ac:dyDescent="0.2">
      <c r="A1297" s="315" t="s">
        <v>3274</v>
      </c>
      <c r="B1297" t="b">
        <f>IF(ISBLANK(PedBerLab!$E$12),"",PedBerLab!$E$12)</f>
        <v>0</v>
      </c>
      <c r="C1297" s="315" t="b">
        <v>0</v>
      </c>
    </row>
    <row r="1298" spans="1:3" x14ac:dyDescent="0.2">
      <c r="A1298" s="315" t="s">
        <v>3275</v>
      </c>
      <c r="B1298" t="b">
        <f>IF(ISBLANK(PedBerLab!$E$13),"",PedBerLab!$E$13)</f>
        <v>0</v>
      </c>
      <c r="C1298" s="315" t="b">
        <v>0</v>
      </c>
    </row>
    <row r="1299" spans="1:3" x14ac:dyDescent="0.2">
      <c r="A1299" s="315" t="s">
        <v>3276</v>
      </c>
      <c r="B1299" t="b">
        <f>IF(ISBLANK(PedBerLab!$E$14),"",PedBerLab!$E$14)</f>
        <v>0</v>
      </c>
      <c r="C1299" s="315" t="b">
        <v>0</v>
      </c>
    </row>
    <row r="1300" spans="1:3" x14ac:dyDescent="0.2">
      <c r="A1300" s="315" t="s">
        <v>3277</v>
      </c>
      <c r="B1300" t="b">
        <f>IF(ISBLANK(PedBerLab!$E$15),"",PedBerLab!$E$15)</f>
        <v>0</v>
      </c>
      <c r="C1300" s="315" t="b">
        <v>0</v>
      </c>
    </row>
    <row r="1301" spans="1:3" x14ac:dyDescent="0.2">
      <c r="A1301" s="315" t="s">
        <v>3278</v>
      </c>
      <c r="B1301" t="b">
        <f>IF(ISBLANK(PedBerLab!$E$16),"",PedBerLab!$E$16)</f>
        <v>0</v>
      </c>
      <c r="C1301" s="315" t="b">
        <v>0</v>
      </c>
    </row>
    <row r="1302" spans="1:3" x14ac:dyDescent="0.2">
      <c r="A1302" s="315" t="s">
        <v>3279</v>
      </c>
      <c r="B1302" t="b">
        <f>IF(ISBLANK(PedBerLab!$E$17),"",PedBerLab!$E$17)</f>
        <v>0</v>
      </c>
      <c r="C1302" s="315" t="b">
        <v>0</v>
      </c>
    </row>
    <row r="1303" spans="1:3" x14ac:dyDescent="0.2">
      <c r="A1303" s="315" t="s">
        <v>3280</v>
      </c>
      <c r="B1303" t="b">
        <f>IF(ISBLANK(PedBerLab!$E$18),"",PedBerLab!$E$18)</f>
        <v>0</v>
      </c>
      <c r="C1303" s="315" t="b">
        <v>0</v>
      </c>
    </row>
    <row r="1304" spans="1:3" x14ac:dyDescent="0.2">
      <c r="A1304" s="315" t="s">
        <v>3281</v>
      </c>
      <c r="B1304" t="b">
        <f>IF(ISBLANK(PedBerLab!$E$19),"",PedBerLab!$E$19)</f>
        <v>0</v>
      </c>
      <c r="C1304" s="315" t="b">
        <v>0</v>
      </c>
    </row>
    <row r="1305" spans="1:3" x14ac:dyDescent="0.2">
      <c r="A1305" s="315" t="s">
        <v>3282</v>
      </c>
      <c r="B1305" t="b">
        <f>IF(ISBLANK(PedBerLab!$E$20),"",PedBerLab!$E$20)</f>
        <v>0</v>
      </c>
      <c r="C1305" s="315" t="b">
        <v>0</v>
      </c>
    </row>
    <row r="1306" spans="1:3" x14ac:dyDescent="0.2">
      <c r="A1306" s="315" t="s">
        <v>3283</v>
      </c>
      <c r="B1306" t="b">
        <f>IF(ISBLANK(PedBerLab!$E$21),"",PedBerLab!$E$21)</f>
        <v>0</v>
      </c>
      <c r="C1306" s="315" t="b">
        <v>0</v>
      </c>
    </row>
    <row r="1307" spans="1:3" x14ac:dyDescent="0.2">
      <c r="A1307" s="315" t="s">
        <v>3284</v>
      </c>
      <c r="B1307" t="b">
        <f>IF(ISBLANK(PedBerLab!$E$22),"",PedBerLab!$E$22)</f>
        <v>0</v>
      </c>
      <c r="C1307" s="315" t="b">
        <v>0</v>
      </c>
    </row>
    <row r="1308" spans="1:3" x14ac:dyDescent="0.2">
      <c r="A1308" s="315" t="s">
        <v>3285</v>
      </c>
      <c r="B1308" t="b">
        <f>IF(ISBLANK(PedBerLab!$E$23),"",PedBerLab!$E$23)</f>
        <v>0</v>
      </c>
      <c r="C1308" s="315" t="b">
        <v>0</v>
      </c>
    </row>
    <row r="1309" spans="1:3" x14ac:dyDescent="0.2">
      <c r="A1309" s="315" t="s">
        <v>3286</v>
      </c>
      <c r="B1309" t="b">
        <f>IF(ISBLANK(PedBerLab!$E$24),"",PedBerLab!$E$24)</f>
        <v>0</v>
      </c>
      <c r="C1309" s="315" t="b">
        <v>0</v>
      </c>
    </row>
    <row r="1310" spans="1:3" x14ac:dyDescent="0.2">
      <c r="A1310" s="315" t="s">
        <v>3287</v>
      </c>
      <c r="B1310" t="b">
        <f>IF(ISBLANK(PedBerLab!$E$25),"",PedBerLab!$E$25)</f>
        <v>0</v>
      </c>
      <c r="C1310" s="315" t="b">
        <v>0</v>
      </c>
    </row>
    <row r="1311" spans="1:3" x14ac:dyDescent="0.2">
      <c r="A1311" s="315" t="s">
        <v>3288</v>
      </c>
      <c r="B1311" t="b">
        <f>IF(ISBLANK(PedBerLab!$E$26),"",PedBerLab!$E$26)</f>
        <v>0</v>
      </c>
      <c r="C1311" s="315" t="b">
        <v>0</v>
      </c>
    </row>
    <row r="1312" spans="1:3" x14ac:dyDescent="0.2">
      <c r="A1312" s="315" t="s">
        <v>3289</v>
      </c>
      <c r="B1312" t="b">
        <f>IF(ISBLANK(PedBerLab!$E$27),"",PedBerLab!$E$27)</f>
        <v>0</v>
      </c>
      <c r="C1312" s="315" t="b">
        <v>0</v>
      </c>
    </row>
    <row r="1313" spans="1:3" x14ac:dyDescent="0.2">
      <c r="A1313" s="315" t="s">
        <v>3290</v>
      </c>
      <c r="B1313" t="b">
        <f>IF(ISBLANK(PedBerLab!$E$28),"",PedBerLab!$E$28)</f>
        <v>0</v>
      </c>
      <c r="C1313" s="315" t="b">
        <v>0</v>
      </c>
    </row>
    <row r="1314" spans="1:3" x14ac:dyDescent="0.2">
      <c r="A1314" s="315" t="s">
        <v>3291</v>
      </c>
      <c r="B1314" t="b">
        <f>IF(ISBLANK(PedBerLab!$E$29),"",PedBerLab!$E$29)</f>
        <v>0</v>
      </c>
      <c r="C1314" s="315" t="b">
        <v>0</v>
      </c>
    </row>
    <row r="1315" spans="1:3" x14ac:dyDescent="0.2">
      <c r="A1315" s="315" t="s">
        <v>3292</v>
      </c>
      <c r="B1315" t="b">
        <f>IF(ISBLANK(PedBerLab!$E$30),"",PedBerLab!$E$30)</f>
        <v>0</v>
      </c>
      <c r="C1315" s="315" t="b">
        <v>0</v>
      </c>
    </row>
    <row r="1316" spans="1:3" x14ac:dyDescent="0.2">
      <c r="A1316" s="315" t="s">
        <v>3293</v>
      </c>
      <c r="B1316" t="b">
        <f>IF(ISBLANK(PedBerLab!$E$31),"",PedBerLab!$E$31)</f>
        <v>0</v>
      </c>
      <c r="C1316" s="315" t="b">
        <v>0</v>
      </c>
    </row>
    <row r="1317" spans="1:3" x14ac:dyDescent="0.2">
      <c r="A1317" s="315" t="s">
        <v>3294</v>
      </c>
      <c r="B1317" t="b">
        <f>IF(ISBLANK(PedBerLab!$E$32),"",PedBerLab!$E$32)</f>
        <v>0</v>
      </c>
      <c r="C1317" s="315" t="b">
        <v>0</v>
      </c>
    </row>
    <row r="1318" spans="1:3" x14ac:dyDescent="0.2">
      <c r="A1318" s="315" t="s">
        <v>3295</v>
      </c>
      <c r="B1318" t="b">
        <f>IF(ISBLANK(PedBerLab!$E$33),"",PedBerLab!$E$33)</f>
        <v>0</v>
      </c>
      <c r="C1318" s="315" t="b">
        <v>0</v>
      </c>
    </row>
    <row r="1319" spans="1:3" x14ac:dyDescent="0.2">
      <c r="A1319" s="315" t="s">
        <v>3296</v>
      </c>
      <c r="B1319" t="b">
        <f>IF(ISBLANK(PedBerLab!$E$34),"",PedBerLab!$E$34)</f>
        <v>0</v>
      </c>
      <c r="C1319" s="315" t="b">
        <v>0</v>
      </c>
    </row>
    <row r="1320" spans="1:3" x14ac:dyDescent="0.2">
      <c r="A1320" s="315" t="s">
        <v>3297</v>
      </c>
      <c r="B1320" t="b">
        <f>IF(ISBLANK(PedBerLab!$G$4),"",PedBerLab!$G$4)</f>
        <v>0</v>
      </c>
      <c r="C1320" s="315" t="b">
        <v>0</v>
      </c>
    </row>
    <row r="1321" spans="1:3" x14ac:dyDescent="0.2">
      <c r="A1321" s="315" t="s">
        <v>3298</v>
      </c>
      <c r="B1321" t="b">
        <f>IF(ISBLANK(PedBerLab!$G$5),"",PedBerLab!$G$5)</f>
        <v>0</v>
      </c>
      <c r="C1321" s="315" t="b">
        <v>0</v>
      </c>
    </row>
    <row r="1322" spans="1:3" x14ac:dyDescent="0.2">
      <c r="A1322" s="315" t="s">
        <v>3299</v>
      </c>
      <c r="B1322" t="b">
        <f>IF(ISBLANK(PedBerLab!$G$6),"",PedBerLab!$G$6)</f>
        <v>0</v>
      </c>
      <c r="C1322" s="315" t="b">
        <v>0</v>
      </c>
    </row>
    <row r="1323" spans="1:3" x14ac:dyDescent="0.2">
      <c r="A1323" s="315" t="s">
        <v>3300</v>
      </c>
      <c r="B1323" t="b">
        <f>IF(ISBLANK(PedBerLab!$G$7),"",PedBerLab!$G$7)</f>
        <v>0</v>
      </c>
      <c r="C1323" s="315" t="b">
        <v>0</v>
      </c>
    </row>
    <row r="1324" spans="1:3" x14ac:dyDescent="0.2">
      <c r="A1324" s="315" t="s">
        <v>3301</v>
      </c>
      <c r="B1324" t="b">
        <f>IF(ISBLANK(PedBerLab!$G$8),"",PedBerLab!$G$8)</f>
        <v>0</v>
      </c>
      <c r="C1324" s="315" t="b">
        <v>0</v>
      </c>
    </row>
    <row r="1325" spans="1:3" x14ac:dyDescent="0.2">
      <c r="A1325" s="315" t="s">
        <v>3302</v>
      </c>
      <c r="B1325" t="b">
        <f>IF(ISBLANK(PedBerLab!$G$9),"",PedBerLab!$G$9)</f>
        <v>0</v>
      </c>
      <c r="C1325" s="315" t="b">
        <v>0</v>
      </c>
    </row>
    <row r="1326" spans="1:3" x14ac:dyDescent="0.2">
      <c r="A1326" s="315" t="s">
        <v>3303</v>
      </c>
      <c r="B1326" t="b">
        <f>IF(ISBLANK(PedBerLab!$G$10),"",PedBerLab!$G$10)</f>
        <v>0</v>
      </c>
      <c r="C1326" s="315" t="b">
        <v>0</v>
      </c>
    </row>
    <row r="1327" spans="1:3" x14ac:dyDescent="0.2">
      <c r="A1327" s="315" t="s">
        <v>3304</v>
      </c>
      <c r="B1327" t="b">
        <f>IF(ISBLANK(PedBerLab!$G$11),"",PedBerLab!$G$11)</f>
        <v>0</v>
      </c>
      <c r="C1327" s="315" t="b">
        <v>0</v>
      </c>
    </row>
    <row r="1328" spans="1:3" x14ac:dyDescent="0.2">
      <c r="A1328" s="315" t="s">
        <v>3305</v>
      </c>
      <c r="B1328" t="b">
        <f>IF(ISBLANK(PedBerLab!$G$12),"",PedBerLab!$G$12)</f>
        <v>0</v>
      </c>
      <c r="C1328" s="315" t="b">
        <v>0</v>
      </c>
    </row>
    <row r="1329" spans="1:3" x14ac:dyDescent="0.2">
      <c r="A1329" s="315" t="s">
        <v>3306</v>
      </c>
      <c r="B1329" t="b">
        <f>IF(ISBLANK(PedBerLab!$G$13),"",PedBerLab!$G$13)</f>
        <v>0</v>
      </c>
      <c r="C1329" s="315" t="b">
        <v>0</v>
      </c>
    </row>
    <row r="1330" spans="1:3" x14ac:dyDescent="0.2">
      <c r="A1330" s="315" t="s">
        <v>3307</v>
      </c>
      <c r="B1330" t="b">
        <f>IF(ISBLANK(PedBerLab!$G$14),"",PedBerLab!$G$14)</f>
        <v>0</v>
      </c>
      <c r="C1330" s="315" t="b">
        <v>0</v>
      </c>
    </row>
    <row r="1331" spans="1:3" x14ac:dyDescent="0.2">
      <c r="A1331" s="315" t="s">
        <v>3308</v>
      </c>
      <c r="B1331" t="b">
        <f>IF(ISBLANK(PedBerLab!$G$15),"",PedBerLab!$G$15)</f>
        <v>0</v>
      </c>
      <c r="C1331" s="315" t="b">
        <v>0</v>
      </c>
    </row>
    <row r="1332" spans="1:3" x14ac:dyDescent="0.2">
      <c r="A1332" s="315" t="s">
        <v>3309</v>
      </c>
      <c r="B1332" t="b">
        <f>IF(ISBLANK(PedBerLab!$G$16),"",PedBerLab!$G$16)</f>
        <v>0</v>
      </c>
      <c r="C1332" s="315" t="b">
        <v>0</v>
      </c>
    </row>
    <row r="1333" spans="1:3" x14ac:dyDescent="0.2">
      <c r="A1333" s="315" t="s">
        <v>3310</v>
      </c>
      <c r="B1333" t="b">
        <f>IF(ISBLANK(PedBerLab!$G$17),"",PedBerLab!$G$17)</f>
        <v>0</v>
      </c>
      <c r="C1333" s="315" t="b">
        <v>0</v>
      </c>
    </row>
    <row r="1334" spans="1:3" x14ac:dyDescent="0.2">
      <c r="A1334" s="315" t="s">
        <v>3311</v>
      </c>
      <c r="B1334" t="b">
        <f>IF(ISBLANK(PedBerLab!$G$18),"",PedBerLab!$G$18)</f>
        <v>0</v>
      </c>
      <c r="C1334" s="315" t="b">
        <v>0</v>
      </c>
    </row>
    <row r="1335" spans="1:3" x14ac:dyDescent="0.2">
      <c r="A1335" s="315" t="s">
        <v>3312</v>
      </c>
      <c r="B1335" t="b">
        <f>IF(ISBLANK(PedBerLab!$G$19),"",PedBerLab!$G$19)</f>
        <v>0</v>
      </c>
      <c r="C1335" s="315" t="b">
        <v>0</v>
      </c>
    </row>
    <row r="1336" spans="1:3" x14ac:dyDescent="0.2">
      <c r="A1336" s="315" t="s">
        <v>3313</v>
      </c>
      <c r="B1336" t="b">
        <f>IF(ISBLANK(PedBerLab!$G$20),"",PedBerLab!$G$20)</f>
        <v>0</v>
      </c>
      <c r="C1336" s="315" t="b">
        <v>0</v>
      </c>
    </row>
    <row r="1337" spans="1:3" x14ac:dyDescent="0.2">
      <c r="A1337" s="315" t="s">
        <v>3314</v>
      </c>
      <c r="B1337" t="b">
        <f>IF(ISBLANK(PedBerLab!$G$21),"",PedBerLab!$G$21)</f>
        <v>0</v>
      </c>
      <c r="C1337" s="315" t="b">
        <v>0</v>
      </c>
    </row>
    <row r="1338" spans="1:3" x14ac:dyDescent="0.2">
      <c r="A1338" s="315" t="s">
        <v>3315</v>
      </c>
      <c r="B1338" t="b">
        <f>IF(ISBLANK(PedBerLab!$G$22),"",PedBerLab!$G$22)</f>
        <v>0</v>
      </c>
      <c r="C1338" s="315" t="b">
        <v>0</v>
      </c>
    </row>
    <row r="1339" spans="1:3" x14ac:dyDescent="0.2">
      <c r="A1339" s="315" t="s">
        <v>3316</v>
      </c>
      <c r="B1339" t="b">
        <f>IF(ISBLANK(PedBerLab!$G$23),"",PedBerLab!$G$23)</f>
        <v>0</v>
      </c>
      <c r="C1339" s="315" t="b">
        <v>0</v>
      </c>
    </row>
    <row r="1340" spans="1:3" x14ac:dyDescent="0.2">
      <c r="A1340" s="315" t="s">
        <v>3317</v>
      </c>
      <c r="B1340" t="b">
        <f>IF(ISBLANK(PedBerLab!$G$24),"",PedBerLab!$G$24)</f>
        <v>0</v>
      </c>
      <c r="C1340" s="315" t="b">
        <v>0</v>
      </c>
    </row>
    <row r="1341" spans="1:3" x14ac:dyDescent="0.2">
      <c r="A1341" s="315" t="s">
        <v>3318</v>
      </c>
      <c r="B1341" t="b">
        <f>IF(ISBLANK(PedBerLab!$G$25),"",PedBerLab!$G$25)</f>
        <v>0</v>
      </c>
      <c r="C1341" s="315" t="b">
        <v>0</v>
      </c>
    </row>
    <row r="1342" spans="1:3" x14ac:dyDescent="0.2">
      <c r="A1342" s="315" t="s">
        <v>3319</v>
      </c>
      <c r="B1342" t="b">
        <f>IF(ISBLANK(PedBerLab!$G$26),"",PedBerLab!$G$26)</f>
        <v>0</v>
      </c>
      <c r="C1342" s="315" t="b">
        <v>0</v>
      </c>
    </row>
    <row r="1343" spans="1:3" x14ac:dyDescent="0.2">
      <c r="A1343" s="315" t="s">
        <v>3320</v>
      </c>
      <c r="B1343" t="b">
        <f>IF(ISBLANK(PedBerLab!$G$27),"",PedBerLab!$G$27)</f>
        <v>0</v>
      </c>
      <c r="C1343" s="315" t="b">
        <v>0</v>
      </c>
    </row>
    <row r="1344" spans="1:3" x14ac:dyDescent="0.2">
      <c r="A1344" s="315" t="s">
        <v>3321</v>
      </c>
      <c r="B1344" t="b">
        <f>IF(ISBLANK(PedBerLab!$G$28),"",PedBerLab!$G$28)</f>
        <v>0</v>
      </c>
      <c r="C1344" s="315" t="b">
        <v>0</v>
      </c>
    </row>
    <row r="1345" spans="1:3" x14ac:dyDescent="0.2">
      <c r="A1345" s="315" t="s">
        <v>3322</v>
      </c>
      <c r="B1345" t="b">
        <f>IF(ISBLANK(PedBerLab!$G$29),"",PedBerLab!$G$29)</f>
        <v>0</v>
      </c>
      <c r="C1345" s="315" t="b">
        <v>0</v>
      </c>
    </row>
    <row r="1346" spans="1:3" x14ac:dyDescent="0.2">
      <c r="A1346" s="315" t="s">
        <v>3323</v>
      </c>
      <c r="B1346" t="b">
        <f>IF(ISBLANK(PedBerLab!$G$30),"",PedBerLab!$G$30)</f>
        <v>0</v>
      </c>
      <c r="C1346" s="315" t="b">
        <v>0</v>
      </c>
    </row>
    <row r="1347" spans="1:3" x14ac:dyDescent="0.2">
      <c r="A1347" s="315" t="s">
        <v>3324</v>
      </c>
      <c r="B1347" t="b">
        <f>IF(ISBLANK(PedBerLab!$G$31),"",PedBerLab!$G$31)</f>
        <v>0</v>
      </c>
      <c r="C1347" s="315" t="b">
        <v>0</v>
      </c>
    </row>
    <row r="1348" spans="1:3" x14ac:dyDescent="0.2">
      <c r="A1348" s="315" t="s">
        <v>3325</v>
      </c>
      <c r="B1348" t="b">
        <f>IF(ISBLANK(PedBerLab!$G$32),"",PedBerLab!$G$32)</f>
        <v>0</v>
      </c>
      <c r="C1348" s="315" t="b">
        <v>0</v>
      </c>
    </row>
    <row r="1349" spans="1:3" x14ac:dyDescent="0.2">
      <c r="A1349" s="315" t="s">
        <v>3326</v>
      </c>
      <c r="B1349" t="b">
        <f>IF(ISBLANK(PedBerLab!$G$33),"",PedBerLab!$G$33)</f>
        <v>0</v>
      </c>
      <c r="C1349" s="315" t="b">
        <v>0</v>
      </c>
    </row>
    <row r="1350" spans="1:3" x14ac:dyDescent="0.2">
      <c r="A1350" s="315" t="s">
        <v>3327</v>
      </c>
      <c r="B1350" t="b">
        <f>IF(ISBLANK(PedBerLab!$G$34),"",PedBerLab!$G$34)</f>
        <v>0</v>
      </c>
      <c r="C1350" s="315" t="b">
        <v>0</v>
      </c>
    </row>
    <row r="1351" spans="1:3" x14ac:dyDescent="0.2">
      <c r="A1351" s="315" t="s">
        <v>3328</v>
      </c>
      <c r="B1351" t="b">
        <f>IF(ISBLANK(PedBerLab!$G$35),"",PedBerLab!$G$35)</f>
        <v>0</v>
      </c>
      <c r="C1351" s="315" t="b">
        <v>0</v>
      </c>
    </row>
    <row r="1352" spans="1:3" x14ac:dyDescent="0.2">
      <c r="A1352" s="315" t="s">
        <v>3329</v>
      </c>
      <c r="B1352" t="b">
        <f>IF(ISBLANK(PedBerLab!$I$4),"",PedBerLab!$I$4)</f>
        <v>0</v>
      </c>
      <c r="C1352" s="315" t="b">
        <v>0</v>
      </c>
    </row>
    <row r="1353" spans="1:3" x14ac:dyDescent="0.2">
      <c r="A1353" s="315" t="s">
        <v>3330</v>
      </c>
      <c r="B1353" t="b">
        <f>IF(ISBLANK(PedBerLab!$I$5),"",PedBerLab!$I$5)</f>
        <v>0</v>
      </c>
      <c r="C1353" s="315" t="b">
        <v>0</v>
      </c>
    </row>
    <row r="1354" spans="1:3" x14ac:dyDescent="0.2">
      <c r="A1354" s="315" t="s">
        <v>3331</v>
      </c>
      <c r="B1354" t="b">
        <f>IF(ISBLANK(PedBerLab!$I$6),"",PedBerLab!$I$6)</f>
        <v>0</v>
      </c>
      <c r="C1354" s="315" t="b">
        <v>0</v>
      </c>
    </row>
    <row r="1355" spans="1:3" x14ac:dyDescent="0.2">
      <c r="A1355" s="315" t="s">
        <v>3332</v>
      </c>
      <c r="B1355" t="b">
        <f>IF(ISBLANK(PedBerLab!$I$7),"",PedBerLab!$I$7)</f>
        <v>0</v>
      </c>
      <c r="C1355" s="315" t="b">
        <v>0</v>
      </c>
    </row>
    <row r="1356" spans="1:3" x14ac:dyDescent="0.2">
      <c r="A1356" s="315" t="s">
        <v>3333</v>
      </c>
      <c r="B1356" t="b">
        <f>IF(ISBLANK(PedBerLab!$I$8),"",PedBerLab!$I$8)</f>
        <v>0</v>
      </c>
      <c r="C1356" s="315" t="b">
        <v>0</v>
      </c>
    </row>
    <row r="1357" spans="1:3" x14ac:dyDescent="0.2">
      <c r="A1357" s="315" t="s">
        <v>3334</v>
      </c>
      <c r="B1357" t="b">
        <f>IF(ISBLANK(PedBerLab!$I$9),"",PedBerLab!$I$9)</f>
        <v>0</v>
      </c>
      <c r="C1357" s="315" t="b">
        <v>0</v>
      </c>
    </row>
    <row r="1358" spans="1:3" x14ac:dyDescent="0.2">
      <c r="A1358" s="315" t="s">
        <v>3335</v>
      </c>
      <c r="B1358" t="b">
        <f>IF(ISBLANK(PedBerLab!$I$10),"",PedBerLab!$I$10)</f>
        <v>0</v>
      </c>
      <c r="C1358" s="315" t="b">
        <v>0</v>
      </c>
    </row>
    <row r="1359" spans="1:3" x14ac:dyDescent="0.2">
      <c r="A1359" s="315" t="s">
        <v>3336</v>
      </c>
      <c r="B1359" t="b">
        <f>IF(ISBLANK(PedBerLab!$I$11),"",PedBerLab!$I$11)</f>
        <v>0</v>
      </c>
      <c r="C1359" s="315" t="b">
        <v>0</v>
      </c>
    </row>
    <row r="1360" spans="1:3" x14ac:dyDescent="0.2">
      <c r="A1360" s="315" t="s">
        <v>3337</v>
      </c>
      <c r="B1360" t="b">
        <f>IF(ISBLANK(PedBerLab!$I$12),"",PedBerLab!$I$12)</f>
        <v>0</v>
      </c>
      <c r="C1360" s="315" t="b">
        <v>0</v>
      </c>
    </row>
    <row r="1361" spans="1:3" x14ac:dyDescent="0.2">
      <c r="A1361" s="315" t="s">
        <v>3338</v>
      </c>
      <c r="B1361" t="b">
        <f>IF(ISBLANK(PedBerLab!$I$13),"",PedBerLab!$I$13)</f>
        <v>0</v>
      </c>
      <c r="C1361" s="315" t="b">
        <v>0</v>
      </c>
    </row>
    <row r="1362" spans="1:3" x14ac:dyDescent="0.2">
      <c r="A1362" s="315" t="s">
        <v>3339</v>
      </c>
      <c r="B1362" t="b">
        <f>IF(ISBLANK(PedBerLab!$I$14),"",PedBerLab!$I$14)</f>
        <v>0</v>
      </c>
      <c r="C1362" s="315" t="b">
        <v>0</v>
      </c>
    </row>
    <row r="1363" spans="1:3" x14ac:dyDescent="0.2">
      <c r="A1363" s="315" t="s">
        <v>3340</v>
      </c>
      <c r="B1363" t="b">
        <f>IF(ISBLANK(PedBerLab!$I$15),"",PedBerLab!$I$15)</f>
        <v>0</v>
      </c>
      <c r="C1363" s="315" t="b">
        <v>0</v>
      </c>
    </row>
    <row r="1364" spans="1:3" x14ac:dyDescent="0.2">
      <c r="A1364" s="315" t="s">
        <v>3341</v>
      </c>
      <c r="B1364" t="b">
        <f>IF(ISBLANK(PedBerLab!$I$16),"",PedBerLab!$I$16)</f>
        <v>0</v>
      </c>
      <c r="C1364" s="315" t="b">
        <v>0</v>
      </c>
    </row>
    <row r="1365" spans="1:3" x14ac:dyDescent="0.2">
      <c r="A1365" s="315" t="s">
        <v>3342</v>
      </c>
      <c r="B1365" t="b">
        <f>IF(ISBLANK(PedBerLab!$I$17),"",PedBerLab!$I$17)</f>
        <v>0</v>
      </c>
      <c r="C1365" s="315" t="b">
        <v>0</v>
      </c>
    </row>
    <row r="1366" spans="1:3" x14ac:dyDescent="0.2">
      <c r="A1366" s="315" t="s">
        <v>3343</v>
      </c>
      <c r="B1366" t="b">
        <f>IF(ISBLANK(PedBerLab!$I$18),"",PedBerLab!$I$18)</f>
        <v>0</v>
      </c>
      <c r="C1366" s="315" t="b">
        <v>0</v>
      </c>
    </row>
    <row r="1367" spans="1:3" x14ac:dyDescent="0.2">
      <c r="A1367" s="315" t="s">
        <v>3344</v>
      </c>
      <c r="B1367" t="b">
        <f>IF(ISBLANK(PedBerLab!$I$19),"",PedBerLab!$I$19)</f>
        <v>0</v>
      </c>
      <c r="C1367" s="315" t="b">
        <v>0</v>
      </c>
    </row>
    <row r="1368" spans="1:3" x14ac:dyDescent="0.2">
      <c r="A1368" s="315" t="s">
        <v>3345</v>
      </c>
      <c r="B1368" t="b">
        <f>IF(ISBLANK(PedBerLab!$I$20),"",PedBerLab!$I$20)</f>
        <v>0</v>
      </c>
      <c r="C1368" s="315" t="b">
        <v>0</v>
      </c>
    </row>
    <row r="1369" spans="1:3" x14ac:dyDescent="0.2">
      <c r="A1369" s="315" t="s">
        <v>3346</v>
      </c>
      <c r="B1369" t="b">
        <f>IF(ISBLANK(PedBerLab!$I$21),"",PedBerLab!$I$21)</f>
        <v>0</v>
      </c>
      <c r="C1369" s="315" t="b">
        <v>0</v>
      </c>
    </row>
    <row r="1370" spans="1:3" x14ac:dyDescent="0.2">
      <c r="A1370" s="315" t="s">
        <v>3347</v>
      </c>
      <c r="B1370" t="b">
        <f>IF(ISBLANK(PedBerLab!$I$22),"",PedBerLab!$I$22)</f>
        <v>0</v>
      </c>
      <c r="C1370" s="315" t="b">
        <v>0</v>
      </c>
    </row>
    <row r="1371" spans="1:3" x14ac:dyDescent="0.2">
      <c r="A1371" s="315" t="s">
        <v>3348</v>
      </c>
      <c r="B1371" t="b">
        <f>IF(ISBLANK(PedBerLab!$I$23),"",PedBerLab!$I$23)</f>
        <v>0</v>
      </c>
      <c r="C1371" s="315" t="b">
        <v>0</v>
      </c>
    </row>
    <row r="1372" spans="1:3" x14ac:dyDescent="0.2">
      <c r="A1372" s="315" t="s">
        <v>3349</v>
      </c>
      <c r="B1372" t="b">
        <f>IF(ISBLANK(PedBerLab!$I$24),"",PedBerLab!$I$24)</f>
        <v>0</v>
      </c>
      <c r="C1372" s="315" t="b">
        <v>0</v>
      </c>
    </row>
    <row r="1373" spans="1:3" x14ac:dyDescent="0.2">
      <c r="A1373" s="315" t="s">
        <v>3350</v>
      </c>
      <c r="B1373" t="b">
        <f>IF(ISBLANK(PedBerLab!$I$25),"",PedBerLab!$I$25)</f>
        <v>0</v>
      </c>
      <c r="C1373" s="315" t="b">
        <v>0</v>
      </c>
    </row>
    <row r="1374" spans="1:3" x14ac:dyDescent="0.2">
      <c r="A1374" s="315" t="s">
        <v>3351</v>
      </c>
      <c r="B1374" t="b">
        <f>IF(ISBLANK(PedBerLab!$I$26),"",PedBerLab!$I$26)</f>
        <v>0</v>
      </c>
      <c r="C1374" s="315" t="b">
        <v>0</v>
      </c>
    </row>
    <row r="1375" spans="1:3" x14ac:dyDescent="0.2">
      <c r="A1375" s="315" t="s">
        <v>3352</v>
      </c>
      <c r="B1375" t="b">
        <f>IF(ISBLANK(PedBerLab!$I$27),"",PedBerLab!$I$27)</f>
        <v>0</v>
      </c>
      <c r="C1375" s="315" t="b">
        <v>0</v>
      </c>
    </row>
    <row r="1376" spans="1:3" x14ac:dyDescent="0.2">
      <c r="A1376" s="315" t="s">
        <v>3353</v>
      </c>
      <c r="B1376" t="b">
        <f>IF(ISBLANK(PedBerLab!$I$28),"",PedBerLab!$I$28)</f>
        <v>0</v>
      </c>
      <c r="C1376" s="315" t="b">
        <v>0</v>
      </c>
    </row>
    <row r="1377" spans="1:3" x14ac:dyDescent="0.2">
      <c r="A1377" s="315" t="s">
        <v>3354</v>
      </c>
      <c r="B1377" t="b">
        <f>IF(ISBLANK(PedBerLab!$I$29),"",PedBerLab!$I$29)</f>
        <v>0</v>
      </c>
      <c r="C1377" s="315" t="b">
        <v>0</v>
      </c>
    </row>
    <row r="1378" spans="1:3" x14ac:dyDescent="0.2">
      <c r="A1378" s="315" t="s">
        <v>3355</v>
      </c>
      <c r="B1378" t="b">
        <f>IF(ISBLANK(PedBerLab!$I$30),"",PedBerLab!$I$30)</f>
        <v>0</v>
      </c>
      <c r="C1378" s="315" t="b">
        <v>0</v>
      </c>
    </row>
    <row r="1379" spans="1:3" x14ac:dyDescent="0.2">
      <c r="A1379" s="315" t="s">
        <v>3356</v>
      </c>
      <c r="B1379" t="b">
        <f>IF(ISBLANK(PedBerLab!$I$31),"",PedBerLab!$I$31)</f>
        <v>0</v>
      </c>
      <c r="C1379" s="315" t="b">
        <v>0</v>
      </c>
    </row>
    <row r="1380" spans="1:3" x14ac:dyDescent="0.2">
      <c r="A1380" s="315" t="s">
        <v>3357</v>
      </c>
      <c r="B1380" t="b">
        <f>IF(ISBLANK(PedBerLab!$I$32),"",PedBerLab!$I$32)</f>
        <v>0</v>
      </c>
      <c r="C1380" s="315" t="b">
        <v>0</v>
      </c>
    </row>
    <row r="1381" spans="1:3" x14ac:dyDescent="0.2">
      <c r="A1381" s="315" t="s">
        <v>3358</v>
      </c>
      <c r="B1381" t="b">
        <f>IF(ISBLANK(PedBerLab!$I$33),"",PedBerLab!$I$33)</f>
        <v>0</v>
      </c>
      <c r="C1381" s="315" t="b">
        <v>0</v>
      </c>
    </row>
    <row r="1382" spans="1:3" x14ac:dyDescent="0.2">
      <c r="A1382" s="315" t="s">
        <v>3359</v>
      </c>
      <c r="B1382" t="b">
        <f>IF(ISBLANK(PedBerLab!$I$34),"",PedBerLab!$I$34)</f>
        <v>0</v>
      </c>
      <c r="C1382" s="315" t="b">
        <v>0</v>
      </c>
    </row>
    <row r="1383" spans="1:3" x14ac:dyDescent="0.2">
      <c r="A1383" s="315" t="s">
        <v>3360</v>
      </c>
      <c r="B1383" t="b">
        <f>IF(ISBLANK(PedBerLab!$L$4),"",PedBerLab!$L$4)</f>
        <v>0</v>
      </c>
      <c r="C1383" s="315" t="b">
        <v>0</v>
      </c>
    </row>
    <row r="1384" spans="1:3" x14ac:dyDescent="0.2">
      <c r="A1384" s="315" t="s">
        <v>3361</v>
      </c>
      <c r="B1384" t="b">
        <f>IF(ISBLANK(PedBerLab!$L$5),"",PedBerLab!$L$5)</f>
        <v>0</v>
      </c>
      <c r="C1384" s="315" t="b">
        <v>0</v>
      </c>
    </row>
    <row r="1385" spans="1:3" x14ac:dyDescent="0.2">
      <c r="A1385" s="315" t="s">
        <v>3362</v>
      </c>
      <c r="B1385" t="b">
        <f>IF(ISBLANK(PedBerLab!$L$6),"",PedBerLab!$L$6)</f>
        <v>0</v>
      </c>
      <c r="C1385" s="315" t="b">
        <v>0</v>
      </c>
    </row>
    <row r="1386" spans="1:3" x14ac:dyDescent="0.2">
      <c r="A1386" s="315" t="s">
        <v>3363</v>
      </c>
      <c r="B1386" t="b">
        <f>IF(ISBLANK(PedBerLab!$L$7),"",PedBerLab!$L$7)</f>
        <v>0</v>
      </c>
      <c r="C1386" s="315" t="b">
        <v>0</v>
      </c>
    </row>
    <row r="1387" spans="1:3" x14ac:dyDescent="0.2">
      <c r="A1387" s="315" t="s">
        <v>3364</v>
      </c>
      <c r="B1387" t="b">
        <f>IF(ISBLANK(PedBerLab!$L$8),"",PedBerLab!$L$8)</f>
        <v>0</v>
      </c>
      <c r="C1387" s="315" t="b">
        <v>0</v>
      </c>
    </row>
    <row r="1388" spans="1:3" x14ac:dyDescent="0.2">
      <c r="A1388" s="315" t="s">
        <v>3365</v>
      </c>
      <c r="B1388" t="b">
        <f>IF(ISBLANK(PedBerLab!$L$9),"",PedBerLab!$L$9)</f>
        <v>0</v>
      </c>
      <c r="C1388" s="315" t="b">
        <v>0</v>
      </c>
    </row>
    <row r="1389" spans="1:3" x14ac:dyDescent="0.2">
      <c r="A1389" s="315" t="s">
        <v>3366</v>
      </c>
      <c r="B1389" t="b">
        <f>IF(ISBLANK(PedBerLab!$L$10),"",PedBerLab!$L$10)</f>
        <v>0</v>
      </c>
      <c r="C1389" s="315" t="b">
        <v>0</v>
      </c>
    </row>
    <row r="1390" spans="1:3" x14ac:dyDescent="0.2">
      <c r="A1390" s="315" t="s">
        <v>3367</v>
      </c>
      <c r="B1390" t="b">
        <f>IF(ISBLANK(PedBerLab!$L$11),"",PedBerLab!$L$11)</f>
        <v>0</v>
      </c>
      <c r="C1390" s="315" t="b">
        <v>0</v>
      </c>
    </row>
    <row r="1391" spans="1:3" x14ac:dyDescent="0.2">
      <c r="A1391" s="315" t="s">
        <v>3368</v>
      </c>
      <c r="B1391" t="b">
        <f>IF(ISBLANK(PedBerLab!$L$12),"",PedBerLab!$L$12)</f>
        <v>0</v>
      </c>
      <c r="C1391" s="315" t="b">
        <v>0</v>
      </c>
    </row>
    <row r="1392" spans="1:3" x14ac:dyDescent="0.2">
      <c r="A1392" s="315" t="s">
        <v>3369</v>
      </c>
      <c r="B1392" t="b">
        <f>IF(ISBLANK(PedBerLab!$L$13),"",PedBerLab!$L$13)</f>
        <v>0</v>
      </c>
      <c r="C1392" s="315" t="b">
        <v>0</v>
      </c>
    </row>
    <row r="1393" spans="1:3" x14ac:dyDescent="0.2">
      <c r="A1393" s="315" t="s">
        <v>3370</v>
      </c>
      <c r="B1393" t="b">
        <f>IF(ISBLANK(PedBerLab!$L$14),"",PedBerLab!$L$14)</f>
        <v>0</v>
      </c>
      <c r="C1393" s="315" t="b">
        <v>0</v>
      </c>
    </row>
    <row r="1394" spans="1:3" x14ac:dyDescent="0.2">
      <c r="A1394" s="315" t="s">
        <v>3371</v>
      </c>
      <c r="B1394" t="b">
        <f>IF(ISBLANK(PedBerLab!$L$15),"",PedBerLab!$L$15)</f>
        <v>0</v>
      </c>
      <c r="C1394" s="315" t="b">
        <v>0</v>
      </c>
    </row>
    <row r="1395" spans="1:3" x14ac:dyDescent="0.2">
      <c r="A1395" s="315" t="s">
        <v>3372</v>
      </c>
      <c r="B1395" t="b">
        <f>IF(ISBLANK(PedBerLab!$L$16),"",PedBerLab!$L$16)</f>
        <v>0</v>
      </c>
      <c r="C1395" s="315" t="b">
        <v>0</v>
      </c>
    </row>
    <row r="1396" spans="1:3" x14ac:dyDescent="0.2">
      <c r="A1396" s="315" t="s">
        <v>3373</v>
      </c>
      <c r="B1396" t="b">
        <f>IF(ISBLANK(PedBerLab!$L$17),"",PedBerLab!$L$17)</f>
        <v>0</v>
      </c>
      <c r="C1396" s="315" t="b">
        <v>0</v>
      </c>
    </row>
    <row r="1397" spans="1:3" x14ac:dyDescent="0.2">
      <c r="A1397" s="315" t="s">
        <v>3374</v>
      </c>
      <c r="B1397" t="b">
        <f>IF(ISBLANK(PedBerLab!$L$18),"",PedBerLab!$L$18)</f>
        <v>0</v>
      </c>
      <c r="C1397" s="315" t="b">
        <v>0</v>
      </c>
    </row>
    <row r="1398" spans="1:3" x14ac:dyDescent="0.2">
      <c r="A1398" s="315" t="s">
        <v>3375</v>
      </c>
      <c r="B1398" t="b">
        <f>IF(ISBLANK(PedBerLab!$L$19),"",PedBerLab!$L$19)</f>
        <v>0</v>
      </c>
      <c r="C1398" s="315" t="b">
        <v>0</v>
      </c>
    </row>
    <row r="1399" spans="1:3" x14ac:dyDescent="0.2">
      <c r="A1399" s="315" t="s">
        <v>3376</v>
      </c>
      <c r="B1399" t="b">
        <f>IF(ISBLANK(PedBerLab!$L$20),"",PedBerLab!$L$20)</f>
        <v>0</v>
      </c>
      <c r="C1399" s="315" t="b">
        <v>0</v>
      </c>
    </row>
    <row r="1400" spans="1:3" x14ac:dyDescent="0.2">
      <c r="A1400" s="315" t="s">
        <v>3377</v>
      </c>
      <c r="B1400" t="b">
        <f>IF(ISBLANK(PedBerLab!$L$21),"",PedBerLab!$L$21)</f>
        <v>0</v>
      </c>
      <c r="C1400" s="315" t="b">
        <v>0</v>
      </c>
    </row>
    <row r="1401" spans="1:3" x14ac:dyDescent="0.2">
      <c r="A1401" s="315" t="s">
        <v>3378</v>
      </c>
      <c r="B1401" t="b">
        <f>IF(ISBLANK(PedBerLab!$L$22),"",PedBerLab!$L$22)</f>
        <v>0</v>
      </c>
      <c r="C1401" s="315" t="b">
        <v>0</v>
      </c>
    </row>
    <row r="1402" spans="1:3" x14ac:dyDescent="0.2">
      <c r="A1402" s="315" t="s">
        <v>3379</v>
      </c>
      <c r="B1402" t="b">
        <f>IF(ISBLANK(PedBerLab!$L$23),"",PedBerLab!$L$23)</f>
        <v>0</v>
      </c>
      <c r="C1402" s="315" t="b">
        <v>0</v>
      </c>
    </row>
    <row r="1403" spans="1:3" x14ac:dyDescent="0.2">
      <c r="A1403" s="315" t="s">
        <v>3380</v>
      </c>
      <c r="B1403" t="b">
        <f>IF(ISBLANK(PedBerLab!$L$24),"",PedBerLab!$L$24)</f>
        <v>0</v>
      </c>
      <c r="C1403" s="315" t="b">
        <v>0</v>
      </c>
    </row>
    <row r="1404" spans="1:3" x14ac:dyDescent="0.2">
      <c r="A1404" s="315" t="s">
        <v>3381</v>
      </c>
      <c r="B1404" t="b">
        <f>IF(ISBLANK(PedBerLab!$L$25),"",PedBerLab!$L$25)</f>
        <v>0</v>
      </c>
      <c r="C1404" s="315" t="b">
        <v>0</v>
      </c>
    </row>
    <row r="1405" spans="1:3" x14ac:dyDescent="0.2">
      <c r="A1405" s="315" t="s">
        <v>3382</v>
      </c>
      <c r="B1405" t="b">
        <f>IF(ISBLANK(PedBerLab!$L$26),"",PedBerLab!$L$26)</f>
        <v>0</v>
      </c>
      <c r="C1405" s="315" t="b">
        <v>0</v>
      </c>
    </row>
    <row r="1406" spans="1:3" x14ac:dyDescent="0.2">
      <c r="A1406" s="315" t="s">
        <v>3383</v>
      </c>
      <c r="B1406" t="b">
        <f>IF(ISBLANK(PedBerLab!$L$27),"",PedBerLab!$L$27)</f>
        <v>0</v>
      </c>
      <c r="C1406" s="315" t="b">
        <v>0</v>
      </c>
    </row>
    <row r="1407" spans="1:3" x14ac:dyDescent="0.2">
      <c r="A1407" s="315" t="s">
        <v>3384</v>
      </c>
      <c r="B1407" t="b">
        <f>IF(ISBLANK(PedBerLab!$L$28),"",PedBerLab!$L$28)</f>
        <v>0</v>
      </c>
      <c r="C1407" s="315" t="b">
        <v>0</v>
      </c>
    </row>
    <row r="1408" spans="1:3" x14ac:dyDescent="0.2">
      <c r="A1408" s="315" t="s">
        <v>3385</v>
      </c>
      <c r="B1408" t="b">
        <f>IF(ISBLANK(PedBerLab!$L$29),"",PedBerLab!$L$29)</f>
        <v>0</v>
      </c>
      <c r="C1408" s="315" t="b">
        <v>0</v>
      </c>
    </row>
    <row r="1409" spans="1:3" x14ac:dyDescent="0.2">
      <c r="A1409" s="315" t="s">
        <v>3386</v>
      </c>
      <c r="B1409" t="b">
        <f>IF(ISBLANK(PedBerLab!$L$30),"",PedBerLab!$L$30)</f>
        <v>0</v>
      </c>
      <c r="C1409" s="315" t="b">
        <v>0</v>
      </c>
    </row>
    <row r="1410" spans="1:3" x14ac:dyDescent="0.2">
      <c r="A1410" s="315" t="s">
        <v>3387</v>
      </c>
      <c r="B1410" t="b">
        <f>IF(ISBLANK(PedBerLab!$L$31),"",PedBerLab!$L$31)</f>
        <v>0</v>
      </c>
      <c r="C1410" s="315" t="b">
        <v>0</v>
      </c>
    </row>
    <row r="1411" spans="1:3" x14ac:dyDescent="0.2">
      <c r="A1411" s="315" t="s">
        <v>3388</v>
      </c>
      <c r="B1411" t="b">
        <f>IF(ISBLANK(PedBerLab!$L$32),"",PedBerLab!$L$32)</f>
        <v>0</v>
      </c>
      <c r="C1411" s="315" t="b">
        <v>0</v>
      </c>
    </row>
    <row r="1412" spans="1:3" x14ac:dyDescent="0.2">
      <c r="A1412" s="315" t="s">
        <v>3389</v>
      </c>
      <c r="B1412" t="b">
        <f>IF(ISBLANK(PedBerLab!$L$33),"",PedBerLab!$L$33)</f>
        <v>0</v>
      </c>
      <c r="C1412" s="315" t="b">
        <v>0</v>
      </c>
    </row>
    <row r="1413" spans="1:3" x14ac:dyDescent="0.2">
      <c r="A1413" s="315" t="s">
        <v>3390</v>
      </c>
      <c r="B1413" t="b">
        <f>IF(ISBLANK(PedBerLab!$L$34),"",PedBerLab!$L$34)</f>
        <v>0</v>
      </c>
      <c r="C1413" s="315" t="b">
        <v>0</v>
      </c>
    </row>
    <row r="1414" spans="1:3" x14ac:dyDescent="0.2">
      <c r="A1414" s="315" t="s">
        <v>3391</v>
      </c>
      <c r="B1414" t="str">
        <f>IF(ISBLANK(GlobBerOpm!$B$5),"",GlobBerOpm!$B$5)</f>
        <v/>
      </c>
      <c r="C1414" s="130"/>
    </row>
    <row r="1415" spans="1:3" x14ac:dyDescent="0.2">
      <c r="A1415" s="315" t="s">
        <v>3392</v>
      </c>
      <c r="B1415" t="b">
        <f>IF(ISBLANK(PedBerLab!$C$4),"",PedBerLab!$C$4)</f>
        <v>0</v>
      </c>
      <c r="C1415" t="b">
        <v>0</v>
      </c>
    </row>
    <row r="1416" spans="1:3" x14ac:dyDescent="0.2">
      <c r="A1416" s="315" t="s">
        <v>3393</v>
      </c>
      <c r="B1416" t="b">
        <f>IF(ISBLANK(PedBerLab!$C$5),"",PedBerLab!$C$5)</f>
        <v>0</v>
      </c>
      <c r="C1416" s="315" t="b">
        <v>0</v>
      </c>
    </row>
    <row r="1417" spans="1:3" x14ac:dyDescent="0.2">
      <c r="A1417" s="315" t="s">
        <v>3394</v>
      </c>
      <c r="B1417" t="b">
        <f>IF(ISBLANK(PedBerLab!$C$6),"",PedBerLab!$C$6)</f>
        <v>0</v>
      </c>
      <c r="C1417" s="315" t="b">
        <v>0</v>
      </c>
    </row>
    <row r="1418" spans="1:3" x14ac:dyDescent="0.2">
      <c r="A1418" s="315" t="s">
        <v>3395</v>
      </c>
      <c r="B1418" t="b">
        <f>IF(ISBLANK(PedBerLab!$C$7),"",PedBerLab!$C$7)</f>
        <v>0</v>
      </c>
      <c r="C1418" s="315" t="b">
        <v>0</v>
      </c>
    </row>
    <row r="1419" spans="1:3" x14ac:dyDescent="0.2">
      <c r="A1419" s="315" t="s">
        <v>3396</v>
      </c>
      <c r="B1419" t="b">
        <f>IF(ISBLANK(PedBerLab!$C$8),"",PedBerLab!$C$8)</f>
        <v>0</v>
      </c>
      <c r="C1419" s="315" t="b">
        <v>0</v>
      </c>
    </row>
    <row r="1420" spans="1:3" x14ac:dyDescent="0.2">
      <c r="A1420" s="315" t="s">
        <v>3397</v>
      </c>
      <c r="B1420" t="b">
        <f>IF(ISBLANK(PedBerLab!$C$9),"",PedBerLab!$C$9)</f>
        <v>0</v>
      </c>
      <c r="C1420" s="315" t="b">
        <v>0</v>
      </c>
    </row>
    <row r="1421" spans="1:3" x14ac:dyDescent="0.2">
      <c r="A1421" s="315" t="s">
        <v>3398</v>
      </c>
      <c r="B1421" t="b">
        <f>IF(ISBLANK(PedBerLab!$C$10),"",PedBerLab!$C$10)</f>
        <v>0</v>
      </c>
      <c r="C1421" s="315" t="b">
        <v>0</v>
      </c>
    </row>
    <row r="1422" spans="1:3" x14ac:dyDescent="0.2">
      <c r="A1422" s="315" t="s">
        <v>3399</v>
      </c>
      <c r="B1422" t="b">
        <f>IF(ISBLANK(PedBerLab!$C$11),"",PedBerLab!$C$11)</f>
        <v>0</v>
      </c>
      <c r="C1422" s="315" t="b">
        <v>0</v>
      </c>
    </row>
    <row r="1423" spans="1:3" x14ac:dyDescent="0.2">
      <c r="A1423" s="315" t="s">
        <v>3400</v>
      </c>
      <c r="B1423" t="b">
        <f>IF(ISBLANK(PedBerLab!$C$12),"",PedBerLab!$C$12)</f>
        <v>0</v>
      </c>
      <c r="C1423" s="315" t="b">
        <v>0</v>
      </c>
    </row>
    <row r="1424" spans="1:3" x14ac:dyDescent="0.2">
      <c r="A1424" s="315" t="s">
        <v>3401</v>
      </c>
      <c r="B1424" t="b">
        <f>IF(ISBLANK(PedBerLab!$C$13),"",PedBerLab!$C$13)</f>
        <v>0</v>
      </c>
      <c r="C1424" s="315" t="b">
        <v>0</v>
      </c>
    </row>
    <row r="1425" spans="1:3" x14ac:dyDescent="0.2">
      <c r="A1425" s="315" t="s">
        <v>3402</v>
      </c>
      <c r="B1425" t="b">
        <f>IF(ISBLANK(PedBerLab!$C$14),"",PedBerLab!$C$14)</f>
        <v>0</v>
      </c>
      <c r="C1425" s="315" t="b">
        <v>0</v>
      </c>
    </row>
    <row r="1426" spans="1:3" x14ac:dyDescent="0.2">
      <c r="A1426" s="315" t="s">
        <v>3403</v>
      </c>
      <c r="B1426" t="b">
        <f>IF(ISBLANK(PedBerLab!$C$15),"",PedBerLab!$C$15)</f>
        <v>0</v>
      </c>
      <c r="C1426" s="315" t="b">
        <v>0</v>
      </c>
    </row>
    <row r="1427" spans="1:3" x14ac:dyDescent="0.2">
      <c r="A1427" s="315" t="s">
        <v>3404</v>
      </c>
      <c r="B1427" t="b">
        <f>IF(ISBLANK(PedBerLab!$C$16),"",PedBerLab!$C$16)</f>
        <v>0</v>
      </c>
      <c r="C1427" s="315" t="b">
        <v>0</v>
      </c>
    </row>
    <row r="1428" spans="1:3" x14ac:dyDescent="0.2">
      <c r="A1428" s="315" t="s">
        <v>3405</v>
      </c>
      <c r="B1428" t="b">
        <f>IF(ISBLANK(PedBerLab!$C$17),"",PedBerLab!$C$17)</f>
        <v>0</v>
      </c>
      <c r="C1428" s="315" t="b">
        <v>0</v>
      </c>
    </row>
    <row r="1429" spans="1:3" x14ac:dyDescent="0.2">
      <c r="A1429" s="315" t="s">
        <v>3406</v>
      </c>
      <c r="B1429" t="b">
        <f>IF(ISBLANK(PedBerLab!$C$18),"",PedBerLab!$C$18)</f>
        <v>0</v>
      </c>
      <c r="C1429" s="315" t="b">
        <v>0</v>
      </c>
    </row>
    <row r="1430" spans="1:3" x14ac:dyDescent="0.2">
      <c r="A1430" s="315" t="s">
        <v>3407</v>
      </c>
      <c r="B1430" t="b">
        <f>IF(ISBLANK(PedBerLab!$C$19),"",PedBerLab!$C$19)</f>
        <v>0</v>
      </c>
      <c r="C1430" s="315" t="b">
        <v>0</v>
      </c>
    </row>
    <row r="1431" spans="1:3" x14ac:dyDescent="0.2">
      <c r="A1431" s="315" t="s">
        <v>3408</v>
      </c>
      <c r="B1431" t="b">
        <f>IF(ISBLANK(PedBerLab!$C$20),"",PedBerLab!$C$20)</f>
        <v>0</v>
      </c>
      <c r="C1431" s="315" t="b">
        <v>0</v>
      </c>
    </row>
    <row r="1432" spans="1:3" x14ac:dyDescent="0.2">
      <c r="A1432" s="315" t="s">
        <v>3409</v>
      </c>
      <c r="B1432" t="b">
        <f>IF(ISBLANK(PedBerLab!$C$21),"",PedBerLab!$C$21)</f>
        <v>0</v>
      </c>
      <c r="C1432" s="315" t="b">
        <v>0</v>
      </c>
    </row>
    <row r="1433" spans="1:3" x14ac:dyDescent="0.2">
      <c r="A1433" s="315" t="s">
        <v>3410</v>
      </c>
      <c r="B1433" t="b">
        <f>IF(ISBLANK(PedBerLab!$C$22),"",PedBerLab!$C$22)</f>
        <v>0</v>
      </c>
      <c r="C1433" s="315" t="b">
        <v>0</v>
      </c>
    </row>
    <row r="1434" spans="1:3" x14ac:dyDescent="0.2">
      <c r="A1434" s="315" t="s">
        <v>3411</v>
      </c>
      <c r="B1434" t="b">
        <f>IF(ISBLANK(PedBerLab!$C$23),"",PedBerLab!$C$23)</f>
        <v>0</v>
      </c>
      <c r="C1434" s="315" t="b">
        <v>0</v>
      </c>
    </row>
    <row r="1435" spans="1:3" x14ac:dyDescent="0.2">
      <c r="A1435" s="315" t="s">
        <v>3412</v>
      </c>
      <c r="B1435" t="b">
        <f>IF(ISBLANK(PedBerLab!$C$24),"",PedBerLab!$C$24)</f>
        <v>0</v>
      </c>
      <c r="C1435" s="315" t="b">
        <v>0</v>
      </c>
    </row>
    <row r="1436" spans="1:3" x14ac:dyDescent="0.2">
      <c r="A1436" s="315" t="s">
        <v>3413</v>
      </c>
      <c r="B1436" t="b">
        <f>IF(ISBLANK(PedBerLab!$C$25),"",PedBerLab!$C$25)</f>
        <v>0</v>
      </c>
      <c r="C1436" s="315" t="b">
        <v>0</v>
      </c>
    </row>
    <row r="1437" spans="1:3" x14ac:dyDescent="0.2">
      <c r="A1437" s="315" t="s">
        <v>3414</v>
      </c>
      <c r="B1437" t="b">
        <f>IF(ISBLANK(PedBerLab!$C$26),"",PedBerLab!$C$26)</f>
        <v>0</v>
      </c>
      <c r="C1437" s="315" t="b">
        <v>0</v>
      </c>
    </row>
    <row r="1438" spans="1:3" x14ac:dyDescent="0.2">
      <c r="A1438" s="315" t="s">
        <v>3415</v>
      </c>
      <c r="B1438" t="b">
        <f>IF(ISBLANK(PedBerLab!$C$27),"",PedBerLab!$C$27)</f>
        <v>0</v>
      </c>
      <c r="C1438" s="315" t="b">
        <v>0</v>
      </c>
    </row>
    <row r="1439" spans="1:3" x14ac:dyDescent="0.2">
      <c r="A1439" s="315" t="s">
        <v>3416</v>
      </c>
      <c r="B1439" t="b">
        <f>IF(ISBLANK(PedBerLab!$C$28),"",PedBerLab!$C$28)</f>
        <v>0</v>
      </c>
      <c r="C1439" s="315" t="b">
        <v>0</v>
      </c>
    </row>
    <row r="1440" spans="1:3" x14ac:dyDescent="0.2">
      <c r="A1440" s="315" t="s">
        <v>3417</v>
      </c>
      <c r="B1440" t="b">
        <f>IF(ISBLANK(PedBerLab!$C$29),"",PedBerLab!$C$29)</f>
        <v>0</v>
      </c>
      <c r="C1440" s="315" t="b">
        <v>0</v>
      </c>
    </row>
    <row r="1441" spans="1:3" x14ac:dyDescent="0.2">
      <c r="A1441" s="315" t="s">
        <v>3418</v>
      </c>
      <c r="B1441" t="b">
        <f>IF(ISBLANK(PedBerLab!$C$30),"",PedBerLab!$C$30)</f>
        <v>0</v>
      </c>
      <c r="C1441" s="315" t="b">
        <v>0</v>
      </c>
    </row>
    <row r="1442" spans="1:3" x14ac:dyDescent="0.2">
      <c r="A1442" s="315" t="s">
        <v>3419</v>
      </c>
      <c r="B1442" t="b">
        <f>IF(ISBLANK(PedBerLab!$C$31),"",PedBerLab!$C$31)</f>
        <v>0</v>
      </c>
      <c r="C1442" s="315" t="b">
        <v>0</v>
      </c>
    </row>
    <row r="1443" spans="1:3" x14ac:dyDescent="0.2">
      <c r="A1443" s="315" t="s">
        <v>3420</v>
      </c>
      <c r="B1443" t="b">
        <f>IF(ISBLANK(PedBerLab!$C$32),"",PedBerLab!$C$32)</f>
        <v>0</v>
      </c>
      <c r="C1443" s="315" t="b">
        <v>0</v>
      </c>
    </row>
    <row r="1444" spans="1:3" x14ac:dyDescent="0.2">
      <c r="A1444" s="315" t="s">
        <v>3421</v>
      </c>
      <c r="B1444" t="b">
        <f>IF(ISBLANK(PedBerLab!$C$33),"",PedBerLab!$C$33)</f>
        <v>0</v>
      </c>
      <c r="C1444" s="315" t="b">
        <v>0</v>
      </c>
    </row>
    <row r="1445" spans="1:3" x14ac:dyDescent="0.2">
      <c r="A1445" s="315" t="s">
        <v>3422</v>
      </c>
      <c r="B1445" t="b">
        <f>IF(ISBLANK(PedBerLab!$C$34),"",PedBerLab!$C$34)</f>
        <v>0</v>
      </c>
      <c r="C1445" s="315" t="b">
        <v>0</v>
      </c>
    </row>
    <row r="1446" spans="1:3" x14ac:dyDescent="0.2">
      <c r="A1446" s="315" t="s">
        <v>3423</v>
      </c>
      <c r="B1446" t="b">
        <f>IF(ISBLANK(PedBerLab!$C$35),"",PedBerLab!$C$35)</f>
        <v>0</v>
      </c>
      <c r="C1446" s="315" t="b">
        <v>0</v>
      </c>
    </row>
    <row r="1447" spans="1:3" x14ac:dyDescent="0.2">
      <c r="A1447" s="315" t="s">
        <v>3424</v>
      </c>
      <c r="B1447">
        <f>IF(ISBLANK(PedBerMedIV!$B$3),"",PedBerMedIV!$B$3)</f>
        <v>1</v>
      </c>
      <c r="C1447">
        <v>1</v>
      </c>
    </row>
    <row r="1448" spans="1:3" x14ac:dyDescent="0.2">
      <c r="A1448" s="315" t="s">
        <v>3425</v>
      </c>
      <c r="B1448">
        <f>IF(ISBLANK(PedBerMedIV!$B$4),"",PedBerMedIV!$B$4)</f>
        <v>1</v>
      </c>
      <c r="C1448">
        <v>1</v>
      </c>
    </row>
    <row r="1449" spans="1:3" x14ac:dyDescent="0.2">
      <c r="A1449" s="315" t="s">
        <v>3426</v>
      </c>
      <c r="B1449">
        <f>IF(ISBLANK(PedBerMedIV!$B$5),"",PedBerMedIV!$B$5)</f>
        <v>1</v>
      </c>
      <c r="C1449">
        <v>1</v>
      </c>
    </row>
    <row r="1450" spans="1:3" x14ac:dyDescent="0.2">
      <c r="A1450" s="315" t="s">
        <v>3427</v>
      </c>
      <c r="B1450">
        <f>IF(ISBLANK(PedBerMedIV!$B$6),"",PedBerMedIV!$B$6)</f>
        <v>1</v>
      </c>
      <c r="C1450">
        <v>1</v>
      </c>
    </row>
    <row r="1451" spans="1:3" x14ac:dyDescent="0.2">
      <c r="A1451" s="315" t="s">
        <v>3428</v>
      </c>
      <c r="B1451">
        <f>IF(ISBLANK(PedBerMedIV!$B$7),"",PedBerMedIV!$B$7)</f>
        <v>1</v>
      </c>
      <c r="C1451">
        <v>1</v>
      </c>
    </row>
    <row r="1452" spans="1:3" x14ac:dyDescent="0.2">
      <c r="A1452" s="315" t="s">
        <v>3429</v>
      </c>
      <c r="B1452">
        <f>IF(ISBLANK(PedBerMedIV!$B$8),"",PedBerMedIV!$B$8)</f>
        <v>1</v>
      </c>
      <c r="C1452">
        <v>1</v>
      </c>
    </row>
    <row r="1453" spans="1:3" x14ac:dyDescent="0.2">
      <c r="A1453" s="315" t="s">
        <v>3430</v>
      </c>
      <c r="B1453">
        <f>IF(ISBLANK(PedBerMedIV!$B$9),"",PedBerMedIV!$B$9)</f>
        <v>1</v>
      </c>
      <c r="C1453">
        <v>1</v>
      </c>
    </row>
    <row r="1454" spans="1:3" x14ac:dyDescent="0.2">
      <c r="A1454" s="315" t="s">
        <v>3431</v>
      </c>
      <c r="B1454">
        <f>IF(ISBLANK(PedBerMedIV!$B$10),"",PedBerMedIV!$B$10)</f>
        <v>1</v>
      </c>
      <c r="C1454">
        <v>1</v>
      </c>
    </row>
    <row r="1455" spans="1:3" x14ac:dyDescent="0.2">
      <c r="A1455" s="315" t="s">
        <v>3432</v>
      </c>
      <c r="B1455">
        <f>IF(ISBLANK(PedBerMedIV!$B$11),"",PedBerMedIV!$B$11)</f>
        <v>1</v>
      </c>
      <c r="C1455">
        <v>1</v>
      </c>
    </row>
    <row r="1456" spans="1:3" x14ac:dyDescent="0.2">
      <c r="A1456" s="315" t="s">
        <v>3433</v>
      </c>
      <c r="B1456">
        <f>IF(ISBLANK(PedBerMedIV!$B$12),"",PedBerMedIV!$B$12)</f>
        <v>1</v>
      </c>
      <c r="C1456">
        <v>1</v>
      </c>
    </row>
    <row r="1457" spans="1:3" x14ac:dyDescent="0.2">
      <c r="A1457" s="315" t="s">
        <v>3434</v>
      </c>
      <c r="B1457">
        <f>IF(ISBLANK(PedBerMedIV!$B$13),"",PedBerMedIV!$B$13)</f>
        <v>1</v>
      </c>
      <c r="C1457" s="315">
        <v>1</v>
      </c>
    </row>
    <row r="1458" spans="1:3" x14ac:dyDescent="0.2">
      <c r="A1458" s="315" t="s">
        <v>3435</v>
      </c>
      <c r="B1458">
        <f>IF(ISBLANK(PedBerMedIV!$B$14),"",PedBerMedIV!$B$14)</f>
        <v>1</v>
      </c>
      <c r="C1458" s="315">
        <v>1</v>
      </c>
    </row>
    <row r="1459" spans="1:3" x14ac:dyDescent="0.2">
      <c r="A1459" s="315" t="s">
        <v>3436</v>
      </c>
      <c r="B1459">
        <f>IF(ISBLANK(PedBerMedIV!$B$15),"",PedBerMedIV!$B$15)</f>
        <v>1</v>
      </c>
      <c r="C1459" s="315">
        <v>1</v>
      </c>
    </row>
    <row r="1460" spans="1:3" x14ac:dyDescent="0.2">
      <c r="A1460" s="315" t="s">
        <v>3437</v>
      </c>
      <c r="B1460">
        <f>IF(ISBLANK(PedBerMedIV!$B$16),"",PedBerMedIV!$B$16)</f>
        <v>1</v>
      </c>
      <c r="C1460" s="315">
        <v>1</v>
      </c>
    </row>
    <row r="1461" spans="1:3" x14ac:dyDescent="0.2">
      <c r="A1461" s="315" t="s">
        <v>3438</v>
      </c>
      <c r="B1461">
        <f>IF(ISBLANK(PedBerMedIV!$B$17),"",PedBerMedIV!$B$17)</f>
        <v>1</v>
      </c>
      <c r="C1461" s="315">
        <v>1</v>
      </c>
    </row>
    <row r="1462" spans="1:3" s="315" customFormat="1" x14ac:dyDescent="0.2">
      <c r="A1462" s="316" t="s">
        <v>4408</v>
      </c>
      <c r="B1462" s="315" t="str">
        <f>IF(ISBLANK(PedBerMedIV!$B$18),"",PedBerMedIV!$B$18)</f>
        <v/>
      </c>
      <c r="C1462" s="130"/>
    </row>
    <row r="1463" spans="1:3" s="315" customFormat="1" x14ac:dyDescent="0.2">
      <c r="A1463" s="316" t="s">
        <v>4410</v>
      </c>
      <c r="B1463" s="315" t="str">
        <f>IF(ISBLANK(PedBerMedIV!$B$19),"",PedBerMedIV!$B$19)</f>
        <v/>
      </c>
      <c r="C1463" s="130"/>
    </row>
    <row r="1464" spans="1:3" s="315" customFormat="1" x14ac:dyDescent="0.2">
      <c r="A1464" s="316" t="s">
        <v>4412</v>
      </c>
      <c r="B1464" s="315" t="str">
        <f>IF(ISBLANK(PedBerMedIV!$B$20),"",PedBerMedIV!$B$20)</f>
        <v/>
      </c>
      <c r="C1464" s="130"/>
    </row>
    <row r="1465" spans="1:3" s="315" customFormat="1" x14ac:dyDescent="0.2">
      <c r="A1465" s="316" t="s">
        <v>4414</v>
      </c>
      <c r="B1465" s="315" t="str">
        <f>IF(ISBLANK(PedBerMedIV!$B$21),"",PedBerMedIV!$B$21)</f>
        <v/>
      </c>
      <c r="C1465" s="130"/>
    </row>
    <row r="1466" spans="1:3" s="315" customFormat="1" x14ac:dyDescent="0.2">
      <c r="A1466" s="316" t="s">
        <v>4416</v>
      </c>
      <c r="B1466" s="315" t="str">
        <f>IF(ISBLANK(PedBerMedIV!$B$22),"",PedBerMedIV!$B$22)</f>
        <v/>
      </c>
      <c r="C1466" s="130"/>
    </row>
    <row r="1467" spans="1:3" x14ac:dyDescent="0.2">
      <c r="A1467" s="315" t="s">
        <v>3439</v>
      </c>
      <c r="B1467">
        <f>IF(ISBLANK(PedBerMedIV!$I$3),"",PedBerMedIV!$I$3)</f>
        <v>1</v>
      </c>
      <c r="C1467">
        <v>1</v>
      </c>
    </row>
    <row r="1468" spans="1:3" x14ac:dyDescent="0.2">
      <c r="A1468" s="315" t="s">
        <v>3440</v>
      </c>
      <c r="B1468">
        <f>IF(ISBLANK(PedBerMedIV!$I$4),"",PedBerMedIV!$I$4)</f>
        <v>1</v>
      </c>
      <c r="C1468">
        <v>1</v>
      </c>
    </row>
    <row r="1469" spans="1:3" x14ac:dyDescent="0.2">
      <c r="A1469" s="315" t="s">
        <v>3441</v>
      </c>
      <c r="B1469">
        <f>IF(ISBLANK(PedBerMedIV!$I$5),"",PedBerMedIV!$I$5)</f>
        <v>1</v>
      </c>
      <c r="C1469">
        <v>1</v>
      </c>
    </row>
    <row r="1470" spans="1:3" x14ac:dyDescent="0.2">
      <c r="A1470" s="315" t="s">
        <v>3442</v>
      </c>
      <c r="B1470">
        <f>IF(ISBLANK(PedBerMedIV!$I$6),"",PedBerMedIV!$I$6)</f>
        <v>1</v>
      </c>
      <c r="C1470">
        <v>1</v>
      </c>
    </row>
    <row r="1471" spans="1:3" x14ac:dyDescent="0.2">
      <c r="A1471" s="315" t="s">
        <v>3443</v>
      </c>
      <c r="B1471">
        <f>IF(ISBLANK(PedBerMedIV!$I$7),"",PedBerMedIV!$I$7)</f>
        <v>1</v>
      </c>
      <c r="C1471">
        <v>1</v>
      </c>
    </row>
    <row r="1472" spans="1:3" x14ac:dyDescent="0.2">
      <c r="A1472" s="315" t="s">
        <v>3444</v>
      </c>
      <c r="B1472">
        <f>IF(ISBLANK(PedBerMedIV!$I$8),"",PedBerMedIV!$I$8)</f>
        <v>1</v>
      </c>
      <c r="C1472">
        <v>1</v>
      </c>
    </row>
    <row r="1473" spans="1:3" x14ac:dyDescent="0.2">
      <c r="A1473" s="315" t="s">
        <v>3445</v>
      </c>
      <c r="B1473">
        <f>IF(ISBLANK(PedBerMedIV!$I$9),"",PedBerMedIV!$I$9)</f>
        <v>1</v>
      </c>
      <c r="C1473">
        <v>1</v>
      </c>
    </row>
    <row r="1474" spans="1:3" x14ac:dyDescent="0.2">
      <c r="A1474" s="315" t="s">
        <v>3446</v>
      </c>
      <c r="B1474">
        <f>IF(ISBLANK(PedBerMedIV!$I$10),"",PedBerMedIV!$I$10)</f>
        <v>1</v>
      </c>
      <c r="C1474">
        <v>1</v>
      </c>
    </row>
    <row r="1475" spans="1:3" x14ac:dyDescent="0.2">
      <c r="A1475" s="315" t="s">
        <v>3447</v>
      </c>
      <c r="B1475">
        <f>IF(ISBLANK(PedBerMedIV!$I$11),"",PedBerMedIV!$I$11)</f>
        <v>1</v>
      </c>
      <c r="C1475">
        <v>1</v>
      </c>
    </row>
    <row r="1476" spans="1:3" x14ac:dyDescent="0.2">
      <c r="A1476" s="315" t="s">
        <v>3448</v>
      </c>
      <c r="B1476">
        <f>IF(ISBLANK(PedBerMedIV!$I$12),"",PedBerMedIV!$I$12)</f>
        <v>1</v>
      </c>
      <c r="C1476">
        <v>1</v>
      </c>
    </row>
    <row r="1477" spans="1:3" x14ac:dyDescent="0.2">
      <c r="A1477" s="315" t="s">
        <v>3449</v>
      </c>
      <c r="B1477">
        <f>IF(ISBLANK(PedBerMedIV!$I$13),"",PedBerMedIV!$I$13)</f>
        <v>1</v>
      </c>
      <c r="C1477">
        <v>1</v>
      </c>
    </row>
    <row r="1478" spans="1:3" x14ac:dyDescent="0.2">
      <c r="A1478" s="315" t="s">
        <v>3450</v>
      </c>
      <c r="B1478">
        <f>IF(ISBLANK(PedBerMedIV!$I$14),"",PedBerMedIV!$I$14)</f>
        <v>1</v>
      </c>
      <c r="C1478">
        <v>1</v>
      </c>
    </row>
    <row r="1479" spans="1:3" x14ac:dyDescent="0.2">
      <c r="A1479" s="315" t="s">
        <v>3451</v>
      </c>
      <c r="B1479">
        <f>IF(ISBLANK(PedBerMedIV!$I$15),"",PedBerMedIV!$I$15)</f>
        <v>1</v>
      </c>
      <c r="C1479">
        <v>1</v>
      </c>
    </row>
    <row r="1480" spans="1:3" x14ac:dyDescent="0.2">
      <c r="A1480" s="315" t="s">
        <v>3452</v>
      </c>
      <c r="B1480">
        <f>IF(ISBLANK(PedBerMedIV!$I$16),"",PedBerMedIV!$I$16)</f>
        <v>1</v>
      </c>
      <c r="C1480">
        <v>1</v>
      </c>
    </row>
    <row r="1481" spans="1:3" x14ac:dyDescent="0.2">
      <c r="A1481" s="315" t="s">
        <v>3453</v>
      </c>
      <c r="B1481">
        <f>IF(ISBLANK(PedBerMedIV!$I$17),"",PedBerMedIV!$I$17)</f>
        <v>1</v>
      </c>
      <c r="C1481">
        <v>1</v>
      </c>
    </row>
    <row r="1482" spans="1:3" s="315" customFormat="1" x14ac:dyDescent="0.2">
      <c r="A1482" s="316" t="s">
        <v>4418</v>
      </c>
      <c r="B1482" s="315">
        <f>IF(ISBLANK(PedBerMedIV!$I$18),"",PedBerMedIV!$I$18)</f>
        <v>1</v>
      </c>
      <c r="C1482" s="315">
        <v>1</v>
      </c>
    </row>
    <row r="1483" spans="1:3" s="315" customFormat="1" x14ac:dyDescent="0.2">
      <c r="A1483" s="316" t="s">
        <v>4420</v>
      </c>
      <c r="B1483" s="315">
        <f>IF(ISBLANK(PedBerMedIV!$I$19),"",PedBerMedIV!$I$19)</f>
        <v>1</v>
      </c>
      <c r="C1483" s="315">
        <v>1</v>
      </c>
    </row>
    <row r="1484" spans="1:3" s="315" customFormat="1" x14ac:dyDescent="0.2">
      <c r="A1484" s="316" t="s">
        <v>4422</v>
      </c>
      <c r="B1484" s="315">
        <f>IF(ISBLANK(PedBerMedIV!$I$20),"",PedBerMedIV!$I$20)</f>
        <v>1</v>
      </c>
      <c r="C1484" s="315">
        <v>1</v>
      </c>
    </row>
    <row r="1485" spans="1:3" s="315" customFormat="1" x14ac:dyDescent="0.2">
      <c r="A1485" s="316" t="s">
        <v>4424</v>
      </c>
      <c r="B1485" s="315">
        <f>IF(ISBLANK(PedBerMedIV!$I$21),"",PedBerMedIV!$I$21)</f>
        <v>1</v>
      </c>
      <c r="C1485" s="315">
        <v>1</v>
      </c>
    </row>
    <row r="1486" spans="1:3" s="315" customFormat="1" x14ac:dyDescent="0.2">
      <c r="A1486" s="316" t="s">
        <v>4426</v>
      </c>
      <c r="B1486" s="315">
        <f>IF(ISBLANK(PedBerMedIV!$I$22),"",PedBerMedIV!$I$22)</f>
        <v>1</v>
      </c>
      <c r="C1486" s="315">
        <v>1</v>
      </c>
    </row>
    <row r="1487" spans="1:3" x14ac:dyDescent="0.2">
      <c r="A1487" s="315" t="s">
        <v>3454</v>
      </c>
      <c r="B1487">
        <f>IF(ISBLANK(PedBerMedIV!$E$3),"",PedBerMedIV!$E$3)</f>
        <v>0</v>
      </c>
      <c r="C1487" s="317">
        <v>0</v>
      </c>
    </row>
    <row r="1488" spans="1:3" x14ac:dyDescent="0.2">
      <c r="A1488" s="315" t="s">
        <v>3455</v>
      </c>
      <c r="B1488">
        <f>IF(ISBLANK(PedBerMedIV!$E$4),"",PedBerMedIV!$E$4)</f>
        <v>0</v>
      </c>
      <c r="C1488" s="317">
        <v>0</v>
      </c>
    </row>
    <row r="1489" spans="1:3" x14ac:dyDescent="0.2">
      <c r="A1489" s="315" t="s">
        <v>3456</v>
      </c>
      <c r="B1489">
        <f>IF(ISBLANK(PedBerMedIV!$E$5),"",PedBerMedIV!$E$5)</f>
        <v>0</v>
      </c>
      <c r="C1489" s="317">
        <v>0</v>
      </c>
    </row>
    <row r="1490" spans="1:3" x14ac:dyDescent="0.2">
      <c r="A1490" s="315" t="s">
        <v>3457</v>
      </c>
      <c r="B1490">
        <f>IF(ISBLANK(PedBerMedIV!$E$6),"",PedBerMedIV!$E$6)</f>
        <v>0</v>
      </c>
      <c r="C1490" s="317">
        <v>0</v>
      </c>
    </row>
    <row r="1491" spans="1:3" x14ac:dyDescent="0.2">
      <c r="A1491" s="315" t="s">
        <v>3458</v>
      </c>
      <c r="B1491">
        <f>IF(ISBLANK(PedBerMedIV!$E$7),"",PedBerMedIV!$E$7)</f>
        <v>0</v>
      </c>
      <c r="C1491" s="317">
        <v>0</v>
      </c>
    </row>
    <row r="1492" spans="1:3" x14ac:dyDescent="0.2">
      <c r="A1492" s="315" t="s">
        <v>3459</v>
      </c>
      <c r="B1492">
        <f>IF(ISBLANK(PedBerMedIV!$E$8),"",PedBerMedIV!$E$8)</f>
        <v>0</v>
      </c>
      <c r="C1492" s="317">
        <v>0</v>
      </c>
    </row>
    <row r="1493" spans="1:3" x14ac:dyDescent="0.2">
      <c r="A1493" s="315" t="s">
        <v>3460</v>
      </c>
      <c r="B1493">
        <f>IF(ISBLANK(PedBerMedIV!$E$9),"",PedBerMedIV!$E$9)</f>
        <v>0</v>
      </c>
      <c r="C1493" s="317">
        <v>0</v>
      </c>
    </row>
    <row r="1494" spans="1:3" x14ac:dyDescent="0.2">
      <c r="A1494" s="315" t="s">
        <v>3461</v>
      </c>
      <c r="B1494">
        <f>IF(ISBLANK(PedBerMedIV!$E$10),"",PedBerMedIV!$E$10)</f>
        <v>0</v>
      </c>
      <c r="C1494" s="317">
        <v>0</v>
      </c>
    </row>
    <row r="1495" spans="1:3" x14ac:dyDescent="0.2">
      <c r="A1495" s="315" t="s">
        <v>3462</v>
      </c>
      <c r="B1495">
        <f>IF(ISBLANK(PedBerMedIV!$E$11),"",PedBerMedIV!$E$11)</f>
        <v>0</v>
      </c>
      <c r="C1495" s="317">
        <v>0</v>
      </c>
    </row>
    <row r="1496" spans="1:3" x14ac:dyDescent="0.2">
      <c r="A1496" s="315" t="s">
        <v>3463</v>
      </c>
      <c r="B1496">
        <f>IF(ISBLANK(PedBerMedIV!$E$12),"",PedBerMedIV!$E$12)</f>
        <v>0</v>
      </c>
      <c r="C1496" s="317">
        <v>0</v>
      </c>
    </row>
    <row r="1497" spans="1:3" x14ac:dyDescent="0.2">
      <c r="A1497" s="315" t="s">
        <v>3464</v>
      </c>
      <c r="B1497">
        <f>IF(ISBLANK(PedBerMedIV!$E$13),"",PedBerMedIV!$E$13)</f>
        <v>0</v>
      </c>
      <c r="C1497" s="317">
        <v>0</v>
      </c>
    </row>
    <row r="1498" spans="1:3" x14ac:dyDescent="0.2">
      <c r="A1498" s="315" t="s">
        <v>3465</v>
      </c>
      <c r="B1498">
        <f>IF(ISBLANK(PedBerMedIV!$E$14),"",PedBerMedIV!$E$14)</f>
        <v>0</v>
      </c>
      <c r="C1498" s="317">
        <v>0</v>
      </c>
    </row>
    <row r="1499" spans="1:3" x14ac:dyDescent="0.2">
      <c r="A1499" s="315" t="s">
        <v>3466</v>
      </c>
      <c r="B1499">
        <f>IF(ISBLANK(PedBerMedIV!$E$15),"",PedBerMedIV!$E$15)</f>
        <v>0</v>
      </c>
      <c r="C1499" s="317">
        <v>0</v>
      </c>
    </row>
    <row r="1500" spans="1:3" x14ac:dyDescent="0.2">
      <c r="A1500" s="315" t="s">
        <v>3467</v>
      </c>
      <c r="B1500">
        <f>IF(ISBLANK(PedBerMedIV!$E$16),"",PedBerMedIV!$E$16)</f>
        <v>0</v>
      </c>
      <c r="C1500" s="317">
        <v>0</v>
      </c>
    </row>
    <row r="1501" spans="1:3" x14ac:dyDescent="0.2">
      <c r="A1501" s="315" t="s">
        <v>3468</v>
      </c>
      <c r="B1501">
        <f>IF(ISBLANK(PedBerMedIV!$E$17),"",PedBerMedIV!$E$17)</f>
        <v>0</v>
      </c>
      <c r="C1501" s="317">
        <v>0</v>
      </c>
    </row>
    <row r="1502" spans="1:3" s="315" customFormat="1" x14ac:dyDescent="0.2">
      <c r="A1502" s="316" t="s">
        <v>4428</v>
      </c>
      <c r="B1502" s="315">
        <f>IF(ISBLANK(PedBerMedIV!$E$18),"",PedBerMedIV!$E$18)</f>
        <v>0</v>
      </c>
      <c r="C1502" s="317">
        <v>0</v>
      </c>
    </row>
    <row r="1503" spans="1:3" s="315" customFormat="1" x14ac:dyDescent="0.2">
      <c r="A1503" s="316" t="s">
        <v>4430</v>
      </c>
      <c r="B1503" s="315">
        <f>IF(ISBLANK(PedBerMedIV!$E$19),"",PedBerMedIV!$E$19)</f>
        <v>0</v>
      </c>
      <c r="C1503" s="317">
        <v>0</v>
      </c>
    </row>
    <row r="1504" spans="1:3" s="315" customFormat="1" x14ac:dyDescent="0.2">
      <c r="A1504" s="316" t="s">
        <v>4432</v>
      </c>
      <c r="B1504" s="315">
        <f>IF(ISBLANK(PedBerMedIV!$E$20),"",PedBerMedIV!$E$20)</f>
        <v>0</v>
      </c>
      <c r="C1504" s="317">
        <v>0</v>
      </c>
    </row>
    <row r="1505" spans="1:3" s="315" customFormat="1" x14ac:dyDescent="0.2">
      <c r="A1505" s="316" t="s">
        <v>4434</v>
      </c>
      <c r="B1505" s="315">
        <f>IF(ISBLANK(PedBerMedIV!$E$21),"",PedBerMedIV!$E$21)</f>
        <v>0</v>
      </c>
      <c r="C1505" s="317">
        <v>0</v>
      </c>
    </row>
    <row r="1506" spans="1:3" s="315" customFormat="1" x14ac:dyDescent="0.2">
      <c r="A1506" s="316" t="s">
        <v>4436</v>
      </c>
      <c r="B1506" s="315">
        <f>IF(ISBLANK(PedBerMedIV!$E$22),"",PedBerMedIV!$E$22)</f>
        <v>0</v>
      </c>
      <c r="C1506" s="317">
        <v>0</v>
      </c>
    </row>
    <row r="1507" spans="1:3" x14ac:dyDescent="0.2">
      <c r="A1507" s="315" t="s">
        <v>3469</v>
      </c>
      <c r="B1507" t="str">
        <f>IF(ISBLANK(GlobBerOpm!$B$3),"",GlobBerOpm!$B$3)</f>
        <v/>
      </c>
      <c r="C1507" s="130"/>
    </row>
    <row r="1508" spans="1:3" x14ac:dyDescent="0.2">
      <c r="A1508" s="315" t="s">
        <v>3470</v>
      </c>
      <c r="B1508">
        <f>IF(ISBLANK(PedBerMedIV!$J$3),"",PedBerMedIV!$J$3)</f>
        <v>0</v>
      </c>
      <c r="C1508" s="317">
        <v>0</v>
      </c>
    </row>
    <row r="1509" spans="1:3" x14ac:dyDescent="0.2">
      <c r="A1509" s="315" t="s">
        <v>3471</v>
      </c>
      <c r="B1509">
        <f>IF(ISBLANK(PedBerMedIV!$J$4),"",PedBerMedIV!$J$4)</f>
        <v>0</v>
      </c>
      <c r="C1509" s="317">
        <v>0</v>
      </c>
    </row>
    <row r="1510" spans="1:3" x14ac:dyDescent="0.2">
      <c r="A1510" s="315" t="s">
        <v>3472</v>
      </c>
      <c r="B1510">
        <f>IF(ISBLANK(PedBerMedIV!$J$5),"",PedBerMedIV!$J$5)</f>
        <v>0</v>
      </c>
      <c r="C1510" s="317">
        <v>0</v>
      </c>
    </row>
    <row r="1511" spans="1:3" x14ac:dyDescent="0.2">
      <c r="A1511" s="315" t="s">
        <v>3473</v>
      </c>
      <c r="B1511">
        <f>IF(ISBLANK(PedBerMedIV!$J$6),"",PedBerMedIV!$J$6)</f>
        <v>0</v>
      </c>
      <c r="C1511" s="317">
        <v>0</v>
      </c>
    </row>
    <row r="1512" spans="1:3" x14ac:dyDescent="0.2">
      <c r="A1512" s="315" t="s">
        <v>3474</v>
      </c>
      <c r="B1512">
        <f>IF(ISBLANK(PedBerMedIV!$J$7),"",PedBerMedIV!$J$7)</f>
        <v>0</v>
      </c>
      <c r="C1512" s="317">
        <v>0</v>
      </c>
    </row>
    <row r="1513" spans="1:3" x14ac:dyDescent="0.2">
      <c r="A1513" s="315" t="s">
        <v>3475</v>
      </c>
      <c r="B1513">
        <f>IF(ISBLANK(PedBerMedIV!$J$8),"",PedBerMedIV!$J$8)</f>
        <v>0</v>
      </c>
      <c r="C1513" s="317">
        <v>0</v>
      </c>
    </row>
    <row r="1514" spans="1:3" x14ac:dyDescent="0.2">
      <c r="A1514" s="315" t="s">
        <v>3476</v>
      </c>
      <c r="B1514">
        <f>IF(ISBLANK(PedBerMedIV!$J$9),"",PedBerMedIV!$J$9)</f>
        <v>0</v>
      </c>
      <c r="C1514" s="317">
        <v>0</v>
      </c>
    </row>
    <row r="1515" spans="1:3" x14ac:dyDescent="0.2">
      <c r="A1515" s="315" t="s">
        <v>3477</v>
      </c>
      <c r="B1515">
        <f>IF(ISBLANK(PedBerMedIV!$J$10),"",PedBerMedIV!$J$10)</f>
        <v>0</v>
      </c>
      <c r="C1515" s="317">
        <v>0</v>
      </c>
    </row>
    <row r="1516" spans="1:3" x14ac:dyDescent="0.2">
      <c r="A1516" s="315" t="s">
        <v>3478</v>
      </c>
      <c r="B1516">
        <f>IF(ISBLANK(PedBerMedIV!$J$11),"",PedBerMedIV!$J$11)</f>
        <v>0</v>
      </c>
      <c r="C1516" s="317">
        <v>0</v>
      </c>
    </row>
    <row r="1517" spans="1:3" x14ac:dyDescent="0.2">
      <c r="A1517" s="315" t="s">
        <v>3479</v>
      </c>
      <c r="B1517">
        <f>IF(ISBLANK(PedBerMedIV!$J$12),"",PedBerMedIV!$J$12)</f>
        <v>0</v>
      </c>
      <c r="C1517" s="317">
        <v>0</v>
      </c>
    </row>
    <row r="1518" spans="1:3" x14ac:dyDescent="0.2">
      <c r="A1518" s="315" t="s">
        <v>3480</v>
      </c>
      <c r="B1518">
        <f>IF(ISBLANK(PedBerMedIV!$J$13),"",PedBerMedIV!$J$13)</f>
        <v>0</v>
      </c>
      <c r="C1518" s="317">
        <v>0</v>
      </c>
    </row>
    <row r="1519" spans="1:3" x14ac:dyDescent="0.2">
      <c r="A1519" s="315" t="s">
        <v>3481</v>
      </c>
      <c r="B1519">
        <f>IF(ISBLANK(PedBerMedIV!$J$14),"",PedBerMedIV!$J$14)</f>
        <v>0</v>
      </c>
      <c r="C1519" s="317">
        <v>0</v>
      </c>
    </row>
    <row r="1520" spans="1:3" x14ac:dyDescent="0.2">
      <c r="A1520" s="315" t="s">
        <v>3482</v>
      </c>
      <c r="B1520">
        <f>IF(ISBLANK(PedBerMedIV!$J$15),"",PedBerMedIV!$J$15)</f>
        <v>0</v>
      </c>
      <c r="C1520" s="317">
        <v>0</v>
      </c>
    </row>
    <row r="1521" spans="1:3" x14ac:dyDescent="0.2">
      <c r="A1521" s="315" t="s">
        <v>3483</v>
      </c>
      <c r="B1521">
        <f>IF(ISBLANK(PedBerMedIV!$J$16),"",PedBerMedIV!$J$16)</f>
        <v>0</v>
      </c>
      <c r="C1521" s="317">
        <v>0</v>
      </c>
    </row>
    <row r="1522" spans="1:3" x14ac:dyDescent="0.2">
      <c r="A1522" s="315" t="s">
        <v>3484</v>
      </c>
      <c r="B1522">
        <f>IF(ISBLANK(PedBerMedIV!$J$17),"",PedBerMedIV!$J$17)</f>
        <v>0</v>
      </c>
      <c r="C1522" s="317">
        <v>0</v>
      </c>
    </row>
    <row r="1523" spans="1:3" s="315" customFormat="1" x14ac:dyDescent="0.2">
      <c r="A1523" s="316" t="s">
        <v>4438</v>
      </c>
      <c r="B1523" s="315">
        <f>IF(ISBLANK(PedBerMedIV!$J$18),"",PedBerMedIV!$J$18)</f>
        <v>0</v>
      </c>
      <c r="C1523" s="317">
        <v>0</v>
      </c>
    </row>
    <row r="1524" spans="1:3" s="315" customFormat="1" x14ac:dyDescent="0.2">
      <c r="A1524" s="316" t="s">
        <v>4440</v>
      </c>
      <c r="B1524" s="315">
        <f>IF(ISBLANK(PedBerMedIV!$J$19),"",PedBerMedIV!$J$19)</f>
        <v>0</v>
      </c>
      <c r="C1524" s="317">
        <v>0</v>
      </c>
    </row>
    <row r="1525" spans="1:3" s="315" customFormat="1" x14ac:dyDescent="0.2">
      <c r="A1525" s="316" t="s">
        <v>4442</v>
      </c>
      <c r="B1525" s="315">
        <f>IF(ISBLANK(PedBerMedIV!$J$20),"",PedBerMedIV!$J$20)</f>
        <v>0</v>
      </c>
      <c r="C1525" s="317">
        <v>0</v>
      </c>
    </row>
    <row r="1526" spans="1:3" s="315" customFormat="1" x14ac:dyDescent="0.2">
      <c r="A1526" s="316" t="s">
        <v>4444</v>
      </c>
      <c r="B1526" s="315">
        <f>IF(ISBLANK(PedBerMedIV!$J$21),"",PedBerMedIV!$J$21)</f>
        <v>0</v>
      </c>
      <c r="C1526" s="317">
        <v>0</v>
      </c>
    </row>
    <row r="1527" spans="1:3" s="315" customFormat="1" x14ac:dyDescent="0.2">
      <c r="A1527" s="316" t="s">
        <v>4446</v>
      </c>
      <c r="B1527" s="315">
        <f>IF(ISBLANK(PedBerMedIV!$J$22),"",PedBerMedIV!$J$22)</f>
        <v>0</v>
      </c>
      <c r="C1527" s="317">
        <v>0</v>
      </c>
    </row>
    <row r="1528" spans="1:3" x14ac:dyDescent="0.2">
      <c r="A1528" s="315" t="s">
        <v>3485</v>
      </c>
      <c r="B1528">
        <f>IF(ISBLANK(PedBerMedIV!$D$3),"",PedBerMedIV!$D$3)</f>
        <v>0</v>
      </c>
      <c r="C1528" s="317">
        <v>0</v>
      </c>
    </row>
    <row r="1529" spans="1:3" x14ac:dyDescent="0.2">
      <c r="A1529" s="315" t="s">
        <v>3486</v>
      </c>
      <c r="B1529">
        <f>IF(ISBLANK(PedBerMedIV!$D$4),"",PedBerMedIV!$D$4)</f>
        <v>0</v>
      </c>
      <c r="C1529" s="317">
        <v>0</v>
      </c>
    </row>
    <row r="1530" spans="1:3" x14ac:dyDescent="0.2">
      <c r="A1530" s="315" t="s">
        <v>3487</v>
      </c>
      <c r="B1530">
        <f>IF(ISBLANK(PedBerMedIV!$D$5),"",PedBerMedIV!$D$5)</f>
        <v>0</v>
      </c>
      <c r="C1530" s="317">
        <v>0</v>
      </c>
    </row>
    <row r="1531" spans="1:3" x14ac:dyDescent="0.2">
      <c r="A1531" s="315" t="s">
        <v>3488</v>
      </c>
      <c r="B1531">
        <f>IF(ISBLANK(PedBerMedIV!$D$6),"",PedBerMedIV!$D$6)</f>
        <v>0</v>
      </c>
      <c r="C1531" s="317">
        <v>0</v>
      </c>
    </row>
    <row r="1532" spans="1:3" x14ac:dyDescent="0.2">
      <c r="A1532" s="315" t="s">
        <v>3489</v>
      </c>
      <c r="B1532">
        <f>IF(ISBLANK(PedBerMedIV!$D$7),"",PedBerMedIV!$D$7)</f>
        <v>0</v>
      </c>
      <c r="C1532" s="317">
        <v>0</v>
      </c>
    </row>
    <row r="1533" spans="1:3" x14ac:dyDescent="0.2">
      <c r="A1533" s="315" t="s">
        <v>3490</v>
      </c>
      <c r="B1533">
        <f>IF(ISBLANK(PedBerMedIV!$D$8),"",PedBerMedIV!$D$8)</f>
        <v>0</v>
      </c>
      <c r="C1533" s="317">
        <v>0</v>
      </c>
    </row>
    <row r="1534" spans="1:3" x14ac:dyDescent="0.2">
      <c r="A1534" s="315" t="s">
        <v>3491</v>
      </c>
      <c r="B1534">
        <f>IF(ISBLANK(PedBerMedIV!$D$9),"",PedBerMedIV!$D$9)</f>
        <v>0</v>
      </c>
      <c r="C1534" s="317">
        <v>0</v>
      </c>
    </row>
    <row r="1535" spans="1:3" x14ac:dyDescent="0.2">
      <c r="A1535" s="315" t="s">
        <v>3492</v>
      </c>
      <c r="B1535">
        <f>IF(ISBLANK(PedBerMedIV!$D$10),"",PedBerMedIV!$D$10)</f>
        <v>0</v>
      </c>
      <c r="C1535" s="317">
        <v>0</v>
      </c>
    </row>
    <row r="1536" spans="1:3" x14ac:dyDescent="0.2">
      <c r="A1536" s="315" t="s">
        <v>3493</v>
      </c>
      <c r="B1536">
        <f>IF(ISBLANK(PedBerMedIV!$D$11),"",PedBerMedIV!$D$11)</f>
        <v>0</v>
      </c>
      <c r="C1536" s="317">
        <v>0</v>
      </c>
    </row>
    <row r="1537" spans="1:3" x14ac:dyDescent="0.2">
      <c r="A1537" s="315" t="s">
        <v>3494</v>
      </c>
      <c r="B1537">
        <f>IF(ISBLANK(PedBerMedIV!$D$12),"",PedBerMedIV!$D$12)</f>
        <v>0</v>
      </c>
      <c r="C1537" s="317">
        <v>0</v>
      </c>
    </row>
    <row r="1538" spans="1:3" x14ac:dyDescent="0.2">
      <c r="A1538" s="315" t="s">
        <v>3495</v>
      </c>
      <c r="B1538">
        <f>IF(ISBLANK(PedBerMedIV!$D$13),"",PedBerMedIV!$D$13)</f>
        <v>0</v>
      </c>
      <c r="C1538" s="317">
        <v>0</v>
      </c>
    </row>
    <row r="1539" spans="1:3" x14ac:dyDescent="0.2">
      <c r="A1539" s="315" t="s">
        <v>3496</v>
      </c>
      <c r="B1539">
        <f>IF(ISBLANK(PedBerMedIV!$D$14),"",PedBerMedIV!$D$14)</f>
        <v>0</v>
      </c>
      <c r="C1539" s="317">
        <v>0</v>
      </c>
    </row>
    <row r="1540" spans="1:3" x14ac:dyDescent="0.2">
      <c r="A1540" s="315" t="s">
        <v>3497</v>
      </c>
      <c r="B1540">
        <f>IF(ISBLANK(PedBerMedIV!$D$15),"",PedBerMedIV!$D$15)</f>
        <v>0</v>
      </c>
      <c r="C1540" s="317">
        <v>0</v>
      </c>
    </row>
    <row r="1541" spans="1:3" x14ac:dyDescent="0.2">
      <c r="A1541" s="315" t="s">
        <v>3498</v>
      </c>
      <c r="B1541">
        <f>IF(ISBLANK(PedBerMedIV!$D$16),"",PedBerMedIV!$D$16)</f>
        <v>0</v>
      </c>
      <c r="C1541" s="317">
        <v>0</v>
      </c>
    </row>
    <row r="1542" spans="1:3" x14ac:dyDescent="0.2">
      <c r="A1542" s="315" t="s">
        <v>3499</v>
      </c>
      <c r="B1542">
        <f>IF(ISBLANK(PedBerMedIV!$D$17),"",PedBerMedIV!$D$17)</f>
        <v>0</v>
      </c>
      <c r="C1542" s="317">
        <v>0</v>
      </c>
    </row>
    <row r="1543" spans="1:3" s="315" customFormat="1" x14ac:dyDescent="0.2">
      <c r="A1543" s="316" t="s">
        <v>4448</v>
      </c>
      <c r="B1543" s="315">
        <f>IF(ISBLANK(PedBerMedIV!$D$18),"",PedBerMedIV!$D$18)</f>
        <v>0</v>
      </c>
      <c r="C1543" s="317">
        <v>0</v>
      </c>
    </row>
    <row r="1544" spans="1:3" s="315" customFormat="1" x14ac:dyDescent="0.2">
      <c r="A1544" s="316" t="s">
        <v>4450</v>
      </c>
      <c r="B1544" s="315">
        <f>IF(ISBLANK(PedBerMedIV!$D$19),"",PedBerMedIV!$D$19)</f>
        <v>0</v>
      </c>
      <c r="C1544" s="317">
        <v>0</v>
      </c>
    </row>
    <row r="1545" spans="1:3" s="315" customFormat="1" x14ac:dyDescent="0.2">
      <c r="A1545" s="316" t="s">
        <v>4452</v>
      </c>
      <c r="B1545" s="315">
        <f>IF(ISBLANK(PedBerMedIV!$D$20),"",PedBerMedIV!$D$20)</f>
        <v>0</v>
      </c>
      <c r="C1545" s="317">
        <v>0</v>
      </c>
    </row>
    <row r="1546" spans="1:3" s="315" customFormat="1" x14ac:dyDescent="0.2">
      <c r="A1546" s="316" t="s">
        <v>4454</v>
      </c>
      <c r="B1546" s="315">
        <f>IF(ISBLANK(PedBerMedIV!$D$21),"",PedBerMedIV!$D$21)</f>
        <v>0</v>
      </c>
      <c r="C1546" s="317">
        <v>0</v>
      </c>
    </row>
    <row r="1547" spans="1:3" s="315" customFormat="1" x14ac:dyDescent="0.2">
      <c r="A1547" s="316" t="s">
        <v>4456</v>
      </c>
      <c r="B1547" s="315">
        <f>IF(ISBLANK(PedBerMedIV!$D$22),"",PedBerMedIV!$D$22)</f>
        <v>0</v>
      </c>
      <c r="C1547" s="317">
        <v>0</v>
      </c>
    </row>
    <row r="1548" spans="1:3" x14ac:dyDescent="0.2">
      <c r="A1548" s="315" t="s">
        <v>3500</v>
      </c>
      <c r="B1548">
        <f>IF(ISBLANK(PedBerIVenPM!$H$2),"",PedBerIVenPM!$H$2)</f>
        <v>1</v>
      </c>
      <c r="C1548">
        <v>1</v>
      </c>
    </row>
    <row r="1549" spans="1:3" x14ac:dyDescent="0.2">
      <c r="A1549" s="315" t="s">
        <v>3501</v>
      </c>
      <c r="B1549">
        <f>IF(ISBLANK(PedBerIVenPM!$K$2),"",PedBerIVenPM!$K$2)</f>
        <v>1</v>
      </c>
      <c r="C1549">
        <v>1</v>
      </c>
    </row>
    <row r="1550" spans="1:3" x14ac:dyDescent="0.2">
      <c r="A1550" s="315" t="s">
        <v>3502</v>
      </c>
      <c r="B1550">
        <f>IF(ISBLANK(PedBerIVenPM!$K$5),"",PedBerIVenPM!$K$5)</f>
        <v>2</v>
      </c>
      <c r="C1550">
        <v>2</v>
      </c>
    </row>
    <row r="1551" spans="1:3" x14ac:dyDescent="0.2">
      <c r="A1551" s="315" t="s">
        <v>3503</v>
      </c>
      <c r="B1551">
        <f>IF(ISBLANK(PedBerIVenPM!$K$4),"",PedBerIVenPM!$K$4)</f>
        <v>20</v>
      </c>
      <c r="C1551">
        <v>20</v>
      </c>
    </row>
    <row r="1552" spans="1:3" x14ac:dyDescent="0.2">
      <c r="A1552" s="315" t="s">
        <v>3504</v>
      </c>
      <c r="B1552">
        <f>IF(ISBLANK(PedBerIVenPM!$K$1),"",PedBerIVenPM!$K$1)</f>
        <v>30</v>
      </c>
      <c r="C1552">
        <v>30</v>
      </c>
    </row>
    <row r="1553" spans="1:3" x14ac:dyDescent="0.2">
      <c r="A1553" s="315" t="s">
        <v>3505</v>
      </c>
      <c r="B1553">
        <f>IF(ISBLANK(PedBerIVenPM!$I$2),"",PedBerIVenPM!$I$2)</f>
        <v>1</v>
      </c>
      <c r="C1553">
        <v>1</v>
      </c>
    </row>
    <row r="1554" spans="1:3" x14ac:dyDescent="0.2">
      <c r="A1554" s="315" t="s">
        <v>3506</v>
      </c>
      <c r="B1554">
        <f>IF(ISBLANK(PedBerIVenPM!$K$3),"",PedBerIVenPM!$K$3)</f>
        <v>1</v>
      </c>
      <c r="C1554">
        <v>1</v>
      </c>
    </row>
    <row r="1555" spans="1:3" x14ac:dyDescent="0.2">
      <c r="A1555" s="315" t="s">
        <v>3507</v>
      </c>
      <c r="B1555">
        <f>IF(ISBLANK(PedBerIVenPM!$K$6),"",PedBerIVenPM!$K$6)</f>
        <v>10</v>
      </c>
      <c r="C1555">
        <v>10</v>
      </c>
    </row>
    <row r="1556" spans="1:3" x14ac:dyDescent="0.2">
      <c r="A1556" s="315" t="s">
        <v>3508</v>
      </c>
      <c r="B1556" t="b">
        <f>IF(ISBLANK(PedBerTPN!$C$9),"",PedBerTPN!$C$9)</f>
        <v>0</v>
      </c>
      <c r="C1556" t="b">
        <v>0</v>
      </c>
    </row>
    <row r="1557" spans="1:3" x14ac:dyDescent="0.2">
      <c r="A1557" s="315" t="s">
        <v>3509</v>
      </c>
      <c r="B1557">
        <f>IF(ISBLANK(PedBerTPN!$E$9),"",PedBerTPN!$E$9)</f>
        <v>0</v>
      </c>
      <c r="C1557" s="317">
        <v>0</v>
      </c>
    </row>
    <row r="1558" spans="1:3" x14ac:dyDescent="0.2">
      <c r="A1558" s="315" t="s">
        <v>3510</v>
      </c>
      <c r="B1558" t="b">
        <f>IF(ISBLANK(PedBerTPN!$C$8),"",PedBerTPN!$C$8)</f>
        <v>0</v>
      </c>
      <c r="C1558" t="b">
        <v>0</v>
      </c>
    </row>
    <row r="1559" spans="1:3" x14ac:dyDescent="0.2">
      <c r="A1559" s="315" t="s">
        <v>3511</v>
      </c>
      <c r="B1559" t="b">
        <f>IF(ISBLANK(PedBerTPN!$C$22),"",PedBerTPN!$C$22)</f>
        <v>0</v>
      </c>
      <c r="C1559" t="b">
        <v>0</v>
      </c>
    </row>
    <row r="1560" spans="1:3" x14ac:dyDescent="0.2">
      <c r="A1560" s="315" t="s">
        <v>3512</v>
      </c>
      <c r="B1560">
        <f>IF(ISBLANK(PedBerTPN!$E$8),"",PedBerTPN!$E$8)</f>
        <v>0</v>
      </c>
      <c r="C1560" s="317">
        <v>0</v>
      </c>
    </row>
    <row r="1561" spans="1:3" x14ac:dyDescent="0.2">
      <c r="A1561" s="315" t="s">
        <v>3513</v>
      </c>
      <c r="B1561">
        <f>IF(ISBLANK(PedBerTPN!$E$22),"",PedBerTPN!$E$22)</f>
        <v>0</v>
      </c>
      <c r="C1561" s="317">
        <v>0</v>
      </c>
    </row>
    <row r="1562" spans="1:3" x14ac:dyDescent="0.2">
      <c r="A1562" s="315" t="s">
        <v>3514</v>
      </c>
      <c r="B1562">
        <f>IF(ISBLANK(PedBerTPN!$B$4),"",PedBerTPN!$B$4)</f>
        <v>1</v>
      </c>
      <c r="C1562">
        <v>1</v>
      </c>
    </row>
    <row r="1563" spans="1:3" x14ac:dyDescent="0.2">
      <c r="A1563" s="315" t="s">
        <v>3515</v>
      </c>
      <c r="B1563" t="b">
        <f>IF(ISBLANK(PedBerTPN!$C$11),"",PedBerTPN!$C$11)</f>
        <v>0</v>
      </c>
      <c r="C1563" t="b">
        <v>0</v>
      </c>
    </row>
    <row r="1564" spans="1:3" x14ac:dyDescent="0.2">
      <c r="A1564" s="315" t="s">
        <v>3516</v>
      </c>
      <c r="B1564">
        <f>IF(ISBLANK(PedBerTPN!$E$11),"",PedBerTPN!$E$11)</f>
        <v>0</v>
      </c>
      <c r="C1564" s="317">
        <v>0</v>
      </c>
    </row>
    <row r="1565" spans="1:3" x14ac:dyDescent="0.2">
      <c r="A1565" s="315" t="s">
        <v>3517</v>
      </c>
      <c r="B1565">
        <f>IF(ISBLANK(PedBerTPN!$D$12),"",PedBerTPN!$D$12)</f>
        <v>0</v>
      </c>
      <c r="C1565" s="317">
        <v>0</v>
      </c>
    </row>
    <row r="1566" spans="1:3" x14ac:dyDescent="0.2">
      <c r="A1566" s="315" t="s">
        <v>3518</v>
      </c>
      <c r="B1566" t="b">
        <f>IF(ISBLANK(PedBerTPN!$C$10),"",PedBerTPN!$C$10)</f>
        <v>0</v>
      </c>
      <c r="C1566" t="b">
        <v>0</v>
      </c>
    </row>
    <row r="1567" spans="1:3" x14ac:dyDescent="0.2">
      <c r="A1567" s="315" t="s">
        <v>3519</v>
      </c>
      <c r="B1567">
        <f>IF(ISBLANK(PedBerTPN!$E$10),"",PedBerTPN!$E$10)</f>
        <v>0</v>
      </c>
      <c r="C1567" s="317">
        <v>0</v>
      </c>
    </row>
    <row r="1568" spans="1:3" x14ac:dyDescent="0.2">
      <c r="A1568" s="315" t="s">
        <v>3520</v>
      </c>
      <c r="B1568" t="b">
        <f>IF(ISBLANK(PedBerTPN!$C$7),"",PedBerTPN!$C$7)</f>
        <v>0</v>
      </c>
      <c r="C1568" t="b">
        <v>0</v>
      </c>
    </row>
    <row r="1569" spans="1:3" x14ac:dyDescent="0.2">
      <c r="A1569" s="315" t="s">
        <v>3521</v>
      </c>
      <c r="B1569" t="b">
        <f>IF(ISBLANK(PedBerTPN!$C$21),"",PedBerTPN!$C$21)</f>
        <v>0</v>
      </c>
      <c r="C1569" s="315" t="b">
        <v>0</v>
      </c>
    </row>
    <row r="1570" spans="1:3" x14ac:dyDescent="0.2">
      <c r="A1570" s="315" t="s">
        <v>3522</v>
      </c>
      <c r="B1570">
        <f>IF(ISBLANK(PedBerTPN!$E$7),"",PedBerTPN!$E$7)</f>
        <v>0</v>
      </c>
      <c r="C1570" s="317">
        <v>0</v>
      </c>
    </row>
    <row r="1571" spans="1:3" x14ac:dyDescent="0.2">
      <c r="A1571" s="315" t="s">
        <v>3523</v>
      </c>
      <c r="B1571">
        <f>IF(ISBLANK(PedBerTPN!$E$21),"",PedBerTPN!$E$21)</f>
        <v>0</v>
      </c>
      <c r="C1571" s="317">
        <v>0</v>
      </c>
    </row>
    <row r="1572" spans="1:3" x14ac:dyDescent="0.2">
      <c r="A1572" s="315" t="s">
        <v>3524</v>
      </c>
      <c r="B1572">
        <f>IF(ISBLANK(GlobBerOpm!$B$4),"",GlobBerOpm!$B$4)</f>
        <v>0</v>
      </c>
      <c r="C1572" s="317">
        <v>0</v>
      </c>
    </row>
    <row r="1573" spans="1:3" x14ac:dyDescent="0.2">
      <c r="A1573" s="315" t="s">
        <v>3525</v>
      </c>
      <c r="B1573">
        <f>IF(ISBLANK(PedBerTPN!$E$5),"",PedBerTPN!$E$5)</f>
        <v>0</v>
      </c>
      <c r="C1573" s="317">
        <v>0</v>
      </c>
    </row>
    <row r="1574" spans="1:3" x14ac:dyDescent="0.2">
      <c r="A1574" s="315" t="s">
        <v>3526</v>
      </c>
      <c r="B1574">
        <f>IF(ISBLANK(PedBerTPN!$C$16),"",PedBerTPN!$C$16)</f>
        <v>0</v>
      </c>
      <c r="C1574" s="317">
        <v>0</v>
      </c>
    </row>
    <row r="1575" spans="1:3" x14ac:dyDescent="0.2">
      <c r="A1575" s="315" t="s">
        <v>3527</v>
      </c>
      <c r="B1575" t="b">
        <f>IF(ISBLANK(PedBerTPN!$C$15),"",PedBerTPN!$C$15)</f>
        <v>0</v>
      </c>
      <c r="C1575" t="b">
        <v>0</v>
      </c>
    </row>
    <row r="1576" spans="1:3" x14ac:dyDescent="0.2">
      <c r="A1576" s="315" t="s">
        <v>3528</v>
      </c>
      <c r="B1576">
        <f>IF(ISBLANK(PedBerTPN!$E$15),"",PedBerTPN!$E$15)</f>
        <v>1</v>
      </c>
      <c r="C1576">
        <v>1</v>
      </c>
    </row>
    <row r="1577" spans="1:3" x14ac:dyDescent="0.2">
      <c r="A1577" s="315" t="s">
        <v>3529</v>
      </c>
      <c r="B1577">
        <f>IF(ISBLANK(PedBerTPN!$B$6),"",PedBerTPN!$B$6)</f>
        <v>1</v>
      </c>
      <c r="C1577">
        <v>1</v>
      </c>
    </row>
    <row r="1578" spans="1:3" x14ac:dyDescent="0.2">
      <c r="A1578" s="315" t="s">
        <v>3530</v>
      </c>
      <c r="B1578">
        <f>IF(ISBLANK(PedBerTPN!$D$3),"",PedBerTPN!$D$3)</f>
        <v>0</v>
      </c>
      <c r="C1578" s="317">
        <v>0</v>
      </c>
    </row>
    <row r="1579" spans="1:3" x14ac:dyDescent="0.2">
      <c r="A1579" s="315" t="s">
        <v>3531</v>
      </c>
      <c r="B1579">
        <f>IF(ISBLANK(PedBerTPN!$B$20),"",PedBerTPN!$B$20)</f>
        <v>1</v>
      </c>
      <c r="C1579">
        <v>1</v>
      </c>
    </row>
    <row r="1580" spans="1:3" x14ac:dyDescent="0.2">
      <c r="A1580" s="315" t="s">
        <v>3532</v>
      </c>
      <c r="B1580">
        <f>IF(ISBLANK(PedBerTPN!$D$19),"",PedBerTPN!$D$19)</f>
        <v>0</v>
      </c>
      <c r="C1580" s="317">
        <v>0</v>
      </c>
    </row>
    <row r="1581" spans="1:3" x14ac:dyDescent="0.2">
      <c r="A1581" s="315" t="s">
        <v>3533</v>
      </c>
      <c r="B1581" t="b">
        <f>IF(ISBLANK(PedBerTPN!$C$14),"",PedBerTPN!$C$14)</f>
        <v>0</v>
      </c>
      <c r="C1581" t="b">
        <v>0</v>
      </c>
    </row>
    <row r="1582" spans="1:3" x14ac:dyDescent="0.2">
      <c r="A1582" s="315" t="s">
        <v>3534</v>
      </c>
      <c r="B1582">
        <f>IF(ISBLANK(PedBerTPN!$E$14),"",PedBerTPN!$E$14)</f>
        <v>1</v>
      </c>
      <c r="C1582">
        <v>1</v>
      </c>
    </row>
    <row r="1583" spans="1:3" x14ac:dyDescent="0.2">
      <c r="A1583" s="315" t="s">
        <v>3535</v>
      </c>
      <c r="B1583">
        <f>IF(ISBLANK(PedBerTPN!$E$4),"",PedBerTPN!$E$4)</f>
        <v>0</v>
      </c>
      <c r="C1583" s="317">
        <v>0</v>
      </c>
    </row>
  </sheetData>
  <sortState ref="A79:A202">
    <sortCondition ref="A79"/>
  </sortState>
  <customSheetViews>
    <customSheetView guid="{33CCADFA-0D48-46A6-8927-2B2144029216}" state="veryHidden">
      <pane xSplit="1" ySplit="1" topLeftCell="B182" activePane="bottomRight" state="frozen"/>
      <selection pane="bottomRight" activeCell="A594" sqref="A594"/>
      <pageMargins left="0.96" right="0.61" top="0.48" bottom="0.89" header="0.41" footer="0.68"/>
      <printOptions gridLines="1"/>
      <pageSetup paperSize="9" orientation="portrait" horizontalDpi="300" verticalDpi="300" r:id="rId1"/>
      <headerFooter alignWithMargins="0">
        <oddFooter>&amp;L&amp;P</oddFooter>
      </headerFooter>
    </customSheetView>
  </customSheetViews>
  <phoneticPr fontId="28" type="noConversion"/>
  <printOptions gridLines="1"/>
  <pageMargins left="0.96" right="0.61" top="0.48" bottom="0.89" header="0.41" footer="0.68"/>
  <pageSetup paperSize="9" orientation="portrait" horizontalDpi="300" verticalDpi="300" r:id="rId2"/>
  <headerFooter alignWithMargins="0">
    <oddFooter>&amp;L&amp;P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>
    <tabColor rgb="FF00B0F0"/>
  </sheetPr>
  <dimension ref="A1:G32"/>
  <sheetViews>
    <sheetView workbookViewId="0">
      <selection activeCell="E27" sqref="E27"/>
    </sheetView>
  </sheetViews>
  <sheetFormatPr defaultRowHeight="12.75" x14ac:dyDescent="0.2"/>
  <cols>
    <col min="1" max="1" width="20.140625" customWidth="1"/>
    <col min="2" max="2" width="27.140625" customWidth="1"/>
    <col min="3" max="3" width="9.85546875" bestFit="1" customWidth="1"/>
    <col min="4" max="6" width="14.5703125" customWidth="1"/>
    <col min="7" max="7" width="7.7109375" bestFit="1" customWidth="1"/>
    <col min="8" max="8" width="6.5703125" bestFit="1" customWidth="1"/>
    <col min="9" max="9" width="19.7109375" customWidth="1"/>
  </cols>
  <sheetData>
    <row r="1" spans="1:7" x14ac:dyDescent="0.2">
      <c r="A1" s="356" t="s">
        <v>377</v>
      </c>
    </row>
    <row r="2" spans="1:7" x14ac:dyDescent="0.2">
      <c r="A2" s="316" t="s">
        <v>518</v>
      </c>
    </row>
    <row r="3" spans="1:7" s="315" customFormat="1" x14ac:dyDescent="0.2">
      <c r="A3" t="s">
        <v>213</v>
      </c>
      <c r="B3"/>
    </row>
    <row r="4" spans="1:7" s="315" customFormat="1" x14ac:dyDescent="0.2">
      <c r="A4" t="s">
        <v>214</v>
      </c>
      <c r="B4"/>
    </row>
    <row r="5" spans="1:7" x14ac:dyDescent="0.2">
      <c r="A5" s="316" t="s">
        <v>3634</v>
      </c>
      <c r="B5" s="24">
        <v>1462</v>
      </c>
      <c r="C5" s="4"/>
      <c r="D5" s="4"/>
      <c r="E5" s="4"/>
      <c r="G5" s="4"/>
    </row>
    <row r="6" spans="1:7" x14ac:dyDescent="0.2">
      <c r="A6" t="s">
        <v>274</v>
      </c>
      <c r="B6" s="122">
        <v>0</v>
      </c>
      <c r="C6" s="4"/>
      <c r="D6" s="4"/>
      <c r="E6" s="4"/>
      <c r="G6" s="4"/>
    </row>
    <row r="7" spans="1:7" x14ac:dyDescent="0.2">
      <c r="A7" t="s">
        <v>130</v>
      </c>
      <c r="B7">
        <v>0</v>
      </c>
    </row>
    <row r="8" spans="1:7" x14ac:dyDescent="0.2">
      <c r="A8" s="316" t="s">
        <v>3633</v>
      </c>
      <c r="B8">
        <v>0</v>
      </c>
    </row>
    <row r="9" spans="1:7" x14ac:dyDescent="0.2">
      <c r="A9" s="316" t="s">
        <v>3632</v>
      </c>
      <c r="B9" s="17">
        <v>1462</v>
      </c>
      <c r="E9" s="128"/>
    </row>
    <row r="10" spans="1:7" x14ac:dyDescent="0.2">
      <c r="E10" s="151"/>
    </row>
    <row r="11" spans="1:7" x14ac:dyDescent="0.2">
      <c r="A11" t="s">
        <v>212</v>
      </c>
      <c r="B11" s="24">
        <f ca="1" xml:space="preserve"> TODAY()</f>
        <v>42750</v>
      </c>
    </row>
    <row r="12" spans="1:7" x14ac:dyDescent="0.2">
      <c r="A12" t="s">
        <v>446</v>
      </c>
      <c r="B12" s="128"/>
      <c r="E12" s="151"/>
    </row>
    <row r="13" spans="1:7" s="315" customFormat="1" x14ac:dyDescent="0.2">
      <c r="A13" s="316" t="s">
        <v>4477</v>
      </c>
      <c r="B13" s="128" t="str">
        <f>IF(IsEmptyDate(_Pat_OpnDatum),"",DateToString(_Pat_OpnDatum)&amp;" "&amp;B20)</f>
        <v/>
      </c>
      <c r="E13" s="151"/>
    </row>
    <row r="14" spans="1:7" s="315" customFormat="1" x14ac:dyDescent="0.2">
      <c r="A14" s="316" t="s">
        <v>3634</v>
      </c>
      <c r="B14" s="128" t="str">
        <f ca="1">IF(NOW()-__4_GebDatum&gt;100,"",TEXT(__4_GebDatum,"dd-mmm-yy"))</f>
        <v/>
      </c>
      <c r="E14" s="151"/>
    </row>
    <row r="15" spans="1:7" s="315" customFormat="1" x14ac:dyDescent="0.2">
      <c r="A15" s="316" t="s">
        <v>4478</v>
      </c>
      <c r="B15" s="17" t="str">
        <f>IF(__0_PatNum&gt;0,__0_PatNum,"")</f>
        <v/>
      </c>
      <c r="E15" s="151"/>
    </row>
    <row r="16" spans="1:7" x14ac:dyDescent="0.2">
      <c r="A16" s="316" t="s">
        <v>4473</v>
      </c>
      <c r="B16" t="str">
        <f ca="1">IF(((Var_AfspraakDatum-__4_GebDatum)/365)&gt;100,"",TRUNC((Var_AfspraakDatum-__4_GebDatum)/365,0)&amp;" jaar en "&amp;TRUNC(((Var_AfspraakDatum-__4_GebDatum)-365*TRUNC((Var_AfspraakDatum-__4_GebDatum)/365,0))/30,0)&amp;" maand(-en)")</f>
        <v/>
      </c>
    </row>
    <row r="17" spans="1:2" s="315" customFormat="1" x14ac:dyDescent="0.2">
      <c r="A17" s="316" t="s">
        <v>4474</v>
      </c>
      <c r="B17" s="315" t="str">
        <f ca="1">IF(((Var_AfspraakDatum-__4_GebDatum)/365)&gt;100,"",TRUNC((Var_AfspraakDatum-__4_GebDatum)/52,0)&amp;" weken en "&amp;TRUNC(((Var_AfspraakDatum-__4_GebDatum)-52*TRUNC((Var_AfspraakDatum-__4_GebDatum)/52,0))/7,0)&amp;" dag(-en)")</f>
        <v/>
      </c>
    </row>
    <row r="18" spans="1:2" s="315" customFormat="1" x14ac:dyDescent="0.2">
      <c r="A18" s="316" t="s">
        <v>3631</v>
      </c>
      <c r="B18" s="315" t="str">
        <f ca="1">IF(Var_AfspraakDatum-__4_GebDatum&lt;=28,B17,B16)</f>
        <v/>
      </c>
    </row>
    <row r="19" spans="1:2" x14ac:dyDescent="0.2">
      <c r="A19" s="316" t="s">
        <v>4472</v>
      </c>
      <c r="B19" t="str">
        <f>IF(__2_AchterNaam="","",__2_AchterNaam&amp;", "&amp;__3_VoorNaam)</f>
        <v/>
      </c>
    </row>
    <row r="20" spans="1:2" x14ac:dyDescent="0.2">
      <c r="A20" s="316" t="s">
        <v>4475</v>
      </c>
      <c r="B20" t="str">
        <f ca="1">IF(AND(__4_GebDatum&gt;0,_Pat_OpnDatum&gt;0),"(dag "&amp;Var_AfspraakDatum-_Pat_OpnDatum+1&amp;")", "")</f>
        <v>(dag 41289)</v>
      </c>
    </row>
    <row r="21" spans="1:2" x14ac:dyDescent="0.2">
      <c r="A21" s="316" t="s">
        <v>274</v>
      </c>
      <c r="B21" t="str">
        <f>IF(_Pat_Gewicht&gt;0,"Gewicht: "&amp;_Pat_Gewicht/10&amp;" kg", "Gewicht:")</f>
        <v>Gewicht:</v>
      </c>
    </row>
    <row r="22" spans="1:2" x14ac:dyDescent="0.2">
      <c r="A22" s="316" t="s">
        <v>4476</v>
      </c>
      <c r="B22" t="str">
        <f>IF(_Pat_Lengte&gt;0,"Lengte: "&amp;_Pat_Lengte&amp;" cm","Lengte:")</f>
        <v>Lengte:</v>
      </c>
    </row>
    <row r="23" spans="1:2" x14ac:dyDescent="0.2">
      <c r="A23" s="316" t="s">
        <v>52</v>
      </c>
      <c r="B23" t="str">
        <f>IF(AND(_Pat_Gewicht&gt;0,_Pat_Lengte&gt;0),"Lichamelijk oppervlak: "&amp;ROUND(POWER(_Pat_Gewicht/10,0.425)*POWER(((_Pat_Lengte/100)*100),0.725)*0.007184,2)&amp;" m2", "Lichamelijk oppervlak:")</f>
        <v>Lichamelijk oppervlak:</v>
      </c>
    </row>
    <row r="27" spans="1:2" x14ac:dyDescent="0.2">
      <c r="B27" s="128"/>
    </row>
    <row r="28" spans="1:2" x14ac:dyDescent="0.2">
      <c r="B28" s="128"/>
    </row>
    <row r="32" spans="1:2" x14ac:dyDescent="0.2">
      <c r="B32" s="128"/>
    </row>
  </sheetData>
  <customSheetViews>
    <customSheetView guid="{33CCADFA-0D48-46A6-8927-2B2144029216}" state="veryHidden">
      <selection activeCell="B2" sqref="B2"/>
      <pageMargins left="0.75" right="0.75" top="1" bottom="1" header="0.5" footer="0.5"/>
      <pageSetup paperSize="9" orientation="portrait" horizontalDpi="300" verticalDpi="300" r:id="rId1"/>
      <headerFooter alignWithMargins="0"/>
    </customSheetView>
  </customSheetViews>
  <phoneticPr fontId="28" type="noConversion"/>
  <pageMargins left="0.75" right="0.75" top="1" bottom="1" header="0.5" footer="0.5"/>
  <pageSetup paperSize="9" orientation="portrait" horizontalDpi="300" verticalDpi="300" r:id="rId2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ediatrie">
    <tabColor rgb="FFFF0000"/>
  </sheetPr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IV">
    <tabColor rgb="FF7030A0"/>
  </sheetPr>
  <dimension ref="A1:CF50"/>
  <sheetViews>
    <sheetView zoomScaleNormal="100" workbookViewId="0">
      <pane ySplit="7" topLeftCell="A8" activePane="bottomLeft" state="frozen"/>
      <selection pane="bottomLeft"/>
    </sheetView>
  </sheetViews>
  <sheetFormatPr defaultColWidth="9.140625" defaultRowHeight="12.75" x14ac:dyDescent="0.2"/>
  <cols>
    <col min="1" max="1" width="4.7109375" style="642" customWidth="1"/>
    <col min="2" max="2" width="6" style="642" customWidth="1"/>
    <col min="3" max="3" width="7.5703125" style="642" customWidth="1"/>
    <col min="4" max="4" width="4.28515625" style="642" customWidth="1"/>
    <col min="5" max="5" width="27" style="642" customWidth="1"/>
    <col min="6" max="6" width="13.42578125" style="642" customWidth="1"/>
    <col min="7" max="7" width="11.140625" style="642" customWidth="1"/>
    <col min="8" max="8" width="16.7109375" style="642" customWidth="1"/>
    <col min="9" max="9" width="16.5703125" style="642" customWidth="1"/>
    <col min="10" max="10" width="20.140625" style="642" customWidth="1"/>
    <col min="11" max="11" width="13.28515625" style="642" customWidth="1"/>
    <col min="12" max="12" width="9.140625" style="642"/>
    <col min="13" max="13" width="12.7109375" style="642" customWidth="1"/>
    <col min="14" max="15" width="9.140625" style="642"/>
    <col min="16" max="17" width="9.42578125" style="642" bestFit="1" customWidth="1"/>
    <col min="18" max="16384" width="9.140625" style="642"/>
  </cols>
  <sheetData>
    <row r="1" spans="1:84" s="638" customFormat="1" ht="17.25" customHeight="1" x14ac:dyDescent="0.2">
      <c r="A1" s="603"/>
      <c r="B1" s="870"/>
      <c r="C1" s="870"/>
      <c r="D1" s="870"/>
      <c r="E1" s="870"/>
      <c r="F1" s="870"/>
      <c r="G1" s="870"/>
      <c r="H1" s="870"/>
      <c r="I1" s="870"/>
      <c r="J1" s="870"/>
      <c r="K1" s="870"/>
      <c r="L1" s="870"/>
      <c r="M1" s="870"/>
      <c r="N1" s="870"/>
      <c r="P1" s="639"/>
      <c r="Q1" s="639"/>
      <c r="R1" s="639"/>
    </row>
    <row r="2" spans="1:84" s="638" customFormat="1" ht="17.25" customHeight="1" x14ac:dyDescent="0.2">
      <c r="B2" s="671"/>
      <c r="C2" s="671"/>
      <c r="D2" s="671"/>
      <c r="E2" s="626" t="s">
        <v>304</v>
      </c>
      <c r="F2" s="627">
        <f ca="1">Var_AfspraakDatum</f>
        <v>42750</v>
      </c>
      <c r="G2" s="628"/>
      <c r="H2" s="626" t="s">
        <v>4677</v>
      </c>
      <c r="I2" s="629" t="str">
        <f>PatDetails!B13</f>
        <v/>
      </c>
      <c r="J2" s="630" t="str">
        <f>PatDetails!B21</f>
        <v>Gewicht:</v>
      </c>
      <c r="K2" s="671"/>
      <c r="L2" s="626" t="s">
        <v>519</v>
      </c>
      <c r="M2" s="626">
        <f>__1_Bed</f>
        <v>0</v>
      </c>
      <c r="N2" s="671"/>
      <c r="P2" s="639"/>
      <c r="Q2" s="639"/>
      <c r="R2" s="639"/>
    </row>
    <row r="3" spans="1:84" s="638" customFormat="1" ht="17.25" customHeight="1" x14ac:dyDescent="0.2">
      <c r="B3" s="671"/>
      <c r="C3" s="671"/>
      <c r="D3" s="594"/>
      <c r="E3" s="626" t="s">
        <v>28</v>
      </c>
      <c r="F3" s="631" t="str">
        <f>PatDetails!B19</f>
        <v/>
      </c>
      <c r="G3" s="631"/>
      <c r="H3" s="626" t="s">
        <v>4678</v>
      </c>
      <c r="I3" s="629" t="str">
        <f ca="1">PatDetails!B14</f>
        <v/>
      </c>
      <c r="J3" s="630" t="str">
        <f>PatDetails!B22</f>
        <v>Lengte:</v>
      </c>
      <c r="K3" s="671"/>
      <c r="L3" s="626"/>
      <c r="M3" s="626"/>
      <c r="N3" s="671"/>
      <c r="P3" s="639"/>
      <c r="Q3" s="639"/>
      <c r="R3" s="639"/>
    </row>
    <row r="4" spans="1:84" s="638" customFormat="1" ht="17.25" customHeight="1" x14ac:dyDescent="0.2">
      <c r="B4" s="671"/>
      <c r="C4" s="634"/>
      <c r="D4" s="634"/>
      <c r="E4" s="632" t="s">
        <v>4671</v>
      </c>
      <c r="F4" s="633" t="str">
        <f>PatDetails!B15</f>
        <v/>
      </c>
      <c r="G4" s="628"/>
      <c r="H4" s="626" t="s">
        <v>275</v>
      </c>
      <c r="I4" s="634" t="str">
        <f ca="1">PatDetails!B18</f>
        <v/>
      </c>
      <c r="J4" s="635" t="str">
        <f>PatDetails!B23</f>
        <v>Lichamelijk oppervlak:</v>
      </c>
      <c r="K4" s="671"/>
      <c r="L4" s="626"/>
      <c r="M4" s="626"/>
      <c r="N4" s="634"/>
      <c r="P4" s="640"/>
      <c r="Q4" s="640"/>
      <c r="R4" s="640"/>
      <c r="U4" s="641"/>
      <c r="V4" s="641"/>
      <c r="W4" s="641"/>
      <c r="X4" s="641"/>
      <c r="Y4" s="641"/>
      <c r="Z4" s="641"/>
      <c r="AA4" s="641"/>
    </row>
    <row r="5" spans="1:84" s="638" customFormat="1" ht="8.1" customHeight="1" x14ac:dyDescent="0.2">
      <c r="B5" s="671"/>
      <c r="C5" s="634"/>
      <c r="D5" s="634"/>
      <c r="E5" s="626"/>
      <c r="F5" s="626"/>
      <c r="G5" s="628"/>
      <c r="H5" s="626"/>
      <c r="I5" s="634"/>
      <c r="J5" s="635"/>
      <c r="K5" s="626"/>
      <c r="L5" s="626"/>
      <c r="M5" s="626"/>
      <c r="N5" s="634"/>
      <c r="P5" s="640"/>
      <c r="Q5" s="640"/>
      <c r="R5" s="640"/>
      <c r="U5" s="641"/>
      <c r="V5" s="641"/>
      <c r="W5" s="641"/>
      <c r="X5" s="641"/>
      <c r="Y5" s="641"/>
      <c r="Z5" s="641"/>
      <c r="AA5" s="641"/>
    </row>
    <row r="6" spans="1:84" ht="8.1" customHeight="1" x14ac:dyDescent="0.2">
      <c r="C6" s="643"/>
      <c r="D6" s="644"/>
      <c r="E6" s="645"/>
      <c r="F6" s="646"/>
      <c r="G6" s="647"/>
      <c r="H6" s="645"/>
      <c r="I6" s="648"/>
      <c r="J6" s="645"/>
      <c r="K6" s="645"/>
      <c r="L6" s="645"/>
      <c r="M6" s="645"/>
      <c r="N6" s="645"/>
      <c r="O6" s="644"/>
      <c r="P6" s="640"/>
      <c r="Q6" s="640"/>
      <c r="R6" s="640"/>
      <c r="S6" s="644"/>
      <c r="T6" s="644"/>
      <c r="U6" s="644"/>
      <c r="V6" s="644"/>
      <c r="W6" s="644"/>
      <c r="X6" s="644"/>
      <c r="Y6" s="644"/>
      <c r="Z6" s="644"/>
      <c r="AA6" s="644"/>
      <c r="AB6" s="649"/>
      <c r="AC6" s="649"/>
      <c r="AD6" s="650"/>
      <c r="AE6" s="650"/>
      <c r="AF6" s="649"/>
      <c r="AG6" s="649"/>
      <c r="AH6" s="649"/>
      <c r="AI6" s="649"/>
      <c r="AJ6" s="649"/>
      <c r="AK6" s="649"/>
      <c r="AL6" s="649"/>
      <c r="AM6" s="649"/>
      <c r="AN6" s="649"/>
      <c r="AO6" s="649"/>
      <c r="AP6" s="649"/>
      <c r="AQ6" s="649"/>
      <c r="AR6" s="649"/>
      <c r="AS6" s="649"/>
      <c r="AT6" s="649"/>
      <c r="AU6" s="649"/>
      <c r="AV6" s="649"/>
      <c r="AW6" s="649"/>
      <c r="AX6" s="649"/>
      <c r="AY6" s="649"/>
      <c r="AZ6" s="649"/>
      <c r="BA6" s="649"/>
      <c r="BB6" s="649"/>
      <c r="BC6" s="649"/>
      <c r="BD6" s="649"/>
      <c r="BE6" s="649"/>
      <c r="BF6" s="649"/>
      <c r="BG6" s="649"/>
      <c r="BH6" s="649"/>
      <c r="BI6" s="649"/>
      <c r="BJ6" s="649"/>
      <c r="BK6" s="649"/>
      <c r="BL6" s="649"/>
      <c r="BM6" s="649"/>
      <c r="BN6" s="649"/>
      <c r="BO6" s="649"/>
      <c r="BP6" s="649"/>
      <c r="BQ6" s="649"/>
      <c r="BR6" s="649"/>
      <c r="BS6" s="649"/>
      <c r="BT6" s="649"/>
      <c r="BU6" s="649"/>
      <c r="BV6" s="649"/>
      <c r="BW6" s="649"/>
      <c r="BX6" s="649"/>
      <c r="BY6" s="649"/>
      <c r="BZ6" s="649"/>
      <c r="CA6" s="649"/>
      <c r="CB6" s="649"/>
      <c r="CC6" s="649"/>
      <c r="CD6" s="649"/>
      <c r="CE6" s="649"/>
      <c r="CF6" s="649"/>
    </row>
    <row r="7" spans="1:84" ht="20.100000000000001" customHeight="1" x14ac:dyDescent="0.2">
      <c r="B7" s="666" t="s">
        <v>4468</v>
      </c>
      <c r="C7" s="666"/>
      <c r="D7" s="666"/>
      <c r="E7" s="667" t="s">
        <v>331</v>
      </c>
      <c r="F7" s="666" t="s">
        <v>206</v>
      </c>
      <c r="G7" s="668" t="s">
        <v>311</v>
      </c>
      <c r="H7" s="668" t="s">
        <v>153</v>
      </c>
      <c r="I7" s="668" t="s">
        <v>51</v>
      </c>
      <c r="J7" s="668" t="s">
        <v>332</v>
      </c>
      <c r="K7" s="668" t="s">
        <v>4460</v>
      </c>
      <c r="L7" s="668" t="s">
        <v>311</v>
      </c>
      <c r="M7" s="668" t="s">
        <v>328</v>
      </c>
      <c r="N7" s="669"/>
      <c r="O7" s="651"/>
      <c r="P7" s="640"/>
      <c r="Q7" s="640"/>
      <c r="R7" s="640"/>
      <c r="S7" s="651"/>
      <c r="T7" s="651"/>
      <c r="U7" s="651"/>
      <c r="V7" s="640"/>
      <c r="W7" s="640"/>
      <c r="X7" s="640"/>
      <c r="Y7" s="640"/>
      <c r="Z7" s="640"/>
      <c r="AA7" s="640"/>
      <c r="AC7" s="649"/>
      <c r="AH7" s="649"/>
      <c r="AI7" s="649"/>
      <c r="AJ7" s="649"/>
      <c r="AK7" s="649"/>
      <c r="AL7" s="649"/>
      <c r="AM7" s="649"/>
      <c r="AN7" s="649"/>
      <c r="AO7" s="649"/>
      <c r="AP7" s="649"/>
      <c r="AQ7" s="649"/>
      <c r="AR7" s="649"/>
      <c r="AS7" s="649"/>
      <c r="AT7" s="649"/>
      <c r="AU7" s="649"/>
      <c r="AV7" s="649"/>
      <c r="AW7" s="649"/>
      <c r="AX7" s="649"/>
      <c r="AY7" s="649"/>
      <c r="AZ7" s="649"/>
      <c r="BA7" s="649"/>
      <c r="BB7" s="649"/>
      <c r="BC7" s="649"/>
      <c r="BD7" s="649"/>
      <c r="BE7" s="649"/>
      <c r="BF7" s="649"/>
      <c r="BG7" s="649"/>
      <c r="BH7" s="649"/>
      <c r="BI7" s="649"/>
      <c r="BJ7" s="649"/>
      <c r="BK7" s="649"/>
      <c r="BL7" s="649"/>
      <c r="BM7" s="649"/>
      <c r="BN7" s="649"/>
      <c r="BO7" s="649"/>
      <c r="BP7" s="649"/>
      <c r="BQ7" s="649"/>
      <c r="BR7" s="649"/>
      <c r="BS7" s="649"/>
      <c r="BT7" s="649"/>
      <c r="BU7" s="649"/>
      <c r="BV7" s="649"/>
      <c r="BW7" s="649"/>
      <c r="BX7" s="649"/>
      <c r="BY7" s="649"/>
      <c r="BZ7" s="649"/>
      <c r="CA7" s="649"/>
      <c r="CB7" s="649"/>
      <c r="CC7" s="649"/>
      <c r="CD7" s="649"/>
      <c r="CE7" s="649"/>
      <c r="CF7" s="649"/>
    </row>
    <row r="8" spans="1:84" ht="8.1" customHeight="1" x14ac:dyDescent="0.2">
      <c r="C8" s="652"/>
      <c r="D8" s="644"/>
      <c r="E8" s="644"/>
      <c r="F8" s="644"/>
      <c r="G8" s="644"/>
      <c r="H8" s="644"/>
      <c r="I8" s="644"/>
      <c r="J8" s="644"/>
      <c r="K8" s="644"/>
      <c r="L8" s="644"/>
      <c r="M8" s="644"/>
      <c r="N8" s="644"/>
      <c r="O8" s="644"/>
      <c r="P8" s="639"/>
      <c r="Q8" s="639"/>
      <c r="R8" s="639"/>
      <c r="S8" s="644"/>
      <c r="T8" s="644"/>
      <c r="U8" s="644"/>
      <c r="V8" s="644"/>
      <c r="W8" s="644"/>
      <c r="X8" s="644"/>
      <c r="Y8" s="644"/>
      <c r="Z8" s="644"/>
      <c r="AA8" s="644"/>
      <c r="AC8" s="649"/>
      <c r="AH8" s="649"/>
      <c r="AI8" s="649"/>
      <c r="AJ8" s="649"/>
      <c r="AK8" s="649"/>
      <c r="AL8" s="649"/>
      <c r="AM8" s="649"/>
      <c r="AN8" s="649"/>
      <c r="AO8" s="649"/>
      <c r="AP8" s="649"/>
      <c r="AQ8" s="649"/>
      <c r="AR8" s="649"/>
      <c r="AS8" s="649"/>
      <c r="AT8" s="649"/>
      <c r="AU8" s="649"/>
      <c r="AV8" s="649"/>
      <c r="AW8" s="649"/>
      <c r="AX8" s="649"/>
      <c r="AY8" s="649"/>
      <c r="AZ8" s="649"/>
      <c r="BA8" s="649"/>
      <c r="BB8" s="649"/>
      <c r="BC8" s="649"/>
      <c r="BD8" s="649"/>
      <c r="BE8" s="649"/>
      <c r="BF8" s="649"/>
      <c r="BG8" s="649"/>
      <c r="BH8" s="649"/>
      <c r="BI8" s="649"/>
      <c r="BJ8" s="649"/>
      <c r="BK8" s="649"/>
      <c r="BL8" s="649"/>
      <c r="BM8" s="649"/>
      <c r="BN8" s="649"/>
      <c r="BO8" s="649"/>
      <c r="BP8" s="649"/>
      <c r="BQ8" s="649"/>
      <c r="BR8" s="649"/>
      <c r="BS8" s="649"/>
      <c r="BT8" s="649"/>
      <c r="BU8" s="649"/>
      <c r="BV8" s="649"/>
      <c r="BW8" s="649"/>
      <c r="BX8" s="649"/>
      <c r="BY8" s="649"/>
      <c r="BZ8" s="649"/>
      <c r="CA8" s="649"/>
      <c r="CB8" s="649"/>
      <c r="CC8" s="649"/>
      <c r="CD8" s="649"/>
      <c r="CE8" s="649"/>
      <c r="CF8" s="649"/>
    </row>
    <row r="9" spans="1:84" ht="20.100000000000001" customHeight="1" thickBot="1" x14ac:dyDescent="0.25">
      <c r="B9" s="653" t="str">
        <f>PedBerMedIV!S3</f>
        <v/>
      </c>
      <c r="C9" s="653" t="str">
        <f>PedBerMedIV!T3</f>
        <v/>
      </c>
      <c r="D9" s="622">
        <v>1</v>
      </c>
      <c r="E9" s="604">
        <f>PedBerMedIV!B3</f>
        <v>1</v>
      </c>
      <c r="F9" s="605" t="str">
        <f>PedBerMedIV!V3</f>
        <v/>
      </c>
      <c r="G9" s="605" t="str">
        <f>PedBerMedIV!W3</f>
        <v/>
      </c>
      <c r="H9" s="606"/>
      <c r="I9" s="606" t="str">
        <f>PedBerMedIV!Y3</f>
        <v/>
      </c>
      <c r="J9" s="606" t="str">
        <f>PedBerMedIV!Z3</f>
        <v/>
      </c>
      <c r="K9" s="606" t="str">
        <f>PedBerMedIV!AA3</f>
        <v/>
      </c>
      <c r="L9" s="606" t="str">
        <f>PedBerMedIV!AB3</f>
        <v/>
      </c>
      <c r="M9" s="606" t="str">
        <f>PedBerMedIV!AC3</f>
        <v/>
      </c>
      <c r="N9" s="607"/>
      <c r="O9" s="644"/>
      <c r="P9" s="640"/>
      <c r="Q9" s="640"/>
      <c r="R9" s="640"/>
      <c r="S9" s="644"/>
      <c r="T9" s="644"/>
      <c r="U9" s="644"/>
      <c r="V9" s="644"/>
      <c r="W9" s="644"/>
      <c r="X9" s="644"/>
      <c r="Y9" s="644"/>
      <c r="Z9" s="644"/>
      <c r="AA9" s="644"/>
      <c r="AC9" s="649"/>
      <c r="AD9" s="642">
        <f>IF(E9&lt;&gt;0,INDEX(tblMedicationContIV,PedBerMedIV!$B3,6)*(PedBerMedIV!J3/10))</f>
        <v>0</v>
      </c>
      <c r="AE9" s="642">
        <f>IF(AD9&gt;=10,0,IF(AD9&gt;=1,1,IF(AD9&gt;=0,2,IF(AD9&gt;=0.1,3,IF(AD9&gt;=0.01,4,5)))))</f>
        <v>2</v>
      </c>
      <c r="AF9" s="642">
        <f>ROUND(AD9,AE9)</f>
        <v>0</v>
      </c>
      <c r="AH9" s="649"/>
      <c r="AI9" s="649"/>
      <c r="AJ9" s="649"/>
      <c r="AK9" s="649"/>
      <c r="AL9" s="649"/>
      <c r="AM9" s="649"/>
      <c r="AN9" s="649"/>
      <c r="AO9" s="649"/>
      <c r="AP9" s="649"/>
      <c r="AQ9" s="649"/>
      <c r="AR9" s="649"/>
      <c r="AS9" s="649"/>
      <c r="AT9" s="649"/>
      <c r="AU9" s="649"/>
      <c r="AV9" s="649"/>
      <c r="AW9" s="649"/>
      <c r="AX9" s="649"/>
      <c r="AY9" s="649"/>
      <c r="AZ9" s="649"/>
      <c r="BA9" s="649"/>
      <c r="BB9" s="649"/>
      <c r="BC9" s="649"/>
      <c r="BD9" s="649"/>
      <c r="BE9" s="649"/>
      <c r="BF9" s="649"/>
      <c r="BG9" s="649"/>
      <c r="BH9" s="649"/>
      <c r="BI9" s="649"/>
      <c r="BJ9" s="649"/>
      <c r="BK9" s="649"/>
      <c r="BL9" s="649"/>
      <c r="BM9" s="649"/>
      <c r="BN9" s="649"/>
      <c r="BO9" s="649"/>
      <c r="BP9" s="649"/>
      <c r="BQ9" s="649"/>
      <c r="BR9" s="649"/>
      <c r="BS9" s="649"/>
      <c r="BT9" s="649"/>
      <c r="BU9" s="649"/>
      <c r="BV9" s="649"/>
      <c r="BW9" s="649"/>
      <c r="BX9" s="649"/>
      <c r="BY9" s="649"/>
      <c r="BZ9" s="649"/>
      <c r="CA9" s="649"/>
      <c r="CB9" s="649"/>
      <c r="CC9" s="649"/>
      <c r="CD9" s="649"/>
      <c r="CE9" s="649"/>
      <c r="CF9" s="649"/>
    </row>
    <row r="10" spans="1:84" ht="20.100000000000001" customHeight="1" thickTop="1" thickBot="1" x14ac:dyDescent="0.25">
      <c r="B10" s="653" t="str">
        <f>PedBerMedIV!S4</f>
        <v/>
      </c>
      <c r="C10" s="653" t="str">
        <f>PedBerMedIV!T4</f>
        <v/>
      </c>
      <c r="D10" s="622">
        <v>2</v>
      </c>
      <c r="E10" s="608">
        <f>PedBerMedIV!B4</f>
        <v>1</v>
      </c>
      <c r="F10" s="609" t="str">
        <f>PedBerMedIV!V4</f>
        <v/>
      </c>
      <c r="G10" s="609" t="str">
        <f>PedBerMedIV!W4</f>
        <v/>
      </c>
      <c r="H10" s="610"/>
      <c r="I10" s="610" t="str">
        <f>PedBerMedIV!Y4</f>
        <v/>
      </c>
      <c r="J10" s="610" t="str">
        <f>PedBerMedIV!Z4</f>
        <v/>
      </c>
      <c r="K10" s="610" t="str">
        <f>PedBerMedIV!AA4</f>
        <v/>
      </c>
      <c r="L10" s="610" t="str">
        <f>PedBerMedIV!AB4</f>
        <v/>
      </c>
      <c r="M10" s="610" t="str">
        <f>PedBerMedIV!AC4</f>
        <v/>
      </c>
      <c r="N10" s="611"/>
      <c r="O10" s="644"/>
      <c r="P10" s="639"/>
      <c r="Q10" s="639"/>
      <c r="R10" s="639"/>
      <c r="S10" s="644"/>
      <c r="T10" s="644"/>
      <c r="U10" s="644"/>
      <c r="V10" s="644"/>
      <c r="W10" s="644"/>
      <c r="X10" s="644"/>
      <c r="Y10" s="644"/>
      <c r="Z10" s="644"/>
      <c r="AA10" s="644"/>
      <c r="AC10" s="649"/>
      <c r="AD10" s="642">
        <f>IF(E10&lt;&gt;0,INDEX(tblMedicationContIV,PedBerMedIV!$B4,6)*(PedBerMedIV!J4/10))</f>
        <v>0</v>
      </c>
      <c r="AE10" s="642">
        <f t="shared" ref="AE10:AE18" si="0">IF(AD10&gt;=10,0,IF(AD10&gt;=1,1,IF(AD10&gt;=0,2,IF(AD10&gt;=0.1,3,IF(AD10&gt;=0.01,4,5)))))</f>
        <v>2</v>
      </c>
      <c r="AF10" s="642">
        <f t="shared" ref="AF10:AF18" si="1">ROUND(AD10,AE10)</f>
        <v>0</v>
      </c>
      <c r="AH10" s="649"/>
      <c r="AI10" s="649"/>
      <c r="AJ10" s="649"/>
      <c r="AK10" s="649"/>
      <c r="AL10" s="649"/>
      <c r="AM10" s="649"/>
      <c r="AN10" s="649"/>
      <c r="AO10" s="649"/>
      <c r="AP10" s="649"/>
      <c r="AQ10" s="649"/>
      <c r="AR10" s="649"/>
      <c r="AS10" s="649"/>
      <c r="AT10" s="649"/>
      <c r="AU10" s="649"/>
      <c r="AV10" s="649"/>
      <c r="AW10" s="649"/>
      <c r="AX10" s="649"/>
      <c r="AY10" s="649"/>
      <c r="AZ10" s="649"/>
      <c r="BA10" s="649"/>
      <c r="BB10" s="649"/>
      <c r="BC10" s="649"/>
      <c r="BD10" s="649"/>
      <c r="BE10" s="649"/>
      <c r="BF10" s="649"/>
      <c r="BG10" s="649"/>
      <c r="BH10" s="649"/>
      <c r="BI10" s="649"/>
      <c r="BJ10" s="649"/>
      <c r="BK10" s="649"/>
      <c r="BL10" s="649"/>
      <c r="BM10" s="649"/>
      <c r="BN10" s="649"/>
      <c r="BO10" s="649"/>
      <c r="BP10" s="649"/>
      <c r="BQ10" s="649"/>
      <c r="BR10" s="649"/>
      <c r="BS10" s="649"/>
      <c r="BT10" s="649"/>
      <c r="BU10" s="649"/>
      <c r="BV10" s="649"/>
      <c r="BW10" s="649"/>
      <c r="BX10" s="649"/>
      <c r="BY10" s="649"/>
      <c r="BZ10" s="649"/>
      <c r="CA10" s="649"/>
      <c r="CB10" s="649"/>
      <c r="CC10" s="649"/>
      <c r="CD10" s="649"/>
      <c r="CE10" s="649"/>
      <c r="CF10" s="649"/>
    </row>
    <row r="11" spans="1:84" ht="20.100000000000001" customHeight="1" thickTop="1" thickBot="1" x14ac:dyDescent="0.25">
      <c r="B11" s="653" t="str">
        <f>PedBerMedIV!S5</f>
        <v/>
      </c>
      <c r="C11" s="653" t="str">
        <f>PedBerMedIV!T5</f>
        <v/>
      </c>
      <c r="D11" s="622">
        <v>3</v>
      </c>
      <c r="E11" s="608">
        <f>PedBerMedIV!B5</f>
        <v>1</v>
      </c>
      <c r="F11" s="609" t="str">
        <f>PedBerMedIV!V5</f>
        <v/>
      </c>
      <c r="G11" s="609" t="str">
        <f>PedBerMedIV!W5</f>
        <v/>
      </c>
      <c r="H11" s="610"/>
      <c r="I11" s="610" t="str">
        <f>PedBerMedIV!Y5</f>
        <v/>
      </c>
      <c r="J11" s="610" t="str">
        <f>PedBerMedIV!Z5</f>
        <v/>
      </c>
      <c r="K11" s="610" t="str">
        <f>PedBerMedIV!AA5</f>
        <v/>
      </c>
      <c r="L11" s="610" t="str">
        <f>PedBerMedIV!AB5</f>
        <v/>
      </c>
      <c r="M11" s="610" t="str">
        <f>PedBerMedIV!AC5</f>
        <v/>
      </c>
      <c r="N11" s="611"/>
      <c r="O11" s="644"/>
      <c r="P11" s="639"/>
      <c r="Q11" s="639"/>
      <c r="R11" s="639"/>
      <c r="S11" s="644"/>
      <c r="T11" s="644"/>
      <c r="U11" s="644"/>
      <c r="V11" s="644"/>
      <c r="W11" s="644"/>
      <c r="X11" s="644"/>
      <c r="Y11" s="644"/>
      <c r="Z11" s="644"/>
      <c r="AA11" s="644"/>
      <c r="AC11" s="649"/>
      <c r="AD11" s="642">
        <f>IF(E11&lt;&gt;0,INDEX(tblMedicationContIV,PedBerMedIV!$B5,6)*(PedBerMedIV!J5/10))</f>
        <v>0</v>
      </c>
      <c r="AE11" s="642">
        <f t="shared" si="0"/>
        <v>2</v>
      </c>
      <c r="AF11" s="642">
        <f t="shared" si="1"/>
        <v>0</v>
      </c>
      <c r="AH11" s="649"/>
      <c r="AI11" s="649"/>
      <c r="AJ11" s="649"/>
      <c r="AK11" s="649"/>
      <c r="AL11" s="649"/>
      <c r="AM11" s="649"/>
      <c r="AN11" s="649"/>
      <c r="AO11" s="649"/>
      <c r="AP11" s="649"/>
      <c r="AQ11" s="649"/>
      <c r="AR11" s="649"/>
      <c r="AS11" s="649"/>
      <c r="AT11" s="649"/>
      <c r="AU11" s="649"/>
      <c r="AV11" s="649"/>
      <c r="AW11" s="649"/>
      <c r="AX11" s="649"/>
      <c r="AY11" s="649"/>
      <c r="AZ11" s="649"/>
      <c r="BA11" s="649"/>
      <c r="BB11" s="649"/>
      <c r="BC11" s="649"/>
      <c r="BD11" s="649"/>
      <c r="BE11" s="649"/>
      <c r="BF11" s="649"/>
      <c r="BG11" s="649"/>
      <c r="BH11" s="649"/>
      <c r="BI11" s="649"/>
      <c r="BJ11" s="649"/>
      <c r="BK11" s="649"/>
      <c r="BL11" s="649"/>
      <c r="BM11" s="649"/>
      <c r="BN11" s="649"/>
      <c r="BO11" s="649"/>
      <c r="BP11" s="649"/>
      <c r="BQ11" s="649"/>
      <c r="BR11" s="649"/>
      <c r="BS11" s="649"/>
      <c r="BT11" s="649"/>
      <c r="BU11" s="649"/>
      <c r="BV11" s="649"/>
      <c r="BW11" s="649"/>
      <c r="BX11" s="649"/>
      <c r="BY11" s="649"/>
      <c r="BZ11" s="649"/>
      <c r="CA11" s="649"/>
      <c r="CB11" s="649"/>
      <c r="CC11" s="649"/>
      <c r="CD11" s="649"/>
      <c r="CE11" s="649"/>
      <c r="CF11" s="649"/>
    </row>
    <row r="12" spans="1:84" ht="20.100000000000001" customHeight="1" thickTop="1" thickBot="1" x14ac:dyDescent="0.25">
      <c r="B12" s="653" t="str">
        <f>PedBerMedIV!S6</f>
        <v/>
      </c>
      <c r="C12" s="653" t="str">
        <f>PedBerMedIV!T6</f>
        <v/>
      </c>
      <c r="D12" s="622">
        <v>4</v>
      </c>
      <c r="E12" s="608">
        <f>PedBerMedIV!B6</f>
        <v>1</v>
      </c>
      <c r="F12" s="609" t="str">
        <f>PedBerMedIV!V6</f>
        <v/>
      </c>
      <c r="G12" s="609" t="str">
        <f>PedBerMedIV!W6</f>
        <v/>
      </c>
      <c r="H12" s="610"/>
      <c r="I12" s="610" t="str">
        <f>PedBerMedIV!Y6</f>
        <v/>
      </c>
      <c r="J12" s="610" t="str">
        <f>PedBerMedIV!Z6</f>
        <v/>
      </c>
      <c r="K12" s="610" t="str">
        <f>PedBerMedIV!AA6</f>
        <v/>
      </c>
      <c r="L12" s="610" t="str">
        <f>PedBerMedIV!AB6</f>
        <v/>
      </c>
      <c r="M12" s="610" t="str">
        <f>PedBerMedIV!AC6</f>
        <v/>
      </c>
      <c r="N12" s="611"/>
      <c r="O12" s="644"/>
      <c r="P12" s="644"/>
      <c r="Q12" s="644"/>
      <c r="R12" s="644"/>
      <c r="S12" s="644"/>
      <c r="T12" s="644"/>
      <c r="U12" s="644"/>
      <c r="V12" s="644"/>
      <c r="W12" s="644"/>
      <c r="X12" s="644"/>
      <c r="Y12" s="644"/>
      <c r="Z12" s="644"/>
      <c r="AA12" s="644"/>
      <c r="AC12" s="649"/>
      <c r="AD12" s="642">
        <f>IF(E12&lt;&gt;0,INDEX(tblMedicationContIV,PedBerMedIV!$B6,6)*(PedBerMedIV!J6/10))</f>
        <v>0</v>
      </c>
      <c r="AE12" s="642">
        <f t="shared" si="0"/>
        <v>2</v>
      </c>
      <c r="AF12" s="642">
        <f t="shared" si="1"/>
        <v>0</v>
      </c>
      <c r="AH12" s="649"/>
      <c r="AI12" s="649"/>
      <c r="AJ12" s="649"/>
      <c r="AK12" s="649"/>
      <c r="AL12" s="649"/>
      <c r="AM12" s="649"/>
      <c r="AN12" s="649"/>
      <c r="AO12" s="649"/>
      <c r="AP12" s="649"/>
      <c r="AQ12" s="649"/>
      <c r="AR12" s="649"/>
      <c r="AS12" s="649"/>
      <c r="AT12" s="649"/>
      <c r="AU12" s="649"/>
      <c r="AV12" s="649"/>
      <c r="AW12" s="649"/>
      <c r="AX12" s="649"/>
      <c r="AY12" s="649"/>
      <c r="AZ12" s="649"/>
      <c r="BA12" s="649"/>
      <c r="BB12" s="649"/>
      <c r="BC12" s="649"/>
      <c r="BD12" s="649"/>
      <c r="BE12" s="649"/>
      <c r="BF12" s="649"/>
      <c r="BG12" s="649"/>
      <c r="BH12" s="649"/>
      <c r="BI12" s="649"/>
      <c r="BJ12" s="649"/>
      <c r="BK12" s="649"/>
      <c r="BL12" s="649"/>
      <c r="BM12" s="649"/>
      <c r="BN12" s="649"/>
      <c r="BO12" s="649"/>
      <c r="BP12" s="649"/>
      <c r="BQ12" s="649"/>
      <c r="BR12" s="649"/>
      <c r="BS12" s="649"/>
      <c r="BT12" s="649"/>
      <c r="BU12" s="649"/>
      <c r="BV12" s="649"/>
      <c r="BW12" s="649"/>
      <c r="BX12" s="649"/>
      <c r="BY12" s="649"/>
      <c r="BZ12" s="649"/>
      <c r="CA12" s="649"/>
      <c r="CB12" s="649"/>
      <c r="CC12" s="649"/>
      <c r="CD12" s="649"/>
      <c r="CE12" s="649"/>
      <c r="CF12" s="649"/>
    </row>
    <row r="13" spans="1:84" ht="20.100000000000001" customHeight="1" thickTop="1" thickBot="1" x14ac:dyDescent="0.25">
      <c r="B13" s="653" t="str">
        <f>PedBerMedIV!S7</f>
        <v/>
      </c>
      <c r="C13" s="653" t="str">
        <f>PedBerMedIV!T7</f>
        <v/>
      </c>
      <c r="D13" s="622">
        <v>5</v>
      </c>
      <c r="E13" s="608">
        <f>PedBerMedIV!B7</f>
        <v>1</v>
      </c>
      <c r="F13" s="609" t="str">
        <f>PedBerMedIV!V7</f>
        <v/>
      </c>
      <c r="G13" s="609" t="str">
        <f>PedBerMedIV!W7</f>
        <v/>
      </c>
      <c r="H13" s="610"/>
      <c r="I13" s="610" t="str">
        <f>PedBerMedIV!Y7</f>
        <v/>
      </c>
      <c r="J13" s="610" t="str">
        <f>PedBerMedIV!Z7</f>
        <v/>
      </c>
      <c r="K13" s="610" t="str">
        <f>PedBerMedIV!AA7</f>
        <v/>
      </c>
      <c r="L13" s="610" t="str">
        <f>PedBerMedIV!AB7</f>
        <v/>
      </c>
      <c r="M13" s="610" t="str">
        <f>PedBerMedIV!AC7</f>
        <v/>
      </c>
      <c r="N13" s="611"/>
      <c r="O13" s="644"/>
      <c r="P13" s="644"/>
      <c r="Q13" s="644"/>
      <c r="R13" s="644"/>
      <c r="S13" s="644"/>
      <c r="T13" s="644"/>
      <c r="U13" s="644"/>
      <c r="V13" s="644"/>
      <c r="W13" s="644"/>
      <c r="X13" s="644"/>
      <c r="Y13" s="644"/>
      <c r="Z13" s="644"/>
      <c r="AA13" s="644"/>
      <c r="AC13" s="649"/>
      <c r="AD13" s="642">
        <f>IF(E13&lt;&gt;0,INDEX(tblMedicationContIV,PedBerMedIV!$B7,6)*(PedBerMedIV!J7/10))</f>
        <v>0</v>
      </c>
      <c r="AE13" s="642">
        <f t="shared" si="0"/>
        <v>2</v>
      </c>
      <c r="AF13" s="642">
        <f t="shared" si="1"/>
        <v>0</v>
      </c>
      <c r="AH13" s="649"/>
      <c r="AI13" s="649"/>
      <c r="AJ13" s="649"/>
      <c r="AK13" s="649"/>
      <c r="AL13" s="649"/>
      <c r="AM13" s="649"/>
      <c r="AN13" s="649"/>
      <c r="AO13" s="649"/>
      <c r="AP13" s="649"/>
      <c r="AQ13" s="649"/>
      <c r="AR13" s="649"/>
      <c r="AS13" s="649"/>
      <c r="AT13" s="649"/>
      <c r="AU13" s="649"/>
      <c r="AV13" s="649"/>
      <c r="AW13" s="649"/>
      <c r="AX13" s="649"/>
      <c r="AY13" s="649"/>
      <c r="AZ13" s="649"/>
      <c r="BA13" s="649"/>
      <c r="BB13" s="649"/>
      <c r="BC13" s="649"/>
      <c r="BD13" s="649"/>
      <c r="BE13" s="649"/>
      <c r="BF13" s="649"/>
      <c r="BG13" s="649"/>
      <c r="BH13" s="649"/>
      <c r="BI13" s="649"/>
      <c r="BJ13" s="649"/>
      <c r="BK13" s="649"/>
      <c r="BL13" s="649"/>
      <c r="BM13" s="649"/>
      <c r="BN13" s="649"/>
      <c r="BO13" s="649"/>
      <c r="BP13" s="649"/>
      <c r="BQ13" s="649"/>
      <c r="BR13" s="649"/>
      <c r="BS13" s="649"/>
      <c r="BT13" s="649"/>
      <c r="BU13" s="649"/>
      <c r="BV13" s="649"/>
      <c r="BW13" s="649"/>
      <c r="BX13" s="649"/>
      <c r="BY13" s="649"/>
      <c r="BZ13" s="649"/>
      <c r="CA13" s="649"/>
      <c r="CB13" s="649"/>
      <c r="CC13" s="649"/>
      <c r="CD13" s="649"/>
      <c r="CE13" s="649"/>
      <c r="CF13" s="649"/>
    </row>
    <row r="14" spans="1:84" ht="20.100000000000001" customHeight="1" thickTop="1" thickBot="1" x14ac:dyDescent="0.25">
      <c r="B14" s="653" t="str">
        <f>PedBerMedIV!S8</f>
        <v/>
      </c>
      <c r="C14" s="653" t="str">
        <f>PedBerMedIV!T8</f>
        <v/>
      </c>
      <c r="D14" s="622">
        <v>6</v>
      </c>
      <c r="E14" s="608">
        <f>PedBerMedIV!B8</f>
        <v>1</v>
      </c>
      <c r="F14" s="609" t="str">
        <f>PedBerMedIV!V8</f>
        <v/>
      </c>
      <c r="G14" s="609" t="str">
        <f>PedBerMedIV!W8</f>
        <v/>
      </c>
      <c r="H14" s="610"/>
      <c r="I14" s="610" t="str">
        <f>PedBerMedIV!Y8</f>
        <v/>
      </c>
      <c r="J14" s="610" t="str">
        <f>PedBerMedIV!Z8</f>
        <v/>
      </c>
      <c r="K14" s="610" t="str">
        <f>PedBerMedIV!AA8</f>
        <v/>
      </c>
      <c r="L14" s="610" t="str">
        <f>PedBerMedIV!AB8</f>
        <v/>
      </c>
      <c r="M14" s="610" t="str">
        <f>PedBerMedIV!AC8</f>
        <v/>
      </c>
      <c r="N14" s="611"/>
      <c r="O14" s="644"/>
      <c r="P14" s="644"/>
      <c r="Q14" s="644"/>
      <c r="R14" s="644"/>
      <c r="S14" s="644"/>
      <c r="T14" s="644"/>
      <c r="U14" s="644"/>
      <c r="V14" s="644"/>
      <c r="W14" s="644"/>
      <c r="X14" s="644"/>
      <c r="Y14" s="644"/>
      <c r="Z14" s="644"/>
      <c r="AA14" s="644"/>
      <c r="AC14" s="649"/>
      <c r="AD14" s="642">
        <f>IF(E14&lt;&gt;0,INDEX(tblMedicationContIV,PedBerMedIV!$B8,6)*(PedBerMedIV!J8/10))</f>
        <v>0</v>
      </c>
      <c r="AE14" s="642">
        <f t="shared" si="0"/>
        <v>2</v>
      </c>
      <c r="AF14" s="642">
        <f t="shared" si="1"/>
        <v>0</v>
      </c>
      <c r="AH14" s="649"/>
      <c r="AI14" s="649"/>
      <c r="AJ14" s="649"/>
      <c r="AK14" s="649"/>
      <c r="AL14" s="649"/>
      <c r="AM14" s="649"/>
      <c r="AN14" s="649"/>
      <c r="AO14" s="649"/>
      <c r="AP14" s="649"/>
      <c r="AQ14" s="649"/>
      <c r="AR14" s="649"/>
      <c r="AS14" s="649"/>
      <c r="AT14" s="649"/>
      <c r="AU14" s="649"/>
      <c r="AV14" s="649"/>
      <c r="AW14" s="649"/>
      <c r="AX14" s="649"/>
      <c r="AY14" s="649"/>
      <c r="AZ14" s="649"/>
      <c r="BA14" s="649"/>
      <c r="BB14" s="649"/>
      <c r="BC14" s="649"/>
      <c r="BD14" s="649"/>
      <c r="BE14" s="649"/>
      <c r="BF14" s="649"/>
      <c r="BG14" s="649"/>
      <c r="BH14" s="649"/>
      <c r="BI14" s="649"/>
      <c r="BJ14" s="649"/>
      <c r="BK14" s="649"/>
      <c r="BL14" s="649"/>
      <c r="BM14" s="649"/>
      <c r="BN14" s="649"/>
      <c r="BO14" s="649"/>
      <c r="BP14" s="649"/>
      <c r="BQ14" s="649"/>
      <c r="BR14" s="649"/>
      <c r="BS14" s="649"/>
      <c r="BT14" s="649"/>
      <c r="BU14" s="649"/>
      <c r="BV14" s="649"/>
      <c r="BW14" s="649"/>
      <c r="BX14" s="649"/>
      <c r="BY14" s="649"/>
      <c r="BZ14" s="649"/>
      <c r="CA14" s="649"/>
      <c r="CB14" s="649"/>
      <c r="CC14" s="649"/>
      <c r="CD14" s="649"/>
      <c r="CE14" s="649"/>
      <c r="CF14" s="649"/>
    </row>
    <row r="15" spans="1:84" ht="20.100000000000001" customHeight="1" thickTop="1" thickBot="1" x14ac:dyDescent="0.25">
      <c r="B15" s="653" t="str">
        <f>PedBerMedIV!S9</f>
        <v/>
      </c>
      <c r="C15" s="653" t="str">
        <f>PedBerMedIV!T9</f>
        <v/>
      </c>
      <c r="D15" s="622">
        <v>7</v>
      </c>
      <c r="E15" s="608">
        <f>PedBerMedIV!B9</f>
        <v>1</v>
      </c>
      <c r="F15" s="609" t="str">
        <f>PedBerMedIV!V9</f>
        <v/>
      </c>
      <c r="G15" s="609" t="str">
        <f>PedBerMedIV!W9</f>
        <v/>
      </c>
      <c r="H15" s="610"/>
      <c r="I15" s="610" t="str">
        <f>PedBerMedIV!Y9</f>
        <v/>
      </c>
      <c r="J15" s="610" t="str">
        <f>PedBerMedIV!Z9</f>
        <v/>
      </c>
      <c r="K15" s="610" t="str">
        <f>PedBerMedIV!AA9</f>
        <v/>
      </c>
      <c r="L15" s="610" t="str">
        <f>PedBerMedIV!AB9</f>
        <v/>
      </c>
      <c r="M15" s="610" t="str">
        <f>PedBerMedIV!AC9</f>
        <v/>
      </c>
      <c r="N15" s="611"/>
      <c r="O15" s="644"/>
      <c r="P15" s="644"/>
      <c r="Q15" s="644"/>
      <c r="R15" s="644"/>
      <c r="S15" s="644"/>
      <c r="T15" s="644"/>
      <c r="U15" s="644"/>
      <c r="V15" s="644"/>
      <c r="W15" s="644"/>
      <c r="X15" s="644"/>
      <c r="Y15" s="644"/>
      <c r="Z15" s="644"/>
      <c r="AA15" s="644"/>
      <c r="AC15" s="649"/>
      <c r="AD15" s="642">
        <f>IF(E15&lt;&gt;0,INDEX(tblMedicationContIV,PedBerMedIV!$B9,6)*(PedBerMedIV!J9/10))</f>
        <v>0</v>
      </c>
      <c r="AE15" s="642">
        <f t="shared" si="0"/>
        <v>2</v>
      </c>
      <c r="AF15" s="642">
        <f t="shared" si="1"/>
        <v>0</v>
      </c>
      <c r="AH15" s="649"/>
      <c r="AI15" s="649"/>
      <c r="AJ15" s="649"/>
      <c r="AK15" s="649"/>
      <c r="AL15" s="649"/>
      <c r="AM15" s="649"/>
      <c r="AN15" s="649"/>
      <c r="AO15" s="649"/>
      <c r="AP15" s="649"/>
      <c r="AQ15" s="649"/>
      <c r="AR15" s="649"/>
      <c r="AS15" s="649"/>
      <c r="AT15" s="649"/>
      <c r="AU15" s="649"/>
      <c r="AV15" s="649"/>
      <c r="AW15" s="649"/>
      <c r="AX15" s="649"/>
      <c r="AY15" s="649"/>
      <c r="AZ15" s="649"/>
      <c r="BA15" s="649"/>
      <c r="BB15" s="649"/>
      <c r="BC15" s="649"/>
      <c r="BD15" s="649"/>
      <c r="BE15" s="649"/>
      <c r="BF15" s="649"/>
      <c r="BG15" s="649"/>
      <c r="BH15" s="649"/>
      <c r="BI15" s="649"/>
      <c r="BJ15" s="649"/>
      <c r="BK15" s="649"/>
      <c r="BL15" s="649"/>
      <c r="BM15" s="649"/>
      <c r="BN15" s="649"/>
      <c r="BO15" s="649"/>
      <c r="BP15" s="649"/>
      <c r="BQ15" s="649"/>
      <c r="BR15" s="649"/>
      <c r="BS15" s="649"/>
      <c r="BT15" s="649"/>
      <c r="BU15" s="649"/>
      <c r="BV15" s="649"/>
      <c r="BW15" s="649"/>
      <c r="BX15" s="649"/>
      <c r="BY15" s="649"/>
      <c r="BZ15" s="649"/>
      <c r="CA15" s="649"/>
      <c r="CB15" s="649"/>
      <c r="CC15" s="649"/>
      <c r="CD15" s="649"/>
      <c r="CE15" s="649"/>
      <c r="CF15" s="649"/>
    </row>
    <row r="16" spans="1:84" ht="20.100000000000001" customHeight="1" thickTop="1" thickBot="1" x14ac:dyDescent="0.25">
      <c r="B16" s="653" t="str">
        <f>PedBerMedIV!S10</f>
        <v/>
      </c>
      <c r="C16" s="653" t="str">
        <f>PedBerMedIV!T10</f>
        <v/>
      </c>
      <c r="D16" s="622">
        <v>8</v>
      </c>
      <c r="E16" s="608">
        <f>PedBerMedIV!B10</f>
        <v>1</v>
      </c>
      <c r="F16" s="609" t="str">
        <f>PedBerMedIV!V10</f>
        <v/>
      </c>
      <c r="G16" s="609" t="str">
        <f>PedBerMedIV!W10</f>
        <v/>
      </c>
      <c r="H16" s="610"/>
      <c r="I16" s="610" t="str">
        <f>PedBerMedIV!Y10</f>
        <v/>
      </c>
      <c r="J16" s="610" t="str">
        <f>PedBerMedIV!Z10</f>
        <v/>
      </c>
      <c r="K16" s="610" t="str">
        <f>PedBerMedIV!AA10</f>
        <v/>
      </c>
      <c r="L16" s="610" t="str">
        <f>PedBerMedIV!AB10</f>
        <v/>
      </c>
      <c r="M16" s="610" t="str">
        <f>PedBerMedIV!AC10</f>
        <v/>
      </c>
      <c r="N16" s="611"/>
      <c r="O16" s="644"/>
      <c r="P16" s="644"/>
      <c r="Q16" s="644"/>
      <c r="R16" s="644"/>
      <c r="S16" s="644"/>
      <c r="T16" s="644"/>
      <c r="U16" s="644"/>
      <c r="V16" s="644"/>
      <c r="W16" s="644"/>
      <c r="X16" s="644"/>
      <c r="Y16" s="644"/>
      <c r="Z16" s="644"/>
      <c r="AA16" s="644"/>
      <c r="AC16" s="649"/>
      <c r="AD16" s="642">
        <f>IF(E16&lt;&gt;0,INDEX(tblMedicationContIV,PedBerMedIV!$B10,6)*(PedBerMedIV!J10/10))</f>
        <v>0</v>
      </c>
      <c r="AE16" s="642">
        <f t="shared" si="0"/>
        <v>2</v>
      </c>
      <c r="AF16" s="642">
        <f t="shared" si="1"/>
        <v>0</v>
      </c>
      <c r="AH16" s="649"/>
      <c r="AI16" s="649"/>
      <c r="AJ16" s="649"/>
      <c r="AK16" s="649"/>
      <c r="AL16" s="649"/>
      <c r="AM16" s="649"/>
      <c r="AN16" s="649"/>
      <c r="AO16" s="649"/>
      <c r="AP16" s="649"/>
      <c r="AQ16" s="649"/>
      <c r="AR16" s="649"/>
      <c r="AS16" s="649"/>
      <c r="AT16" s="649"/>
      <c r="AU16" s="649"/>
      <c r="AV16" s="649"/>
      <c r="AW16" s="649"/>
      <c r="AX16" s="649"/>
      <c r="AY16" s="649"/>
      <c r="AZ16" s="649"/>
      <c r="BA16" s="649"/>
      <c r="BB16" s="649"/>
      <c r="BC16" s="649"/>
      <c r="BD16" s="649"/>
      <c r="BE16" s="649"/>
      <c r="BF16" s="649"/>
      <c r="BG16" s="649"/>
      <c r="BH16" s="649"/>
      <c r="BI16" s="649"/>
      <c r="BJ16" s="649"/>
      <c r="BK16" s="649"/>
      <c r="BL16" s="649"/>
      <c r="BM16" s="649"/>
      <c r="BN16" s="649"/>
      <c r="BO16" s="649"/>
      <c r="BP16" s="649"/>
      <c r="BQ16" s="649"/>
      <c r="BR16" s="649"/>
      <c r="BS16" s="649"/>
      <c r="BT16" s="649"/>
      <c r="BU16" s="649"/>
      <c r="BV16" s="649"/>
      <c r="BW16" s="649"/>
      <c r="BX16" s="649"/>
      <c r="BY16" s="649"/>
      <c r="BZ16" s="649"/>
      <c r="CA16" s="649"/>
      <c r="CB16" s="649"/>
      <c r="CC16" s="649"/>
      <c r="CD16" s="649"/>
      <c r="CE16" s="649"/>
      <c r="CF16" s="649"/>
    </row>
    <row r="17" spans="2:84" ht="20.100000000000001" customHeight="1" thickTop="1" thickBot="1" x14ac:dyDescent="0.25">
      <c r="B17" s="653" t="str">
        <f>PedBerMedIV!S11</f>
        <v/>
      </c>
      <c r="C17" s="653" t="str">
        <f>PedBerMedIV!T11</f>
        <v/>
      </c>
      <c r="D17" s="622">
        <v>9</v>
      </c>
      <c r="E17" s="608">
        <f>PedBerMedIV!B11</f>
        <v>1</v>
      </c>
      <c r="F17" s="609" t="str">
        <f>PedBerMedIV!V11</f>
        <v/>
      </c>
      <c r="G17" s="609" t="str">
        <f>PedBerMedIV!W11</f>
        <v/>
      </c>
      <c r="H17" s="610"/>
      <c r="I17" s="610" t="str">
        <f>PedBerMedIV!Y11</f>
        <v/>
      </c>
      <c r="J17" s="610" t="str">
        <f>PedBerMedIV!Z11</f>
        <v/>
      </c>
      <c r="K17" s="610" t="str">
        <f>PedBerMedIV!AA11</f>
        <v/>
      </c>
      <c r="L17" s="610" t="str">
        <f>PedBerMedIV!AB11</f>
        <v/>
      </c>
      <c r="M17" s="610" t="str">
        <f>PedBerMedIV!AC11</f>
        <v/>
      </c>
      <c r="N17" s="611"/>
      <c r="O17" s="644"/>
      <c r="P17" s="644"/>
      <c r="Q17" s="644"/>
      <c r="R17" s="644"/>
      <c r="S17" s="644"/>
      <c r="T17" s="644"/>
      <c r="U17" s="644"/>
      <c r="V17" s="644"/>
      <c r="W17" s="644"/>
      <c r="X17" s="644"/>
      <c r="Y17" s="644"/>
      <c r="Z17" s="644"/>
      <c r="AA17" s="644"/>
      <c r="AC17" s="649"/>
      <c r="AD17" s="642">
        <f>IF(E17&lt;&gt;0,INDEX(tblMedicationContIV,PedBerMedIV!$B11,6)*(PedBerMedIV!J11/10))</f>
        <v>0</v>
      </c>
      <c r="AE17" s="642">
        <f t="shared" si="0"/>
        <v>2</v>
      </c>
      <c r="AF17" s="642">
        <f t="shared" si="1"/>
        <v>0</v>
      </c>
      <c r="AH17" s="649"/>
      <c r="AI17" s="649"/>
      <c r="AJ17" s="649"/>
      <c r="AK17" s="649"/>
      <c r="AL17" s="649"/>
      <c r="AM17" s="649"/>
      <c r="AN17" s="649"/>
      <c r="AO17" s="649"/>
      <c r="AP17" s="649"/>
      <c r="AQ17" s="649"/>
      <c r="AR17" s="649"/>
      <c r="AS17" s="649"/>
      <c r="AT17" s="649"/>
      <c r="AU17" s="649"/>
      <c r="AV17" s="649"/>
      <c r="AW17" s="649"/>
      <c r="AX17" s="649"/>
      <c r="AY17" s="649"/>
      <c r="AZ17" s="649"/>
      <c r="BA17" s="649"/>
      <c r="BB17" s="649"/>
      <c r="BC17" s="649"/>
      <c r="BD17" s="649"/>
      <c r="BE17" s="649"/>
      <c r="BF17" s="649"/>
      <c r="BG17" s="649"/>
      <c r="BH17" s="649"/>
      <c r="BI17" s="649"/>
      <c r="BJ17" s="649"/>
      <c r="BK17" s="649"/>
      <c r="BL17" s="649"/>
      <c r="BM17" s="649"/>
      <c r="BN17" s="649"/>
      <c r="BO17" s="649"/>
      <c r="BP17" s="649"/>
      <c r="BQ17" s="649"/>
      <c r="BR17" s="649"/>
      <c r="BS17" s="649"/>
      <c r="BT17" s="649"/>
      <c r="BU17" s="649"/>
      <c r="BV17" s="649"/>
      <c r="BW17" s="649"/>
      <c r="BX17" s="649"/>
      <c r="BY17" s="649"/>
      <c r="BZ17" s="649"/>
      <c r="CA17" s="649"/>
      <c r="CB17" s="649"/>
      <c r="CC17" s="649"/>
      <c r="CD17" s="649"/>
      <c r="CE17" s="649"/>
      <c r="CF17" s="649"/>
    </row>
    <row r="18" spans="2:84" ht="20.100000000000001" customHeight="1" thickTop="1" thickBot="1" x14ac:dyDescent="0.25">
      <c r="B18" s="653" t="str">
        <f>PedBerMedIV!S12</f>
        <v/>
      </c>
      <c r="C18" s="653" t="str">
        <f>PedBerMedIV!T12</f>
        <v/>
      </c>
      <c r="D18" s="622">
        <v>10</v>
      </c>
      <c r="E18" s="608">
        <f>PedBerMedIV!B12</f>
        <v>1</v>
      </c>
      <c r="F18" s="609" t="str">
        <f>PedBerMedIV!V12</f>
        <v/>
      </c>
      <c r="G18" s="609" t="str">
        <f>PedBerMedIV!W12</f>
        <v/>
      </c>
      <c r="H18" s="610"/>
      <c r="I18" s="610" t="str">
        <f>PedBerMedIV!Y12</f>
        <v/>
      </c>
      <c r="J18" s="610" t="str">
        <f>PedBerMedIV!Z12</f>
        <v/>
      </c>
      <c r="K18" s="610" t="str">
        <f>PedBerMedIV!AA12</f>
        <v/>
      </c>
      <c r="L18" s="610" t="str">
        <f>PedBerMedIV!AB12</f>
        <v/>
      </c>
      <c r="M18" s="610" t="str">
        <f>PedBerMedIV!AC12</f>
        <v/>
      </c>
      <c r="N18" s="611"/>
      <c r="O18" s="644"/>
      <c r="P18" s="644"/>
      <c r="Q18" s="644"/>
      <c r="R18" s="644"/>
      <c r="S18" s="644"/>
      <c r="T18" s="644"/>
      <c r="U18" s="644"/>
      <c r="V18" s="644"/>
      <c r="W18" s="644"/>
      <c r="X18" s="644"/>
      <c r="Y18" s="644"/>
      <c r="Z18" s="644"/>
      <c r="AA18" s="644"/>
      <c r="AC18" s="649"/>
      <c r="AD18" s="642">
        <f>IF(E18&lt;&gt;0,INDEX(tblMedicationContIV,PedBerMedIV!$B12,6)*(PedBerMedIV!J12/10))</f>
        <v>0</v>
      </c>
      <c r="AE18" s="642">
        <f t="shared" si="0"/>
        <v>2</v>
      </c>
      <c r="AF18" s="642">
        <f t="shared" si="1"/>
        <v>0</v>
      </c>
      <c r="AH18" s="649"/>
      <c r="AI18" s="649"/>
      <c r="AJ18" s="649"/>
      <c r="AK18" s="649"/>
      <c r="AL18" s="649"/>
      <c r="AM18" s="649"/>
      <c r="AN18" s="649"/>
      <c r="AO18" s="649"/>
      <c r="AP18" s="649"/>
      <c r="AQ18" s="649"/>
      <c r="AR18" s="649"/>
      <c r="AS18" s="649"/>
      <c r="AT18" s="649"/>
      <c r="AU18" s="649"/>
      <c r="AV18" s="649"/>
      <c r="AW18" s="649"/>
      <c r="AX18" s="649"/>
      <c r="AY18" s="649"/>
      <c r="AZ18" s="649"/>
      <c r="BA18" s="649"/>
      <c r="BB18" s="649"/>
      <c r="BC18" s="649"/>
      <c r="BD18" s="649"/>
      <c r="BE18" s="649"/>
      <c r="BF18" s="649"/>
      <c r="BG18" s="649"/>
      <c r="BH18" s="649"/>
      <c r="BI18" s="649"/>
      <c r="BJ18" s="649"/>
      <c r="BK18" s="649"/>
      <c r="BL18" s="649"/>
      <c r="BM18" s="649"/>
      <c r="BN18" s="649"/>
      <c r="BO18" s="649"/>
      <c r="BP18" s="649"/>
      <c r="BQ18" s="649"/>
      <c r="BR18" s="649"/>
      <c r="BS18" s="649"/>
      <c r="BT18" s="649"/>
      <c r="BU18" s="649"/>
      <c r="BV18" s="649"/>
      <c r="BW18" s="649"/>
      <c r="BX18" s="649"/>
      <c r="BY18" s="649"/>
      <c r="BZ18" s="649"/>
      <c r="CA18" s="649"/>
      <c r="CB18" s="649"/>
      <c r="CC18" s="649"/>
      <c r="CD18" s="649"/>
      <c r="CE18" s="649"/>
      <c r="CF18" s="649"/>
    </row>
    <row r="19" spans="2:84" ht="20.100000000000001" customHeight="1" thickTop="1" thickBot="1" x14ac:dyDescent="0.25">
      <c r="B19" s="653" t="str">
        <f>PedBerMedIV!S13</f>
        <v/>
      </c>
      <c r="C19" s="653" t="str">
        <f>PedBerMedIV!T13</f>
        <v/>
      </c>
      <c r="D19" s="622">
        <v>11</v>
      </c>
      <c r="E19" s="608">
        <f>PedBerMedIV!B13</f>
        <v>1</v>
      </c>
      <c r="F19" s="609" t="str">
        <f>PedBerMedIV!V13</f>
        <v/>
      </c>
      <c r="G19" s="609" t="str">
        <f>PedBerMedIV!W13</f>
        <v/>
      </c>
      <c r="H19" s="610"/>
      <c r="I19" s="610" t="str">
        <f>PedBerMedIV!Y13</f>
        <v/>
      </c>
      <c r="J19" s="610" t="str">
        <f>PedBerMedIV!Z13</f>
        <v/>
      </c>
      <c r="K19" s="610" t="str">
        <f>PedBerMedIV!AA13</f>
        <v/>
      </c>
      <c r="L19" s="610" t="str">
        <f>PedBerMedIV!AB13</f>
        <v/>
      </c>
      <c r="M19" s="610" t="str">
        <f>PedBerMedIV!AC13</f>
        <v/>
      </c>
      <c r="N19" s="611"/>
      <c r="O19" s="644"/>
      <c r="P19" s="644"/>
      <c r="Q19" s="644"/>
      <c r="R19" s="644"/>
      <c r="S19" s="644"/>
      <c r="T19" s="644"/>
      <c r="U19" s="644"/>
      <c r="V19" s="644"/>
      <c r="W19" s="644"/>
      <c r="X19" s="644"/>
      <c r="Y19" s="644"/>
      <c r="Z19" s="644"/>
      <c r="AA19" s="644"/>
      <c r="AC19" s="649"/>
      <c r="AH19" s="649"/>
      <c r="AI19" s="649"/>
      <c r="AJ19" s="649"/>
      <c r="AK19" s="649"/>
      <c r="AL19" s="649"/>
      <c r="AM19" s="649"/>
      <c r="AN19" s="649"/>
      <c r="AO19" s="649"/>
      <c r="AP19" s="649"/>
      <c r="AQ19" s="649"/>
      <c r="AR19" s="649"/>
      <c r="AS19" s="649"/>
      <c r="AT19" s="649"/>
      <c r="AU19" s="649"/>
      <c r="AV19" s="649"/>
      <c r="AW19" s="649"/>
      <c r="AX19" s="649"/>
      <c r="AY19" s="649"/>
      <c r="AZ19" s="649"/>
      <c r="BA19" s="649"/>
      <c r="BB19" s="649"/>
      <c r="BC19" s="649"/>
      <c r="BD19" s="649"/>
      <c r="BE19" s="649"/>
      <c r="BF19" s="649"/>
      <c r="BG19" s="649"/>
      <c r="BH19" s="649"/>
      <c r="BI19" s="649"/>
      <c r="BJ19" s="649"/>
      <c r="BK19" s="649"/>
      <c r="BL19" s="649"/>
      <c r="BM19" s="649"/>
      <c r="BN19" s="649"/>
      <c r="BO19" s="649"/>
      <c r="BP19" s="649"/>
      <c r="BQ19" s="649"/>
      <c r="BR19" s="649"/>
      <c r="BS19" s="649"/>
      <c r="BT19" s="649"/>
      <c r="BU19" s="649"/>
      <c r="BV19" s="649"/>
      <c r="BW19" s="649"/>
      <c r="BX19" s="649"/>
      <c r="BY19" s="649"/>
      <c r="BZ19" s="649"/>
      <c r="CA19" s="649"/>
      <c r="CB19" s="649"/>
      <c r="CC19" s="649"/>
      <c r="CD19" s="649"/>
      <c r="CE19" s="649"/>
      <c r="CF19" s="649"/>
    </row>
    <row r="20" spans="2:84" ht="20.100000000000001" customHeight="1" thickTop="1" thickBot="1" x14ac:dyDescent="0.25">
      <c r="B20" s="653" t="str">
        <f>PedBerMedIV!S14</f>
        <v/>
      </c>
      <c r="C20" s="653" t="str">
        <f>PedBerMedIV!T14</f>
        <v/>
      </c>
      <c r="D20" s="622">
        <v>12</v>
      </c>
      <c r="E20" s="608">
        <f>PedBerMedIV!B14</f>
        <v>1</v>
      </c>
      <c r="F20" s="609" t="str">
        <f>PedBerMedIV!V14</f>
        <v/>
      </c>
      <c r="G20" s="609" t="str">
        <f>PedBerMedIV!W14</f>
        <v/>
      </c>
      <c r="H20" s="610"/>
      <c r="I20" s="610" t="str">
        <f>PedBerMedIV!Y14</f>
        <v/>
      </c>
      <c r="J20" s="610" t="str">
        <f>PedBerMedIV!Z14</f>
        <v/>
      </c>
      <c r="K20" s="610" t="str">
        <f>PedBerMedIV!AA14</f>
        <v/>
      </c>
      <c r="L20" s="610" t="str">
        <f>PedBerMedIV!AB14</f>
        <v/>
      </c>
      <c r="M20" s="610" t="str">
        <f>PedBerMedIV!AC14</f>
        <v/>
      </c>
      <c r="N20" s="611"/>
      <c r="O20" s="644"/>
      <c r="P20" s="644"/>
      <c r="Q20" s="644"/>
      <c r="R20" s="644"/>
      <c r="S20" s="644"/>
      <c r="T20" s="644"/>
      <c r="U20" s="644"/>
      <c r="V20" s="644"/>
      <c r="W20" s="644"/>
      <c r="X20" s="644"/>
      <c r="Y20" s="644"/>
      <c r="Z20" s="644"/>
      <c r="AA20" s="644"/>
      <c r="AC20" s="649"/>
      <c r="AH20" s="649"/>
      <c r="AI20" s="649"/>
      <c r="AJ20" s="649"/>
      <c r="AK20" s="649"/>
      <c r="AL20" s="649"/>
      <c r="AM20" s="649"/>
      <c r="AN20" s="649"/>
      <c r="AO20" s="649"/>
      <c r="AP20" s="649"/>
      <c r="AQ20" s="649"/>
      <c r="AR20" s="649"/>
      <c r="AS20" s="649"/>
      <c r="AT20" s="649"/>
      <c r="AU20" s="649"/>
      <c r="AV20" s="649"/>
      <c r="AW20" s="649"/>
      <c r="AX20" s="649"/>
      <c r="AY20" s="649"/>
      <c r="AZ20" s="649"/>
      <c r="BA20" s="649"/>
      <c r="BB20" s="649"/>
      <c r="BC20" s="649"/>
      <c r="BD20" s="649"/>
      <c r="BE20" s="649"/>
      <c r="BF20" s="649"/>
      <c r="BG20" s="649"/>
      <c r="BH20" s="649"/>
      <c r="BI20" s="649"/>
      <c r="BJ20" s="649"/>
      <c r="BK20" s="649"/>
      <c r="BL20" s="649"/>
      <c r="BM20" s="649"/>
      <c r="BN20" s="649"/>
      <c r="BO20" s="649"/>
      <c r="BP20" s="649"/>
      <c r="BQ20" s="649"/>
      <c r="BR20" s="649"/>
      <c r="BS20" s="649"/>
      <c r="BT20" s="649"/>
      <c r="BU20" s="649"/>
      <c r="BV20" s="649"/>
      <c r="BW20" s="649"/>
      <c r="BX20" s="649"/>
      <c r="BY20" s="649"/>
      <c r="BZ20" s="649"/>
      <c r="CA20" s="649"/>
      <c r="CB20" s="649"/>
      <c r="CC20" s="649"/>
      <c r="CD20" s="649"/>
      <c r="CE20" s="649"/>
      <c r="CF20" s="649"/>
    </row>
    <row r="21" spans="2:84" ht="20.100000000000001" customHeight="1" thickTop="1" thickBot="1" x14ac:dyDescent="0.25">
      <c r="B21" s="653" t="str">
        <f>PedBerMedIV!S15</f>
        <v/>
      </c>
      <c r="C21" s="653" t="str">
        <f>PedBerMedIV!T15</f>
        <v/>
      </c>
      <c r="D21" s="622">
        <v>13</v>
      </c>
      <c r="E21" s="608">
        <f>PedBerMedIV!B15</f>
        <v>1</v>
      </c>
      <c r="F21" s="609" t="str">
        <f>PedBerMedIV!V15</f>
        <v/>
      </c>
      <c r="G21" s="609" t="str">
        <f>PedBerMedIV!W15</f>
        <v/>
      </c>
      <c r="H21" s="610"/>
      <c r="I21" s="610" t="str">
        <f>PedBerMedIV!Y15</f>
        <v/>
      </c>
      <c r="J21" s="610" t="str">
        <f>PedBerMedIV!Z15</f>
        <v/>
      </c>
      <c r="K21" s="610" t="str">
        <f>PedBerMedIV!AA15</f>
        <v/>
      </c>
      <c r="L21" s="610" t="str">
        <f>PedBerMedIV!AB15</f>
        <v/>
      </c>
      <c r="M21" s="610" t="str">
        <f>PedBerMedIV!AC15</f>
        <v/>
      </c>
      <c r="N21" s="611"/>
      <c r="O21" s="644"/>
      <c r="P21" s="644"/>
      <c r="Q21" s="644"/>
      <c r="R21" s="644"/>
      <c r="S21" s="644"/>
      <c r="T21" s="644"/>
      <c r="U21" s="644"/>
      <c r="V21" s="644"/>
      <c r="W21" s="644"/>
      <c r="X21" s="644"/>
      <c r="Y21" s="644"/>
      <c r="Z21" s="644"/>
      <c r="AA21" s="644"/>
      <c r="AC21" s="649"/>
      <c r="AH21" s="649"/>
      <c r="AI21" s="649"/>
      <c r="AJ21" s="649"/>
      <c r="AK21" s="649"/>
      <c r="AL21" s="649"/>
      <c r="AM21" s="649"/>
      <c r="AN21" s="649"/>
      <c r="AO21" s="649"/>
      <c r="AP21" s="649"/>
      <c r="AQ21" s="649"/>
      <c r="AR21" s="649"/>
      <c r="AS21" s="649"/>
      <c r="AT21" s="649"/>
      <c r="AU21" s="649"/>
      <c r="AV21" s="649"/>
      <c r="AW21" s="649"/>
      <c r="AX21" s="649"/>
      <c r="AY21" s="649"/>
      <c r="AZ21" s="649"/>
      <c r="BA21" s="649"/>
      <c r="BB21" s="649"/>
      <c r="BC21" s="649"/>
      <c r="BD21" s="649"/>
      <c r="BE21" s="649"/>
      <c r="BF21" s="649"/>
      <c r="BG21" s="649"/>
      <c r="BH21" s="649"/>
      <c r="BI21" s="649"/>
      <c r="BJ21" s="649"/>
      <c r="BK21" s="649"/>
      <c r="BL21" s="649"/>
      <c r="BM21" s="649"/>
      <c r="BN21" s="649"/>
      <c r="BO21" s="649"/>
      <c r="BP21" s="649"/>
      <c r="BQ21" s="649"/>
      <c r="BR21" s="649"/>
      <c r="BS21" s="649"/>
      <c r="BT21" s="649"/>
      <c r="BU21" s="649"/>
      <c r="BV21" s="649"/>
      <c r="BW21" s="649"/>
      <c r="BX21" s="649"/>
      <c r="BY21" s="649"/>
      <c r="BZ21" s="649"/>
      <c r="CA21" s="649"/>
      <c r="CB21" s="649"/>
      <c r="CC21" s="649"/>
      <c r="CD21" s="649"/>
      <c r="CE21" s="649"/>
      <c r="CF21" s="649"/>
    </row>
    <row r="22" spans="2:84" ht="20.100000000000001" customHeight="1" thickTop="1" thickBot="1" x14ac:dyDescent="0.25">
      <c r="B22" s="653" t="str">
        <f>PedBerMedIV!S16</f>
        <v/>
      </c>
      <c r="C22" s="653" t="str">
        <f>PedBerMedIV!T16</f>
        <v/>
      </c>
      <c r="D22" s="622">
        <v>14</v>
      </c>
      <c r="E22" s="608">
        <f>PedBerMedIV!B16</f>
        <v>1</v>
      </c>
      <c r="F22" s="609" t="str">
        <f>PedBerMedIV!V16</f>
        <v/>
      </c>
      <c r="G22" s="609" t="str">
        <f>PedBerMedIV!W16</f>
        <v/>
      </c>
      <c r="H22" s="610"/>
      <c r="I22" s="610" t="str">
        <f>PedBerMedIV!Y16</f>
        <v/>
      </c>
      <c r="J22" s="610" t="str">
        <f>PedBerMedIV!Z16</f>
        <v/>
      </c>
      <c r="K22" s="610" t="str">
        <f>PedBerMedIV!AA16</f>
        <v/>
      </c>
      <c r="L22" s="610" t="str">
        <f>PedBerMedIV!AB16</f>
        <v/>
      </c>
      <c r="M22" s="610" t="str">
        <f>PedBerMedIV!AC16</f>
        <v/>
      </c>
      <c r="N22" s="611"/>
      <c r="O22" s="644"/>
      <c r="P22" s="644"/>
      <c r="Q22" s="644"/>
      <c r="R22" s="644"/>
      <c r="S22" s="644"/>
      <c r="T22" s="644"/>
      <c r="U22" s="644"/>
      <c r="V22" s="644"/>
      <c r="W22" s="644"/>
      <c r="X22" s="644"/>
      <c r="Y22" s="644"/>
      <c r="Z22" s="644"/>
      <c r="AA22" s="644"/>
      <c r="AC22" s="649"/>
      <c r="AH22" s="649"/>
      <c r="AI22" s="649"/>
      <c r="AJ22" s="649"/>
      <c r="AK22" s="649"/>
      <c r="AL22" s="649"/>
      <c r="AM22" s="649"/>
      <c r="AN22" s="649"/>
      <c r="AO22" s="649"/>
      <c r="AP22" s="649"/>
      <c r="AQ22" s="649"/>
      <c r="AR22" s="649"/>
      <c r="AS22" s="649"/>
      <c r="AT22" s="649"/>
      <c r="AU22" s="649"/>
      <c r="AV22" s="649"/>
      <c r="AW22" s="649"/>
      <c r="AX22" s="649"/>
      <c r="AY22" s="649"/>
      <c r="AZ22" s="649"/>
      <c r="BA22" s="649"/>
      <c r="BB22" s="649"/>
      <c r="BC22" s="649"/>
      <c r="BD22" s="649"/>
      <c r="BE22" s="649"/>
      <c r="BF22" s="649"/>
      <c r="BG22" s="649"/>
      <c r="BH22" s="649"/>
      <c r="BI22" s="649"/>
      <c r="BJ22" s="649"/>
      <c r="BK22" s="649"/>
      <c r="BL22" s="649"/>
      <c r="BM22" s="649"/>
      <c r="BN22" s="649"/>
      <c r="BO22" s="649"/>
      <c r="BP22" s="649"/>
      <c r="BQ22" s="649"/>
      <c r="BR22" s="649"/>
      <c r="BS22" s="649"/>
      <c r="BT22" s="649"/>
      <c r="BU22" s="649"/>
      <c r="BV22" s="649"/>
      <c r="BW22" s="649"/>
      <c r="BX22" s="649"/>
      <c r="BY22" s="649"/>
      <c r="BZ22" s="649"/>
      <c r="CA22" s="649"/>
      <c r="CB22" s="649"/>
      <c r="CC22" s="649"/>
      <c r="CD22" s="649"/>
      <c r="CE22" s="649"/>
      <c r="CF22" s="649"/>
    </row>
    <row r="23" spans="2:84" ht="20.100000000000001" customHeight="1" thickTop="1" thickBot="1" x14ac:dyDescent="0.25">
      <c r="B23" s="653" t="str">
        <f>PedBerMedIV!S17</f>
        <v/>
      </c>
      <c r="C23" s="653" t="str">
        <f>PedBerMedIV!T17</f>
        <v/>
      </c>
      <c r="D23" s="622">
        <v>15</v>
      </c>
      <c r="E23" s="612">
        <f>PedBerMedIV!B17</f>
        <v>1</v>
      </c>
      <c r="F23" s="613" t="str">
        <f>PedBerMedIV!V17</f>
        <v/>
      </c>
      <c r="G23" s="613" t="str">
        <f>PedBerMedIV!W17</f>
        <v/>
      </c>
      <c r="H23" s="614"/>
      <c r="I23" s="614" t="str">
        <f>PedBerMedIV!Y17</f>
        <v/>
      </c>
      <c r="J23" s="614" t="str">
        <f>PedBerMedIV!Z17</f>
        <v/>
      </c>
      <c r="K23" s="614" t="str">
        <f>PedBerMedIV!AA17</f>
        <v/>
      </c>
      <c r="L23" s="614" t="str">
        <f>PedBerMedIV!AB17</f>
        <v/>
      </c>
      <c r="M23" s="614" t="str">
        <f>PedBerMedIV!AC17</f>
        <v/>
      </c>
      <c r="N23" s="615"/>
      <c r="O23" s="644"/>
      <c r="P23" s="644"/>
      <c r="Q23" s="644"/>
      <c r="R23" s="644"/>
      <c r="S23" s="644"/>
      <c r="T23" s="644"/>
      <c r="U23" s="644"/>
      <c r="V23" s="644"/>
      <c r="W23" s="644"/>
      <c r="X23" s="644"/>
      <c r="Y23" s="644"/>
      <c r="Z23" s="644"/>
      <c r="AA23" s="644"/>
      <c r="AC23" s="649"/>
      <c r="AH23" s="649"/>
      <c r="AI23" s="649"/>
      <c r="AJ23" s="649"/>
      <c r="AK23" s="649"/>
      <c r="AL23" s="649"/>
      <c r="AM23" s="649"/>
      <c r="AN23" s="649"/>
      <c r="AO23" s="649"/>
      <c r="AP23" s="649"/>
      <c r="AQ23" s="649"/>
      <c r="AR23" s="649"/>
      <c r="AS23" s="649"/>
      <c r="AT23" s="649"/>
      <c r="AU23" s="649"/>
      <c r="AV23" s="649"/>
      <c r="AW23" s="649"/>
      <c r="AX23" s="649"/>
      <c r="AY23" s="649"/>
      <c r="AZ23" s="649"/>
      <c r="BA23" s="649"/>
      <c r="BB23" s="649"/>
      <c r="BC23" s="649"/>
      <c r="BD23" s="649"/>
      <c r="BE23" s="649"/>
      <c r="BF23" s="649"/>
      <c r="BG23" s="649"/>
      <c r="BH23" s="649"/>
      <c r="BI23" s="649"/>
      <c r="BJ23" s="649"/>
      <c r="BK23" s="649"/>
      <c r="BL23" s="649"/>
      <c r="BM23" s="649"/>
      <c r="BN23" s="649"/>
      <c r="BO23" s="649"/>
      <c r="BP23" s="649"/>
      <c r="BQ23" s="649"/>
      <c r="BR23" s="649"/>
      <c r="BS23" s="649"/>
      <c r="BT23" s="649"/>
      <c r="BU23" s="649"/>
      <c r="BV23" s="649"/>
      <c r="BW23" s="649"/>
      <c r="BX23" s="649"/>
      <c r="BY23" s="649"/>
      <c r="BZ23" s="649"/>
      <c r="CA23" s="649"/>
      <c r="CB23" s="649"/>
      <c r="CC23" s="649"/>
      <c r="CD23" s="649"/>
      <c r="CE23" s="649"/>
      <c r="CF23" s="649"/>
    </row>
    <row r="24" spans="2:84" ht="20.100000000000001" customHeight="1" thickTop="1" x14ac:dyDescent="0.2">
      <c r="C24" s="644"/>
      <c r="D24" s="654"/>
      <c r="E24" s="655"/>
      <c r="F24" s="655"/>
      <c r="G24" s="640"/>
      <c r="H24" s="640"/>
      <c r="I24" s="640"/>
      <c r="J24" s="640"/>
      <c r="K24" s="640"/>
      <c r="L24" s="644"/>
      <c r="M24" s="656"/>
      <c r="N24" s="644"/>
      <c r="O24" s="644"/>
      <c r="P24" s="644"/>
      <c r="Q24" s="644"/>
      <c r="R24" s="644"/>
      <c r="S24" s="644"/>
      <c r="T24" s="644"/>
      <c r="U24" s="644"/>
      <c r="V24" s="644"/>
      <c r="W24" s="644"/>
      <c r="X24" s="644"/>
      <c r="Y24" s="644"/>
      <c r="Z24" s="644"/>
      <c r="AA24" s="644"/>
      <c r="AC24" s="649"/>
      <c r="AH24" s="649"/>
      <c r="AI24" s="649"/>
      <c r="AJ24" s="649"/>
      <c r="AK24" s="649"/>
      <c r="AL24" s="649"/>
      <c r="AM24" s="649"/>
      <c r="AN24" s="649"/>
      <c r="AO24" s="649"/>
      <c r="AP24" s="649"/>
      <c r="AQ24" s="649"/>
      <c r="AR24" s="649"/>
      <c r="AS24" s="649"/>
      <c r="AT24" s="649"/>
      <c r="AU24" s="649"/>
      <c r="AV24" s="649"/>
      <c r="AW24" s="649"/>
      <c r="AX24" s="649"/>
      <c r="AY24" s="649"/>
      <c r="AZ24" s="649"/>
      <c r="BA24" s="649"/>
      <c r="BB24" s="649"/>
      <c r="BC24" s="649"/>
      <c r="BD24" s="649"/>
      <c r="BE24" s="649"/>
      <c r="BF24" s="649"/>
      <c r="BG24" s="649"/>
      <c r="BH24" s="649"/>
      <c r="BI24" s="649"/>
      <c r="BJ24" s="649"/>
      <c r="BK24" s="649"/>
      <c r="BL24" s="649"/>
      <c r="BM24" s="649"/>
      <c r="BN24" s="649"/>
      <c r="BO24" s="649"/>
      <c r="BP24" s="649"/>
      <c r="BQ24" s="649"/>
      <c r="BR24" s="649"/>
      <c r="BS24" s="649"/>
      <c r="BT24" s="649"/>
      <c r="BU24" s="649"/>
      <c r="BV24" s="649"/>
      <c r="BW24" s="649"/>
      <c r="BX24" s="649"/>
      <c r="BY24" s="649"/>
      <c r="BZ24" s="649"/>
      <c r="CA24" s="649"/>
      <c r="CB24" s="649"/>
      <c r="CC24" s="649"/>
      <c r="CD24" s="649"/>
      <c r="CE24" s="649"/>
      <c r="CF24" s="649"/>
    </row>
    <row r="25" spans="2:84" ht="20.100000000000001" customHeight="1" thickBot="1" x14ac:dyDescent="0.25">
      <c r="B25" s="653" t="str">
        <f>PedBerMedIV!S18</f>
        <v/>
      </c>
      <c r="C25" s="644"/>
      <c r="D25" s="622">
        <v>16</v>
      </c>
      <c r="E25" s="616" t="str">
        <f>PedBerMedIV!U18</f>
        <v/>
      </c>
      <c r="F25" s="617">
        <f>PedBerMedIV!V18</f>
        <v>0</v>
      </c>
      <c r="G25" s="606" t="str">
        <f>PedBerMedIV!W18</f>
        <v/>
      </c>
      <c r="H25" s="606"/>
      <c r="I25" s="606" t="str">
        <f>PedBerMedIV!Y18</f>
        <v/>
      </c>
      <c r="J25" s="606" t="str">
        <f>PedBerMedIV!Z18</f>
        <v/>
      </c>
      <c r="K25" s="606"/>
      <c r="L25" s="606" t="str">
        <f>IF(PedBerMedIV!K18&lt;&gt;0,PedBerMedIV!K18&amp;" ml","")</f>
        <v/>
      </c>
      <c r="M25" s="606"/>
      <c r="N25" s="607"/>
      <c r="O25" s="644"/>
      <c r="P25" s="644"/>
      <c r="Q25" s="644"/>
      <c r="R25" s="644"/>
      <c r="S25" s="644"/>
      <c r="T25" s="644"/>
      <c r="U25" s="644"/>
      <c r="V25" s="644"/>
      <c r="W25" s="644"/>
      <c r="X25" s="644"/>
      <c r="Y25" s="644"/>
      <c r="Z25" s="644"/>
      <c r="AA25" s="644"/>
      <c r="AC25" s="649"/>
      <c r="AD25" s="649"/>
      <c r="AE25" s="649"/>
      <c r="AF25" s="649"/>
      <c r="AG25" s="649"/>
      <c r="AH25" s="649"/>
      <c r="AI25" s="649"/>
      <c r="AJ25" s="649"/>
      <c r="AK25" s="649"/>
      <c r="AL25" s="649"/>
      <c r="AM25" s="649"/>
      <c r="AN25" s="649"/>
      <c r="AO25" s="649"/>
      <c r="AP25" s="649"/>
      <c r="AQ25" s="649"/>
      <c r="AR25" s="649"/>
      <c r="AS25" s="649"/>
      <c r="AT25" s="649"/>
      <c r="AU25" s="649"/>
      <c r="AV25" s="649"/>
      <c r="AW25" s="649"/>
      <c r="AX25" s="649"/>
      <c r="AY25" s="649"/>
      <c r="AZ25" s="649"/>
      <c r="BA25" s="649"/>
      <c r="BB25" s="649"/>
      <c r="BC25" s="649"/>
      <c r="BD25" s="649"/>
      <c r="BE25" s="649"/>
      <c r="BF25" s="649"/>
      <c r="BG25" s="649"/>
      <c r="BH25" s="649"/>
      <c r="BI25" s="649"/>
      <c r="BJ25" s="649"/>
      <c r="BK25" s="649"/>
      <c r="BL25" s="649"/>
      <c r="BM25" s="649"/>
      <c r="BN25" s="649"/>
      <c r="BO25" s="649"/>
      <c r="BP25" s="649"/>
      <c r="BQ25" s="649"/>
      <c r="BR25" s="649"/>
      <c r="BS25" s="649"/>
      <c r="BT25" s="649"/>
      <c r="BU25" s="649"/>
      <c r="BV25" s="649"/>
      <c r="BW25" s="649"/>
      <c r="BX25" s="649"/>
      <c r="BY25" s="649"/>
      <c r="BZ25" s="649"/>
      <c r="CA25" s="649"/>
      <c r="CB25" s="649"/>
      <c r="CC25" s="649"/>
      <c r="CD25" s="649"/>
      <c r="CE25" s="649"/>
      <c r="CF25" s="649"/>
    </row>
    <row r="26" spans="2:84" ht="20.100000000000001" customHeight="1" thickTop="1" thickBot="1" x14ac:dyDescent="0.25">
      <c r="B26" s="653" t="str">
        <f>PedBerMedIV!S18</f>
        <v/>
      </c>
      <c r="C26" s="644"/>
      <c r="D26" s="622">
        <v>17</v>
      </c>
      <c r="E26" s="618" t="str">
        <f>PedBerMedIV!U19</f>
        <v/>
      </c>
      <c r="F26" s="619">
        <f>PedBerMedIV!V19</f>
        <v>0</v>
      </c>
      <c r="G26" s="610" t="str">
        <f>PedBerMedIV!W19</f>
        <v/>
      </c>
      <c r="H26" s="610"/>
      <c r="I26" s="610" t="str">
        <f>PedBerMedIV!Y19</f>
        <v/>
      </c>
      <c r="J26" s="610" t="str">
        <f>PedBerMedIV!Z19</f>
        <v/>
      </c>
      <c r="K26" s="610"/>
      <c r="L26" s="610" t="str">
        <f>IF(PedBerMedIV!K19&lt;&gt;0,PedBerMedIV!K19&amp;" ml","")</f>
        <v/>
      </c>
      <c r="M26" s="610"/>
      <c r="N26" s="611"/>
      <c r="O26" s="644"/>
      <c r="P26" s="644"/>
      <c r="Q26" s="644"/>
      <c r="R26" s="644"/>
      <c r="S26" s="644"/>
      <c r="T26" s="644"/>
      <c r="U26" s="644"/>
      <c r="V26" s="644"/>
      <c r="W26" s="644"/>
      <c r="X26" s="644"/>
      <c r="Y26" s="644"/>
      <c r="Z26" s="644"/>
      <c r="AA26" s="644"/>
      <c r="AC26" s="649"/>
      <c r="AD26" s="649"/>
      <c r="AE26" s="649"/>
      <c r="AF26" s="649"/>
      <c r="AG26" s="649"/>
      <c r="AH26" s="649"/>
      <c r="AI26" s="649"/>
      <c r="AJ26" s="649"/>
      <c r="AK26" s="649"/>
      <c r="AL26" s="649"/>
      <c r="AM26" s="649"/>
      <c r="AN26" s="649"/>
      <c r="AO26" s="649"/>
      <c r="AP26" s="649"/>
      <c r="AQ26" s="649"/>
      <c r="AR26" s="649"/>
      <c r="AS26" s="649"/>
      <c r="AT26" s="649"/>
      <c r="AU26" s="649"/>
      <c r="AV26" s="649"/>
      <c r="AW26" s="649"/>
      <c r="AX26" s="649"/>
      <c r="AY26" s="649"/>
      <c r="AZ26" s="649"/>
      <c r="BA26" s="649"/>
      <c r="BB26" s="649"/>
      <c r="BC26" s="649"/>
      <c r="BD26" s="649"/>
      <c r="BE26" s="649"/>
      <c r="BF26" s="649"/>
      <c r="BG26" s="649"/>
      <c r="BH26" s="649"/>
      <c r="BI26" s="649"/>
      <c r="BJ26" s="649"/>
      <c r="BK26" s="649"/>
      <c r="BL26" s="649"/>
      <c r="BM26" s="649"/>
      <c r="BN26" s="649"/>
      <c r="BO26" s="649"/>
      <c r="BP26" s="649"/>
      <c r="BQ26" s="649"/>
      <c r="BR26" s="649"/>
      <c r="BS26" s="649"/>
      <c r="BT26" s="649"/>
      <c r="BU26" s="649"/>
      <c r="BV26" s="649"/>
      <c r="BW26" s="649"/>
      <c r="BX26" s="649"/>
      <c r="BY26" s="649"/>
      <c r="BZ26" s="649"/>
      <c r="CA26" s="649"/>
      <c r="CB26" s="649"/>
      <c r="CC26" s="649"/>
      <c r="CD26" s="649"/>
      <c r="CE26" s="649"/>
      <c r="CF26" s="649"/>
    </row>
    <row r="27" spans="2:84" ht="20.100000000000001" customHeight="1" thickTop="1" thickBot="1" x14ac:dyDescent="0.25">
      <c r="B27" s="653" t="str">
        <f>PedBerMedIV!S19</f>
        <v/>
      </c>
      <c r="C27" s="644"/>
      <c r="D27" s="622">
        <v>18</v>
      </c>
      <c r="E27" s="618" t="str">
        <f>PedBerMedIV!U20</f>
        <v/>
      </c>
      <c r="F27" s="619">
        <f>PedBerMedIV!V20</f>
        <v>0</v>
      </c>
      <c r="G27" s="610" t="str">
        <f>PedBerMedIV!W20</f>
        <v/>
      </c>
      <c r="H27" s="610"/>
      <c r="I27" s="610" t="str">
        <f>PedBerMedIV!Y20</f>
        <v/>
      </c>
      <c r="J27" s="610" t="str">
        <f>PedBerMedIV!Z20</f>
        <v/>
      </c>
      <c r="K27" s="610"/>
      <c r="L27" s="610" t="str">
        <f>IF(PedBerMedIV!K20&lt;&gt;0,PedBerMedIV!K20&amp;" ml","")</f>
        <v/>
      </c>
      <c r="M27" s="610"/>
      <c r="N27" s="611"/>
      <c r="O27" s="644"/>
      <c r="P27" s="644"/>
      <c r="Q27" s="644"/>
      <c r="R27" s="644"/>
      <c r="S27" s="644"/>
      <c r="T27" s="644"/>
      <c r="U27" s="644"/>
      <c r="V27" s="644"/>
      <c r="W27" s="644"/>
      <c r="X27" s="644"/>
      <c r="Y27" s="644"/>
      <c r="Z27" s="644"/>
      <c r="AA27" s="644"/>
      <c r="AC27" s="649"/>
      <c r="AD27" s="649"/>
      <c r="AE27" s="649"/>
      <c r="AF27" s="649"/>
      <c r="AG27" s="649"/>
      <c r="AH27" s="649"/>
      <c r="AI27" s="649"/>
      <c r="AJ27" s="649"/>
      <c r="AK27" s="649"/>
      <c r="AL27" s="649"/>
      <c r="AM27" s="649"/>
      <c r="AN27" s="649"/>
      <c r="AO27" s="649"/>
      <c r="AP27" s="649"/>
      <c r="AQ27" s="649"/>
      <c r="AR27" s="649"/>
      <c r="AS27" s="649"/>
      <c r="AT27" s="649"/>
      <c r="AU27" s="649"/>
      <c r="AV27" s="649"/>
      <c r="AW27" s="649"/>
      <c r="AX27" s="649"/>
      <c r="AY27" s="649"/>
      <c r="AZ27" s="649"/>
      <c r="BA27" s="649"/>
      <c r="BB27" s="649"/>
      <c r="BC27" s="649"/>
      <c r="BD27" s="649"/>
      <c r="BE27" s="649"/>
      <c r="BF27" s="649"/>
      <c r="BG27" s="649"/>
      <c r="BH27" s="649"/>
      <c r="BI27" s="649"/>
      <c r="BJ27" s="649"/>
      <c r="BK27" s="649"/>
      <c r="BL27" s="649"/>
      <c r="BM27" s="649"/>
      <c r="BN27" s="649"/>
      <c r="BO27" s="649"/>
      <c r="BP27" s="649"/>
      <c r="BQ27" s="649"/>
      <c r="BR27" s="649"/>
      <c r="BS27" s="649"/>
      <c r="BT27" s="649"/>
      <c r="BU27" s="649"/>
      <c r="BV27" s="649"/>
      <c r="BW27" s="649"/>
      <c r="BX27" s="649"/>
      <c r="BY27" s="649"/>
      <c r="BZ27" s="649"/>
      <c r="CA27" s="649"/>
      <c r="CB27" s="649"/>
      <c r="CC27" s="649"/>
      <c r="CD27" s="649"/>
      <c r="CE27" s="649"/>
      <c r="CF27" s="649"/>
    </row>
    <row r="28" spans="2:84" ht="20.100000000000001" customHeight="1" thickTop="1" thickBot="1" x14ac:dyDescent="0.25">
      <c r="B28" s="653" t="str">
        <f>PedBerMedIV!S20</f>
        <v/>
      </c>
      <c r="C28" s="644"/>
      <c r="D28" s="622">
        <v>19</v>
      </c>
      <c r="E28" s="618" t="str">
        <f>PedBerMedIV!U21</f>
        <v/>
      </c>
      <c r="F28" s="619">
        <f>PedBerMedIV!V21</f>
        <v>0</v>
      </c>
      <c r="G28" s="610" t="str">
        <f>PedBerMedIV!W21</f>
        <v/>
      </c>
      <c r="H28" s="610"/>
      <c r="I28" s="610" t="str">
        <f>PedBerMedIV!Y21</f>
        <v/>
      </c>
      <c r="J28" s="610" t="str">
        <f>PedBerMedIV!Z21</f>
        <v/>
      </c>
      <c r="K28" s="610"/>
      <c r="L28" s="610" t="str">
        <f>IF(PedBerMedIV!K21&lt;&gt;0,PedBerMedIV!K21&amp;" ml","")</f>
        <v/>
      </c>
      <c r="M28" s="610"/>
      <c r="N28" s="611"/>
      <c r="O28" s="644"/>
      <c r="P28" s="644"/>
      <c r="Q28" s="644"/>
      <c r="R28" s="644"/>
      <c r="S28" s="644"/>
      <c r="T28" s="644"/>
      <c r="U28" s="644"/>
      <c r="V28" s="644"/>
      <c r="W28" s="644"/>
      <c r="X28" s="644"/>
      <c r="Y28" s="644"/>
      <c r="Z28" s="644"/>
      <c r="AA28" s="644"/>
      <c r="AC28" s="649"/>
      <c r="AD28" s="649"/>
      <c r="AE28" s="649"/>
      <c r="AF28" s="649"/>
      <c r="AG28" s="649"/>
      <c r="AH28" s="649"/>
      <c r="AI28" s="649"/>
      <c r="AJ28" s="649"/>
      <c r="AK28" s="649"/>
      <c r="AL28" s="649"/>
      <c r="AM28" s="649"/>
      <c r="AN28" s="649"/>
      <c r="AO28" s="649"/>
      <c r="AP28" s="649"/>
      <c r="AQ28" s="649"/>
      <c r="AR28" s="649"/>
      <c r="AS28" s="649"/>
      <c r="AT28" s="649"/>
      <c r="AU28" s="649"/>
      <c r="AV28" s="649"/>
      <c r="AW28" s="649"/>
      <c r="AX28" s="649"/>
      <c r="AY28" s="649"/>
      <c r="AZ28" s="649"/>
      <c r="BA28" s="649"/>
      <c r="BB28" s="649"/>
      <c r="BC28" s="649"/>
      <c r="BD28" s="649"/>
      <c r="BE28" s="649"/>
      <c r="BF28" s="649"/>
      <c r="BG28" s="649"/>
      <c r="BH28" s="649"/>
      <c r="BI28" s="649"/>
      <c r="BJ28" s="649"/>
      <c r="BK28" s="649"/>
      <c r="BL28" s="649"/>
      <c r="BM28" s="649"/>
      <c r="BN28" s="649"/>
      <c r="BO28" s="649"/>
      <c r="BP28" s="649"/>
      <c r="BQ28" s="649"/>
      <c r="BR28" s="649"/>
      <c r="BS28" s="649"/>
      <c r="BT28" s="649"/>
      <c r="BU28" s="649"/>
      <c r="BV28" s="649"/>
      <c r="BW28" s="649"/>
      <c r="BX28" s="649"/>
      <c r="BY28" s="649"/>
      <c r="BZ28" s="649"/>
      <c r="CA28" s="649"/>
      <c r="CB28" s="649"/>
      <c r="CC28" s="649"/>
      <c r="CD28" s="649"/>
      <c r="CE28" s="649"/>
      <c r="CF28" s="649"/>
    </row>
    <row r="29" spans="2:84" ht="20.100000000000001" customHeight="1" thickTop="1" thickBot="1" x14ac:dyDescent="0.25">
      <c r="B29" s="653" t="str">
        <f>PedBerMedIV!S21</f>
        <v/>
      </c>
      <c r="C29" s="644"/>
      <c r="D29" s="622">
        <v>20</v>
      </c>
      <c r="E29" s="620" t="str">
        <f>PedBerMedIV!U22</f>
        <v/>
      </c>
      <c r="F29" s="621">
        <f>PedBerMedIV!V22</f>
        <v>0</v>
      </c>
      <c r="G29" s="614" t="str">
        <f>PedBerMedIV!W22</f>
        <v/>
      </c>
      <c r="H29" s="614"/>
      <c r="I29" s="614" t="str">
        <f>PedBerMedIV!Y22</f>
        <v/>
      </c>
      <c r="J29" s="614" t="str">
        <f>PedBerMedIV!Z22</f>
        <v/>
      </c>
      <c r="K29" s="614"/>
      <c r="L29" s="614" t="str">
        <f>IF(PedBerMedIV!K22&lt;&gt;0,PedBerMedIV!K22&amp;" ml","")</f>
        <v/>
      </c>
      <c r="M29" s="614"/>
      <c r="N29" s="615"/>
      <c r="O29" s="644"/>
      <c r="P29" s="644"/>
      <c r="Q29" s="644"/>
      <c r="R29" s="644"/>
      <c r="S29" s="644"/>
      <c r="T29" s="644"/>
      <c r="U29" s="644"/>
      <c r="V29" s="644"/>
      <c r="W29" s="644"/>
      <c r="X29" s="644"/>
      <c r="Y29" s="644"/>
      <c r="Z29" s="644"/>
      <c r="AA29" s="644"/>
      <c r="AC29" s="649"/>
      <c r="AD29" s="649"/>
      <c r="AE29" s="649"/>
      <c r="AF29" s="649"/>
      <c r="AG29" s="649"/>
      <c r="AH29" s="649"/>
      <c r="AI29" s="649"/>
      <c r="AJ29" s="649"/>
      <c r="AK29" s="649"/>
      <c r="AL29" s="649"/>
      <c r="AM29" s="649"/>
      <c r="AN29" s="649"/>
      <c r="AO29" s="649"/>
      <c r="AP29" s="649"/>
      <c r="AQ29" s="649"/>
      <c r="AR29" s="649"/>
      <c r="AS29" s="649"/>
      <c r="AT29" s="649"/>
      <c r="AU29" s="649"/>
      <c r="AV29" s="649"/>
      <c r="AW29" s="649"/>
      <c r="AX29" s="649"/>
      <c r="AY29" s="649"/>
      <c r="AZ29" s="649"/>
      <c r="BA29" s="649"/>
      <c r="BB29" s="649"/>
      <c r="BC29" s="649"/>
      <c r="BD29" s="649"/>
      <c r="BE29" s="649"/>
      <c r="BF29" s="649"/>
      <c r="BG29" s="649"/>
      <c r="BH29" s="649"/>
      <c r="BI29" s="649"/>
      <c r="BJ29" s="649"/>
      <c r="BK29" s="649"/>
      <c r="BL29" s="649"/>
      <c r="BM29" s="649"/>
      <c r="BN29" s="649"/>
      <c r="BO29" s="649"/>
      <c r="BP29" s="649"/>
      <c r="BQ29" s="649"/>
      <c r="BR29" s="649"/>
      <c r="BS29" s="649"/>
      <c r="BT29" s="649"/>
      <c r="BU29" s="649"/>
      <c r="BV29" s="649"/>
      <c r="BW29" s="649"/>
      <c r="BX29" s="649"/>
      <c r="BY29" s="649"/>
      <c r="BZ29" s="649"/>
      <c r="CA29" s="649"/>
      <c r="CB29" s="649"/>
      <c r="CC29" s="649"/>
      <c r="CD29" s="649"/>
      <c r="CE29" s="649"/>
      <c r="CF29" s="649"/>
    </row>
    <row r="30" spans="2:84" ht="13.5" thickTop="1" x14ac:dyDescent="0.2">
      <c r="C30" s="652"/>
      <c r="D30" s="652"/>
      <c r="E30" s="652"/>
      <c r="F30" s="652"/>
      <c r="G30" s="652"/>
      <c r="H30" s="652"/>
      <c r="I30" s="652"/>
      <c r="J30" s="652"/>
      <c r="K30" s="652"/>
      <c r="L30" s="652"/>
      <c r="M30" s="652"/>
      <c r="N30" s="652"/>
      <c r="O30" s="644"/>
      <c r="P30" s="652"/>
      <c r="Q30" s="652"/>
      <c r="R30" s="652"/>
      <c r="S30" s="652"/>
      <c r="T30" s="652"/>
      <c r="U30" s="652"/>
      <c r="V30" s="652"/>
      <c r="W30" s="652"/>
      <c r="X30" s="652"/>
      <c r="Y30" s="652"/>
      <c r="Z30" s="652"/>
      <c r="AA30" s="652"/>
      <c r="AC30" s="649"/>
      <c r="AD30" s="649"/>
      <c r="AE30" s="649"/>
      <c r="AF30" s="649"/>
      <c r="AG30" s="649"/>
      <c r="AH30" s="649"/>
      <c r="AI30" s="649"/>
      <c r="AJ30" s="649"/>
      <c r="AK30" s="649"/>
      <c r="AL30" s="649"/>
      <c r="AM30" s="649"/>
      <c r="AN30" s="649"/>
      <c r="AO30" s="649"/>
      <c r="AP30" s="649"/>
      <c r="AQ30" s="649"/>
      <c r="AR30" s="649"/>
      <c r="AS30" s="649"/>
      <c r="AT30" s="649"/>
      <c r="AU30" s="649"/>
      <c r="AV30" s="649"/>
      <c r="AW30" s="649"/>
      <c r="AX30" s="649"/>
      <c r="AY30" s="649"/>
      <c r="AZ30" s="649"/>
      <c r="BA30" s="649"/>
      <c r="BB30" s="649"/>
      <c r="BC30" s="649"/>
      <c r="BD30" s="649"/>
      <c r="BE30" s="649"/>
      <c r="BF30" s="649"/>
      <c r="BG30" s="649"/>
      <c r="BH30" s="649"/>
      <c r="BI30" s="649"/>
      <c r="BJ30" s="649"/>
      <c r="BK30" s="649"/>
      <c r="BL30" s="649"/>
      <c r="BM30" s="649"/>
      <c r="BN30" s="649"/>
      <c r="BO30" s="649"/>
      <c r="BP30" s="649"/>
      <c r="BQ30" s="649"/>
      <c r="BR30" s="649"/>
      <c r="BS30" s="649"/>
      <c r="BT30" s="649"/>
      <c r="BU30" s="649"/>
      <c r="BV30" s="649"/>
      <c r="BW30" s="649"/>
      <c r="BX30" s="649"/>
      <c r="BY30" s="649"/>
      <c r="BZ30" s="649"/>
      <c r="CA30" s="649"/>
      <c r="CB30" s="649"/>
      <c r="CC30" s="649"/>
      <c r="CD30" s="649"/>
      <c r="CE30" s="649"/>
      <c r="CF30" s="649"/>
    </row>
    <row r="31" spans="2:84" x14ac:dyDescent="0.2">
      <c r="C31" s="652"/>
      <c r="D31" s="636"/>
      <c r="E31" s="637" t="str">
        <f>PedGuiEntTPN!C41</f>
        <v>Vocht</v>
      </c>
      <c r="F31" s="637" t="str">
        <f>PedGuiEntTPN!E41</f>
        <v>0 ml/kg</v>
      </c>
      <c r="G31" s="637" t="str">
        <f ca="1">PedGuiEntTPN!F41</f>
        <v>150 ml/kg</v>
      </c>
      <c r="H31" s="637"/>
      <c r="I31" s="637" t="str">
        <f>PedGuiEntTPN!I41</f>
        <v>Eiwit</v>
      </c>
      <c r="J31" s="637" t="str">
        <f>PedGuiEntTPN!J41</f>
        <v>0  gram/kg</v>
      </c>
      <c r="K31" s="637" t="str">
        <f>PedGuiEntTPN!K41</f>
        <v>2-2,5 g/kg</v>
      </c>
      <c r="L31" s="637"/>
      <c r="M31" s="636"/>
      <c r="N31" s="636"/>
      <c r="O31" s="657"/>
      <c r="P31" s="657"/>
      <c r="Q31" s="652"/>
      <c r="R31" s="652"/>
      <c r="S31" s="652"/>
      <c r="T31" s="652"/>
      <c r="U31" s="652"/>
      <c r="V31" s="652"/>
      <c r="W31" s="652"/>
      <c r="X31" s="652"/>
      <c r="Y31" s="652"/>
      <c r="Z31" s="652"/>
      <c r="AA31" s="649"/>
      <c r="AB31" s="649"/>
      <c r="AC31" s="649"/>
      <c r="AD31" s="649"/>
      <c r="AE31" s="649"/>
      <c r="AF31" s="649"/>
      <c r="AG31" s="649"/>
      <c r="AH31" s="649"/>
      <c r="AI31" s="649"/>
      <c r="AJ31" s="649"/>
      <c r="AK31" s="649"/>
      <c r="AL31" s="649"/>
      <c r="AM31" s="649"/>
      <c r="AN31" s="649"/>
      <c r="AO31" s="649"/>
      <c r="AP31" s="649"/>
      <c r="AQ31" s="649"/>
      <c r="AR31" s="649"/>
      <c r="AS31" s="649"/>
      <c r="AT31" s="649"/>
      <c r="AU31" s="649"/>
      <c r="AV31" s="649"/>
      <c r="AW31" s="649"/>
      <c r="AX31" s="649"/>
      <c r="AY31" s="649"/>
      <c r="AZ31" s="649"/>
      <c r="BA31" s="649"/>
      <c r="BB31" s="649"/>
      <c r="BC31" s="649"/>
      <c r="BD31" s="649"/>
      <c r="BE31" s="649"/>
      <c r="BF31" s="649"/>
      <c r="BG31" s="649"/>
      <c r="BH31" s="649"/>
      <c r="BI31" s="649"/>
      <c r="BJ31" s="649"/>
      <c r="BK31" s="649"/>
      <c r="BL31" s="649"/>
      <c r="BM31" s="649"/>
      <c r="BN31" s="649"/>
      <c r="BO31" s="649"/>
      <c r="BP31" s="649"/>
      <c r="BQ31" s="649"/>
      <c r="BR31" s="649"/>
      <c r="BS31" s="649"/>
      <c r="BT31" s="649"/>
      <c r="BU31" s="649"/>
      <c r="BV31" s="649"/>
      <c r="BW31" s="649"/>
      <c r="BX31" s="649"/>
      <c r="BY31" s="649"/>
      <c r="BZ31" s="649"/>
      <c r="CA31" s="649"/>
      <c r="CB31" s="649"/>
      <c r="CC31" s="649"/>
      <c r="CD31" s="649"/>
      <c r="CE31" s="649"/>
    </row>
    <row r="32" spans="2:84" x14ac:dyDescent="0.2">
      <c r="C32" s="652"/>
      <c r="D32" s="636"/>
      <c r="E32" s="637" t="str">
        <f>PedGuiEntTPN!C42</f>
        <v>Calorieen</v>
      </c>
      <c r="F32" s="637" t="str">
        <f>PedGuiEntTPN!E42</f>
        <v>0 kCal/kg</v>
      </c>
      <c r="G32" s="637" t="str">
        <f ca="1">PedGuiEntTPN!F42</f>
        <v>0 kCal/kg</v>
      </c>
      <c r="H32" s="637"/>
      <c r="I32" s="637" t="str">
        <f>PedGuiEntTPN!I42</f>
        <v>Vet</v>
      </c>
      <c r="J32" s="637" t="str">
        <f>PedGuiEntTPN!J42</f>
        <v>0 gram/kg</v>
      </c>
      <c r="K32" s="637" t="str">
        <f>PedGuiEntTPN!K42</f>
        <v>4 g/kg</v>
      </c>
      <c r="L32" s="637"/>
      <c r="M32" s="637"/>
      <c r="N32" s="637"/>
      <c r="O32" s="658"/>
      <c r="P32" s="658"/>
      <c r="Q32" s="644"/>
      <c r="R32" s="644"/>
      <c r="S32" s="644"/>
      <c r="T32" s="644"/>
      <c r="U32" s="644"/>
      <c r="V32" s="644"/>
      <c r="W32" s="644"/>
      <c r="X32" s="644"/>
      <c r="Y32" s="644"/>
      <c r="Z32" s="644"/>
      <c r="AA32" s="649"/>
      <c r="AB32" s="649"/>
      <c r="AC32" s="649"/>
      <c r="AD32" s="649"/>
      <c r="AE32" s="649"/>
      <c r="AF32" s="649"/>
      <c r="AG32" s="649"/>
      <c r="AH32" s="649"/>
      <c r="AI32" s="649"/>
      <c r="AJ32" s="649"/>
      <c r="AK32" s="649"/>
      <c r="AL32" s="649"/>
      <c r="AM32" s="649"/>
      <c r="AN32" s="649"/>
      <c r="AO32" s="649"/>
      <c r="AP32" s="649"/>
      <c r="AQ32" s="649"/>
      <c r="AR32" s="649"/>
      <c r="AS32" s="649"/>
      <c r="AT32" s="649"/>
      <c r="AU32" s="649"/>
      <c r="AV32" s="649"/>
      <c r="AW32" s="649"/>
      <c r="AX32" s="649"/>
      <c r="AY32" s="649"/>
      <c r="AZ32" s="649"/>
      <c r="BA32" s="649"/>
      <c r="BB32" s="649"/>
      <c r="BC32" s="649"/>
      <c r="BD32" s="649"/>
      <c r="BE32" s="649"/>
      <c r="BF32" s="649"/>
      <c r="BG32" s="649"/>
      <c r="BH32" s="649"/>
      <c r="BI32" s="649"/>
      <c r="BJ32" s="649"/>
      <c r="BK32" s="649"/>
      <c r="BL32" s="649"/>
      <c r="BM32" s="649"/>
      <c r="BN32" s="649"/>
      <c r="BO32" s="649"/>
      <c r="BP32" s="649"/>
      <c r="BQ32" s="649"/>
      <c r="BR32" s="649"/>
      <c r="BS32" s="649"/>
      <c r="BT32" s="649"/>
      <c r="BU32" s="649"/>
      <c r="BV32" s="649"/>
      <c r="BW32" s="649"/>
      <c r="BX32" s="649"/>
      <c r="BY32" s="649"/>
      <c r="BZ32" s="649"/>
      <c r="CA32" s="649"/>
      <c r="CB32" s="649"/>
      <c r="CC32" s="649"/>
      <c r="CD32" s="649"/>
      <c r="CE32" s="649"/>
    </row>
    <row r="33" spans="3:84" x14ac:dyDescent="0.2">
      <c r="C33" s="652"/>
      <c r="D33" s="636"/>
      <c r="E33" s="637" t="str">
        <f>PedGuiEntTPN!C43</f>
        <v>Glucose/KH</v>
      </c>
      <c r="F33" s="637" t="str">
        <f>PedGuiEntTPN!E43</f>
        <v>0 g/kg</v>
      </c>
      <c r="G33" s="637" t="str">
        <f>PedGuiEntTPN!F43</f>
        <v>3,6 g/kg</v>
      </c>
      <c r="H33" s="637"/>
      <c r="I33" s="637" t="str">
        <f>PedGuiEntTPN!I43</f>
        <v>Calcium</v>
      </c>
      <c r="J33" s="637" t="str">
        <f>PedGuiEntTPN!J43</f>
        <v>0 mmol/kg</v>
      </c>
      <c r="K33" s="637" t="str">
        <f>PedGuiEntTPN!K43</f>
        <v>0,2-0,8 mmol/kg (3-10 kg:0,8; 10-20 kg:0,5; &gt; 20 kg:0,2 mmol/kg)</v>
      </c>
      <c r="L33" s="637"/>
      <c r="M33" s="637"/>
      <c r="N33" s="637"/>
      <c r="O33" s="658"/>
      <c r="P33" s="658"/>
      <c r="Q33" s="644"/>
      <c r="R33" s="644"/>
      <c r="S33" s="644"/>
      <c r="T33" s="644"/>
      <c r="U33" s="644"/>
      <c r="V33" s="644"/>
      <c r="W33" s="644"/>
      <c r="X33" s="644"/>
      <c r="Y33" s="644"/>
      <c r="Z33" s="644"/>
      <c r="AA33" s="649"/>
      <c r="AB33" s="649"/>
      <c r="AC33" s="649"/>
      <c r="AD33" s="649"/>
      <c r="AE33" s="649"/>
      <c r="AF33" s="649"/>
      <c r="AG33" s="649"/>
      <c r="AH33" s="649"/>
      <c r="AI33" s="649"/>
      <c r="AJ33" s="649"/>
      <c r="AK33" s="649"/>
      <c r="AL33" s="649"/>
      <c r="AM33" s="649"/>
      <c r="AN33" s="649"/>
      <c r="AO33" s="649"/>
      <c r="AP33" s="649"/>
      <c r="AQ33" s="649"/>
      <c r="AR33" s="649"/>
      <c r="AS33" s="649"/>
      <c r="AT33" s="649"/>
      <c r="AU33" s="649"/>
      <c r="AV33" s="649"/>
      <c r="AW33" s="649"/>
      <c r="AX33" s="649"/>
      <c r="AY33" s="649"/>
      <c r="AZ33" s="649"/>
      <c r="BA33" s="649"/>
      <c r="BB33" s="649"/>
      <c r="BC33" s="649"/>
      <c r="BD33" s="649"/>
      <c r="BE33" s="649"/>
      <c r="BF33" s="649"/>
      <c r="BG33" s="649"/>
      <c r="BH33" s="649"/>
      <c r="BI33" s="649"/>
      <c r="BJ33" s="649"/>
      <c r="BK33" s="649"/>
      <c r="BL33" s="649"/>
      <c r="BM33" s="649"/>
      <c r="BN33" s="649"/>
      <c r="BO33" s="649"/>
      <c r="BP33" s="649"/>
      <c r="BQ33" s="649"/>
      <c r="BR33" s="649"/>
      <c r="BS33" s="649"/>
      <c r="BT33" s="649"/>
      <c r="BU33" s="649"/>
      <c r="BV33" s="649"/>
      <c r="BW33" s="649"/>
      <c r="BX33" s="649"/>
      <c r="BY33" s="649"/>
      <c r="BZ33" s="649"/>
      <c r="CA33" s="649"/>
      <c r="CB33" s="649"/>
      <c r="CC33" s="649"/>
      <c r="CD33" s="649"/>
      <c r="CE33" s="649"/>
    </row>
    <row r="34" spans="3:84" x14ac:dyDescent="0.2">
      <c r="C34" s="652"/>
      <c r="D34" s="636"/>
      <c r="E34" s="637" t="str">
        <f>PedGuiEntTPN!C44</f>
        <v xml:space="preserve">Natrium </v>
      </c>
      <c r="F34" s="637" t="str">
        <f>PedGuiEntTPN!E44</f>
        <v>0 mmol/kg</v>
      </c>
      <c r="G34" s="637" t="str">
        <f>PedGuiEntTPN!F44</f>
        <v>2-4 mmol/kg</v>
      </c>
      <c r="H34" s="637"/>
      <c r="I34" s="637" t="str">
        <f>PedGuiEntTPN!I44</f>
        <v>Magnesium</v>
      </c>
      <c r="J34" s="637" t="str">
        <f>PedGuiEntTPN!J44</f>
        <v>0 mmol/kg</v>
      </c>
      <c r="K34" s="637" t="str">
        <f>PedGuiEntTPN!K44</f>
        <v>0,1-0,3 mmol/kg</v>
      </c>
      <c r="L34" s="637"/>
      <c r="M34" s="637"/>
      <c r="N34" s="637"/>
      <c r="O34" s="658"/>
      <c r="P34" s="658"/>
      <c r="Q34" s="644"/>
      <c r="R34" s="644"/>
      <c r="S34" s="644"/>
      <c r="T34" s="644"/>
      <c r="U34" s="644"/>
      <c r="V34" s="644"/>
      <c r="W34" s="644"/>
      <c r="X34" s="644"/>
      <c r="Y34" s="644"/>
      <c r="Z34" s="644"/>
      <c r="AA34" s="649"/>
      <c r="AB34" s="649"/>
      <c r="AC34" s="649"/>
      <c r="AD34" s="649"/>
      <c r="AE34" s="649"/>
      <c r="AF34" s="649"/>
      <c r="AG34" s="649"/>
      <c r="AH34" s="649"/>
      <c r="AI34" s="649"/>
      <c r="AJ34" s="649"/>
      <c r="AK34" s="649"/>
      <c r="AL34" s="649"/>
      <c r="AM34" s="649"/>
      <c r="AN34" s="649"/>
      <c r="AO34" s="649"/>
      <c r="AP34" s="649"/>
      <c r="AQ34" s="649"/>
      <c r="AR34" s="649"/>
      <c r="AS34" s="649"/>
      <c r="AT34" s="649"/>
      <c r="AU34" s="649"/>
      <c r="AV34" s="649"/>
      <c r="AW34" s="649"/>
      <c r="AX34" s="649"/>
      <c r="AY34" s="649"/>
      <c r="AZ34" s="649"/>
      <c r="BA34" s="649"/>
      <c r="BB34" s="649"/>
      <c r="BC34" s="649"/>
      <c r="BD34" s="649"/>
      <c r="BE34" s="649"/>
      <c r="BF34" s="649"/>
      <c r="BG34" s="649"/>
      <c r="BH34" s="649"/>
      <c r="BI34" s="649"/>
      <c r="BJ34" s="649"/>
      <c r="BK34" s="649"/>
      <c r="BL34" s="649"/>
      <c r="BM34" s="649"/>
      <c r="BN34" s="649"/>
      <c r="BO34" s="649"/>
      <c r="BP34" s="649"/>
      <c r="BQ34" s="649"/>
      <c r="BR34" s="649"/>
      <c r="BS34" s="649"/>
      <c r="BT34" s="649"/>
      <c r="BU34" s="649"/>
      <c r="BV34" s="649"/>
      <c r="BW34" s="649"/>
      <c r="BX34" s="649"/>
      <c r="BY34" s="649"/>
      <c r="BZ34" s="649"/>
      <c r="CA34" s="649"/>
      <c r="CB34" s="649"/>
      <c r="CC34" s="649"/>
      <c r="CD34" s="649"/>
      <c r="CE34" s="649"/>
    </row>
    <row r="35" spans="3:84" x14ac:dyDescent="0.2">
      <c r="C35" s="652"/>
      <c r="D35" s="636"/>
      <c r="E35" s="637" t="str">
        <f>PedGuiEntTPN!C45</f>
        <v>Kalium</v>
      </c>
      <c r="F35" s="637" t="str">
        <f>PedGuiEntTPN!E45</f>
        <v>0 mmol/kg</v>
      </c>
      <c r="G35" s="637" t="str">
        <f>PedGuiEntTPN!F45</f>
        <v>1-2 mmol/kg</v>
      </c>
      <c r="H35" s="637"/>
      <c r="I35" s="637" t="str">
        <f>PedGuiEntTPN!I45</f>
        <v>Fosfaat</v>
      </c>
      <c r="J35" s="637" t="str">
        <f>PedGuiEntTPN!J45</f>
        <v>0 mmol/kg</v>
      </c>
      <c r="K35" s="637" t="str">
        <f>PedGuiEntTPN!K45</f>
        <v>0,75 mmol/kg</v>
      </c>
      <c r="L35" s="637"/>
      <c r="M35" s="637"/>
      <c r="N35" s="637"/>
      <c r="O35" s="658"/>
      <c r="P35" s="658"/>
      <c r="Q35" s="644"/>
      <c r="R35" s="644"/>
      <c r="S35" s="644"/>
      <c r="T35" s="644"/>
      <c r="U35" s="644"/>
      <c r="V35" s="644"/>
      <c r="W35" s="644"/>
      <c r="X35" s="644"/>
      <c r="Y35" s="644"/>
      <c r="Z35" s="644"/>
      <c r="AA35" s="649"/>
      <c r="AB35" s="649"/>
      <c r="AC35" s="649"/>
      <c r="AD35" s="649"/>
      <c r="AE35" s="649"/>
      <c r="AF35" s="649"/>
      <c r="AG35" s="649"/>
      <c r="AH35" s="649"/>
      <c r="AI35" s="649"/>
      <c r="AJ35" s="649"/>
      <c r="AK35" s="649"/>
      <c r="AL35" s="649"/>
      <c r="AM35" s="649"/>
      <c r="AN35" s="649"/>
      <c r="AO35" s="649"/>
      <c r="AP35" s="649"/>
      <c r="AQ35" s="649"/>
      <c r="AR35" s="649"/>
      <c r="AS35" s="649"/>
      <c r="AT35" s="649"/>
      <c r="AU35" s="649"/>
      <c r="AV35" s="649"/>
      <c r="AW35" s="649"/>
      <c r="AX35" s="649"/>
      <c r="AY35" s="649"/>
      <c r="AZ35" s="649"/>
      <c r="BA35" s="649"/>
      <c r="BB35" s="649"/>
      <c r="BC35" s="649"/>
      <c r="BD35" s="649"/>
      <c r="BE35" s="649"/>
      <c r="BF35" s="649"/>
      <c r="BG35" s="649"/>
      <c r="BH35" s="649"/>
      <c r="BI35" s="649"/>
      <c r="BJ35" s="649"/>
      <c r="BK35" s="649"/>
      <c r="BL35" s="649"/>
      <c r="BM35" s="649"/>
      <c r="BN35" s="649"/>
      <c r="BO35" s="649"/>
      <c r="BP35" s="649"/>
      <c r="BQ35" s="649"/>
      <c r="BR35" s="649"/>
      <c r="BS35" s="649"/>
      <c r="BT35" s="649"/>
      <c r="BU35" s="649"/>
      <c r="BV35" s="649"/>
      <c r="BW35" s="649"/>
      <c r="BX35" s="649"/>
      <c r="BY35" s="649"/>
      <c r="BZ35" s="649"/>
      <c r="CA35" s="649"/>
      <c r="CB35" s="649"/>
      <c r="CC35" s="649"/>
      <c r="CD35" s="649"/>
      <c r="CE35" s="649"/>
    </row>
    <row r="36" spans="3:84" x14ac:dyDescent="0.2">
      <c r="C36" s="652"/>
      <c r="D36" s="652"/>
      <c r="E36" s="652"/>
      <c r="F36" s="652"/>
      <c r="G36" s="652"/>
      <c r="H36" s="652"/>
      <c r="I36" s="652"/>
      <c r="J36" s="652"/>
      <c r="K36" s="652"/>
      <c r="L36" s="644"/>
      <c r="M36" s="644"/>
      <c r="N36" s="644"/>
      <c r="O36" s="644"/>
      <c r="P36" s="644"/>
      <c r="Q36" s="644"/>
      <c r="R36" s="644"/>
      <c r="S36" s="644"/>
      <c r="T36" s="644"/>
      <c r="U36" s="644"/>
      <c r="V36" s="644"/>
      <c r="W36" s="644"/>
      <c r="X36" s="644"/>
      <c r="Y36" s="644"/>
      <c r="Z36" s="644"/>
      <c r="AA36" s="644"/>
      <c r="AB36" s="649"/>
      <c r="AC36" s="649"/>
      <c r="AD36" s="649"/>
      <c r="AE36" s="649"/>
      <c r="AF36" s="649"/>
      <c r="AG36" s="649"/>
      <c r="AH36" s="649"/>
      <c r="AI36" s="649"/>
      <c r="AJ36" s="649"/>
      <c r="AK36" s="649"/>
      <c r="AL36" s="649"/>
      <c r="AM36" s="649"/>
      <c r="AN36" s="649"/>
      <c r="AO36" s="649"/>
      <c r="AP36" s="649"/>
      <c r="AQ36" s="649"/>
      <c r="AR36" s="649"/>
      <c r="AS36" s="649"/>
      <c r="AT36" s="649"/>
      <c r="AU36" s="649"/>
      <c r="AV36" s="649"/>
      <c r="AW36" s="649"/>
      <c r="AX36" s="649"/>
      <c r="AY36" s="649"/>
      <c r="AZ36" s="649"/>
      <c r="BA36" s="649"/>
      <c r="BB36" s="649"/>
      <c r="BC36" s="649"/>
      <c r="BD36" s="649"/>
      <c r="BE36" s="649"/>
      <c r="BF36" s="649"/>
      <c r="BG36" s="649"/>
      <c r="BH36" s="649"/>
      <c r="BI36" s="649"/>
      <c r="BJ36" s="649"/>
      <c r="BK36" s="649"/>
      <c r="BL36" s="649"/>
      <c r="BM36" s="649"/>
      <c r="BN36" s="649"/>
      <c r="BO36" s="649"/>
      <c r="BP36" s="649"/>
      <c r="BQ36" s="649"/>
      <c r="BR36" s="649"/>
      <c r="BS36" s="649"/>
      <c r="BT36" s="649"/>
      <c r="BU36" s="649"/>
      <c r="BV36" s="649"/>
      <c r="BW36" s="649"/>
      <c r="BX36" s="649"/>
      <c r="BY36" s="649"/>
      <c r="BZ36" s="649"/>
      <c r="CA36" s="649"/>
      <c r="CB36" s="649"/>
      <c r="CC36" s="649"/>
      <c r="CD36" s="649"/>
      <c r="CE36" s="649"/>
      <c r="CF36" s="649"/>
    </row>
    <row r="37" spans="3:84" x14ac:dyDescent="0.2">
      <c r="C37" s="652"/>
      <c r="D37" s="624"/>
      <c r="E37" s="623" t="s">
        <v>292</v>
      </c>
      <c r="F37" s="868">
        <f>GlobBerOpm!B3</f>
        <v>0</v>
      </c>
      <c r="G37" s="869"/>
      <c r="H37" s="869"/>
      <c r="I37" s="869"/>
      <c r="J37" s="869"/>
      <c r="K37" s="869"/>
      <c r="L37" s="869"/>
      <c r="M37" s="869"/>
      <c r="N37" s="869"/>
      <c r="O37" s="652"/>
      <c r="P37" s="652"/>
      <c r="Q37" s="652"/>
      <c r="R37" s="652"/>
      <c r="S37" s="652"/>
      <c r="T37" s="652"/>
      <c r="U37" s="652"/>
      <c r="V37" s="652"/>
      <c r="W37" s="652"/>
      <c r="X37" s="652"/>
      <c r="Y37" s="652"/>
      <c r="Z37" s="652"/>
      <c r="AA37" s="652"/>
      <c r="AB37" s="649"/>
      <c r="AC37" s="649"/>
      <c r="AD37" s="649"/>
      <c r="AE37" s="649"/>
      <c r="AF37" s="649"/>
      <c r="AG37" s="649"/>
      <c r="AH37" s="649"/>
      <c r="AI37" s="649"/>
      <c r="AJ37" s="649"/>
      <c r="AK37" s="649"/>
      <c r="AL37" s="649"/>
      <c r="AM37" s="649"/>
      <c r="AN37" s="649"/>
      <c r="AO37" s="649"/>
      <c r="AP37" s="649"/>
      <c r="AQ37" s="649"/>
      <c r="AR37" s="649"/>
      <c r="AS37" s="649"/>
      <c r="AT37" s="649"/>
      <c r="AU37" s="649"/>
      <c r="AV37" s="649"/>
      <c r="AW37" s="649"/>
      <c r="AX37" s="649"/>
      <c r="AY37" s="649"/>
      <c r="AZ37" s="649"/>
      <c r="BA37" s="649"/>
      <c r="BB37" s="649"/>
      <c r="BC37" s="649"/>
      <c r="BD37" s="649"/>
      <c r="BE37" s="649"/>
      <c r="BF37" s="649"/>
      <c r="BG37" s="649"/>
      <c r="BH37" s="649"/>
      <c r="BI37" s="649"/>
      <c r="BJ37" s="649"/>
      <c r="BK37" s="649"/>
      <c r="BL37" s="649"/>
      <c r="BM37" s="649"/>
      <c r="BN37" s="649"/>
      <c r="BO37" s="649"/>
      <c r="BP37" s="649"/>
      <c r="BQ37" s="649"/>
      <c r="BR37" s="649"/>
      <c r="BS37" s="649"/>
      <c r="BT37" s="649"/>
      <c r="BU37" s="649"/>
      <c r="BV37" s="649"/>
      <c r="BW37" s="649"/>
      <c r="BX37" s="649"/>
      <c r="BY37" s="649"/>
      <c r="BZ37" s="649"/>
      <c r="CA37" s="649"/>
      <c r="CB37" s="649"/>
      <c r="CC37" s="649"/>
      <c r="CD37" s="649"/>
      <c r="CE37" s="649"/>
      <c r="CF37" s="649"/>
    </row>
    <row r="38" spans="3:84" x14ac:dyDescent="0.2">
      <c r="C38" s="652"/>
      <c r="D38" s="624"/>
      <c r="E38" s="625"/>
      <c r="F38" s="869"/>
      <c r="G38" s="869"/>
      <c r="H38" s="869"/>
      <c r="I38" s="869"/>
      <c r="J38" s="869"/>
      <c r="K38" s="869"/>
      <c r="L38" s="869"/>
      <c r="M38" s="869"/>
      <c r="N38" s="869"/>
      <c r="O38" s="652"/>
      <c r="P38" s="652"/>
      <c r="Q38" s="652"/>
      <c r="R38" s="652"/>
      <c r="S38" s="652"/>
      <c r="T38" s="652"/>
      <c r="U38" s="652"/>
      <c r="V38" s="652"/>
      <c r="W38" s="652"/>
      <c r="X38" s="652"/>
      <c r="Y38" s="652"/>
      <c r="Z38" s="652"/>
      <c r="AA38" s="652"/>
      <c r="AB38" s="649"/>
      <c r="AC38" s="649"/>
      <c r="AD38" s="649"/>
      <c r="AE38" s="649"/>
      <c r="AF38" s="649"/>
      <c r="AG38" s="649"/>
      <c r="AH38" s="649"/>
      <c r="AI38" s="649"/>
      <c r="AJ38" s="649"/>
      <c r="AK38" s="649"/>
      <c r="AL38" s="649"/>
      <c r="AM38" s="649"/>
      <c r="AN38" s="649"/>
      <c r="AO38" s="649"/>
      <c r="AP38" s="649"/>
      <c r="AQ38" s="649"/>
      <c r="AR38" s="649"/>
      <c r="AS38" s="649"/>
      <c r="AT38" s="649"/>
      <c r="AU38" s="649"/>
      <c r="AV38" s="649"/>
      <c r="AW38" s="649"/>
      <c r="AX38" s="649"/>
      <c r="AY38" s="649"/>
      <c r="AZ38" s="649"/>
      <c r="BA38" s="649"/>
      <c r="BB38" s="649"/>
      <c r="BC38" s="649"/>
      <c r="BD38" s="649"/>
      <c r="BE38" s="649"/>
      <c r="BF38" s="649"/>
      <c r="BG38" s="649"/>
      <c r="BH38" s="649"/>
      <c r="BI38" s="649"/>
      <c r="BJ38" s="649"/>
      <c r="BK38" s="649"/>
      <c r="BL38" s="649"/>
      <c r="BM38" s="649"/>
      <c r="BN38" s="649"/>
      <c r="BO38" s="649"/>
      <c r="BP38" s="649"/>
      <c r="BQ38" s="649"/>
      <c r="BR38" s="649"/>
      <c r="BS38" s="649"/>
      <c r="BT38" s="649"/>
      <c r="BU38" s="649"/>
      <c r="BV38" s="649"/>
      <c r="BW38" s="649"/>
      <c r="BX38" s="649"/>
      <c r="BY38" s="649"/>
      <c r="BZ38" s="649"/>
      <c r="CA38" s="649"/>
      <c r="CB38" s="649"/>
      <c r="CC38" s="649"/>
      <c r="CD38" s="649"/>
      <c r="CE38" s="649"/>
      <c r="CF38" s="649"/>
    </row>
    <row r="39" spans="3:84" x14ac:dyDescent="0.2">
      <c r="C39" s="652"/>
      <c r="D39" s="624"/>
      <c r="E39" s="625"/>
      <c r="F39" s="869"/>
      <c r="G39" s="869"/>
      <c r="H39" s="869"/>
      <c r="I39" s="869"/>
      <c r="J39" s="869"/>
      <c r="K39" s="869"/>
      <c r="L39" s="869"/>
      <c r="M39" s="869"/>
      <c r="N39" s="869"/>
      <c r="O39" s="652"/>
      <c r="P39" s="652"/>
      <c r="Q39" s="652"/>
      <c r="R39" s="652"/>
      <c r="S39" s="652"/>
      <c r="T39" s="652"/>
      <c r="U39" s="652"/>
      <c r="V39" s="652"/>
      <c r="W39" s="652"/>
      <c r="X39" s="652"/>
      <c r="Y39" s="652"/>
      <c r="Z39" s="652"/>
      <c r="AA39" s="652"/>
      <c r="AB39" s="649"/>
      <c r="AC39" s="649"/>
      <c r="AD39" s="649"/>
      <c r="AE39" s="649"/>
      <c r="AF39" s="649"/>
      <c r="AG39" s="649"/>
      <c r="AH39" s="649"/>
      <c r="AI39" s="649"/>
      <c r="AJ39" s="649"/>
      <c r="AK39" s="649"/>
      <c r="AL39" s="649"/>
      <c r="AM39" s="649"/>
      <c r="AN39" s="649"/>
      <c r="AO39" s="649"/>
      <c r="AP39" s="649"/>
      <c r="AQ39" s="649"/>
      <c r="AR39" s="649"/>
      <c r="AS39" s="649"/>
      <c r="AT39" s="649"/>
      <c r="AU39" s="649"/>
      <c r="AV39" s="649"/>
      <c r="AW39" s="649"/>
      <c r="AX39" s="649"/>
      <c r="AY39" s="649"/>
      <c r="AZ39" s="649"/>
      <c r="BA39" s="649"/>
      <c r="BB39" s="649"/>
      <c r="BC39" s="649"/>
      <c r="BD39" s="649"/>
      <c r="BE39" s="649"/>
      <c r="BF39" s="649"/>
      <c r="BG39" s="649"/>
      <c r="BH39" s="649"/>
      <c r="BI39" s="649"/>
      <c r="BJ39" s="649"/>
      <c r="BK39" s="649"/>
      <c r="BL39" s="649"/>
      <c r="BM39" s="649"/>
      <c r="BN39" s="649"/>
      <c r="BO39" s="649"/>
      <c r="BP39" s="649"/>
      <c r="BQ39" s="649"/>
      <c r="BR39" s="649"/>
      <c r="BS39" s="649"/>
      <c r="BT39" s="649"/>
      <c r="BU39" s="649"/>
      <c r="BV39" s="649"/>
      <c r="BW39" s="649"/>
      <c r="BX39" s="649"/>
      <c r="BY39" s="649"/>
      <c r="BZ39" s="649"/>
      <c r="CA39" s="649"/>
      <c r="CB39" s="649"/>
      <c r="CC39" s="649"/>
      <c r="CD39" s="649"/>
      <c r="CE39" s="649"/>
      <c r="CF39" s="649"/>
    </row>
    <row r="40" spans="3:84" x14ac:dyDescent="0.2">
      <c r="C40" s="652"/>
      <c r="D40" s="652"/>
      <c r="E40" s="659"/>
      <c r="F40" s="660"/>
      <c r="G40" s="660"/>
      <c r="H40" s="660"/>
      <c r="I40" s="660"/>
      <c r="J40" s="660"/>
      <c r="K40" s="660"/>
      <c r="L40" s="660"/>
      <c r="M40" s="660"/>
      <c r="N40" s="660"/>
      <c r="O40" s="652"/>
      <c r="P40" s="652"/>
      <c r="Q40" s="652"/>
      <c r="R40" s="652"/>
      <c r="S40" s="652"/>
      <c r="T40" s="652"/>
      <c r="U40" s="652"/>
      <c r="V40" s="652"/>
      <c r="W40" s="652"/>
      <c r="X40" s="652"/>
      <c r="Y40" s="652"/>
      <c r="Z40" s="652"/>
      <c r="AA40" s="652"/>
      <c r="AB40" s="649"/>
      <c r="AC40" s="649"/>
      <c r="AD40" s="649"/>
      <c r="AE40" s="649"/>
      <c r="AF40" s="649"/>
      <c r="AG40" s="649"/>
      <c r="AH40" s="649"/>
      <c r="AI40" s="649"/>
      <c r="AJ40" s="649"/>
      <c r="AK40" s="649"/>
      <c r="AL40" s="649"/>
      <c r="AM40" s="649"/>
      <c r="AN40" s="649"/>
      <c r="AO40" s="649"/>
      <c r="AP40" s="649"/>
      <c r="AQ40" s="649"/>
      <c r="AR40" s="649"/>
      <c r="AS40" s="649"/>
      <c r="AT40" s="649"/>
      <c r="AU40" s="649"/>
      <c r="AV40" s="649"/>
      <c r="AW40" s="649"/>
      <c r="AX40" s="649"/>
      <c r="AY40" s="649"/>
      <c r="AZ40" s="649"/>
      <c r="BA40" s="649"/>
      <c r="BB40" s="649"/>
      <c r="BC40" s="649"/>
      <c r="BD40" s="649"/>
      <c r="BE40" s="649"/>
      <c r="BF40" s="649"/>
      <c r="BG40" s="649"/>
      <c r="BH40" s="649"/>
      <c r="BI40" s="649"/>
      <c r="BJ40" s="649"/>
      <c r="BK40" s="649"/>
      <c r="BL40" s="649"/>
      <c r="BM40" s="649"/>
      <c r="BN40" s="649"/>
      <c r="BO40" s="649"/>
      <c r="BP40" s="649"/>
      <c r="BQ40" s="649"/>
      <c r="BR40" s="649"/>
      <c r="BS40" s="649"/>
      <c r="BT40" s="649"/>
      <c r="BU40" s="649"/>
      <c r="BV40" s="649"/>
      <c r="BW40" s="649"/>
      <c r="BX40" s="649"/>
      <c r="BY40" s="649"/>
      <c r="BZ40" s="649"/>
      <c r="CA40" s="649"/>
      <c r="CB40" s="649"/>
      <c r="CC40" s="649"/>
      <c r="CD40" s="649"/>
      <c r="CE40" s="649"/>
      <c r="CF40" s="649"/>
    </row>
    <row r="41" spans="3:84" x14ac:dyDescent="0.2">
      <c r="C41" s="644"/>
      <c r="D41" s="644"/>
      <c r="E41" s="659"/>
      <c r="F41" s="660"/>
      <c r="G41" s="660"/>
      <c r="H41" s="660"/>
      <c r="I41" s="660"/>
      <c r="J41" s="660"/>
      <c r="K41" s="660"/>
      <c r="L41" s="660"/>
      <c r="M41" s="660"/>
      <c r="N41" s="647"/>
      <c r="O41" s="644"/>
      <c r="P41" s="652"/>
      <c r="Q41" s="652"/>
      <c r="R41" s="652"/>
      <c r="S41" s="652"/>
      <c r="T41" s="652"/>
      <c r="U41" s="652"/>
      <c r="V41" s="652"/>
      <c r="W41" s="652"/>
      <c r="X41" s="652"/>
      <c r="Y41" s="652"/>
      <c r="Z41" s="652"/>
      <c r="AA41" s="652"/>
      <c r="AB41" s="649"/>
      <c r="AC41" s="649"/>
      <c r="AD41" s="649"/>
      <c r="AE41" s="649"/>
      <c r="AF41" s="649"/>
      <c r="AG41" s="649"/>
      <c r="AH41" s="649"/>
      <c r="AI41" s="649"/>
      <c r="AJ41" s="649"/>
      <c r="AK41" s="649"/>
      <c r="AL41" s="649"/>
      <c r="AM41" s="649"/>
      <c r="AN41" s="649"/>
      <c r="AO41" s="649"/>
      <c r="AP41" s="649"/>
      <c r="AQ41" s="649"/>
      <c r="AR41" s="649"/>
      <c r="AS41" s="649"/>
      <c r="AT41" s="649"/>
      <c r="AU41" s="649"/>
      <c r="AV41" s="649"/>
      <c r="AW41" s="649"/>
      <c r="AX41" s="649"/>
      <c r="AY41" s="649"/>
      <c r="AZ41" s="649"/>
      <c r="BA41" s="649"/>
      <c r="BB41" s="649"/>
      <c r="BC41" s="649"/>
      <c r="BD41" s="649"/>
      <c r="BE41" s="649"/>
      <c r="BF41" s="649"/>
      <c r="BG41" s="649"/>
      <c r="BH41" s="649"/>
      <c r="BI41" s="649"/>
      <c r="BJ41" s="649"/>
      <c r="BK41" s="649"/>
      <c r="BL41" s="649"/>
      <c r="BM41" s="649"/>
      <c r="BN41" s="649"/>
      <c r="BO41" s="649"/>
      <c r="BP41" s="649"/>
      <c r="BQ41" s="649"/>
      <c r="BR41" s="649"/>
      <c r="BS41" s="649"/>
      <c r="BT41" s="649"/>
      <c r="BU41" s="649"/>
      <c r="BV41" s="649"/>
      <c r="BW41" s="649"/>
      <c r="BX41" s="649"/>
      <c r="BY41" s="649"/>
      <c r="BZ41" s="649"/>
      <c r="CA41" s="649"/>
      <c r="CB41" s="649"/>
      <c r="CC41" s="649"/>
      <c r="CD41" s="649"/>
      <c r="CE41" s="649"/>
      <c r="CF41" s="649"/>
    </row>
    <row r="42" spans="3:84" x14ac:dyDescent="0.2">
      <c r="C42" s="652"/>
      <c r="D42" s="652"/>
      <c r="E42" s="652"/>
      <c r="F42" s="652"/>
      <c r="G42" s="652"/>
      <c r="H42" s="652"/>
      <c r="I42" s="652"/>
      <c r="J42" s="652"/>
      <c r="K42" s="652"/>
      <c r="L42" s="652"/>
      <c r="M42" s="652"/>
      <c r="N42" s="652"/>
      <c r="O42" s="652"/>
      <c r="P42" s="652"/>
      <c r="Q42" s="652"/>
      <c r="R42" s="652"/>
      <c r="S42" s="652"/>
      <c r="T42" s="652"/>
      <c r="U42" s="652"/>
      <c r="V42" s="652"/>
      <c r="W42" s="652"/>
      <c r="X42" s="652"/>
      <c r="Y42" s="652"/>
      <c r="Z42" s="652"/>
      <c r="AA42" s="652"/>
      <c r="AB42" s="649"/>
      <c r="AC42" s="649"/>
      <c r="AD42" s="649"/>
      <c r="AE42" s="649"/>
      <c r="AF42" s="649"/>
      <c r="AG42" s="649"/>
      <c r="AH42" s="649"/>
      <c r="AI42" s="649"/>
      <c r="AJ42" s="649"/>
      <c r="AK42" s="649"/>
      <c r="AL42" s="649"/>
      <c r="AM42" s="649"/>
      <c r="AN42" s="649"/>
      <c r="AO42" s="649"/>
      <c r="AP42" s="649"/>
      <c r="AQ42" s="649"/>
      <c r="AR42" s="649"/>
      <c r="AS42" s="649"/>
      <c r="AT42" s="649"/>
      <c r="AU42" s="649"/>
      <c r="AV42" s="649"/>
      <c r="AW42" s="649"/>
      <c r="AX42" s="649"/>
      <c r="AY42" s="649"/>
      <c r="AZ42" s="649"/>
      <c r="BA42" s="649"/>
      <c r="BB42" s="649"/>
      <c r="BC42" s="649"/>
      <c r="BD42" s="649"/>
      <c r="BE42" s="649"/>
      <c r="BF42" s="649"/>
      <c r="BG42" s="649"/>
      <c r="BH42" s="649"/>
      <c r="BI42" s="649"/>
      <c r="BJ42" s="649"/>
      <c r="BK42" s="649"/>
      <c r="BL42" s="649"/>
      <c r="BM42" s="649"/>
      <c r="BN42" s="649"/>
      <c r="BO42" s="649"/>
      <c r="BP42" s="649"/>
      <c r="BQ42" s="649"/>
      <c r="BR42" s="649"/>
      <c r="BS42" s="649"/>
      <c r="BT42" s="649"/>
      <c r="BU42" s="649"/>
      <c r="BV42" s="649"/>
      <c r="BW42" s="649"/>
      <c r="BX42" s="649"/>
      <c r="BY42" s="649"/>
      <c r="BZ42" s="649"/>
      <c r="CA42" s="649"/>
      <c r="CB42" s="649"/>
      <c r="CC42" s="649"/>
      <c r="CD42" s="649"/>
      <c r="CE42" s="649"/>
      <c r="CF42" s="649"/>
    </row>
    <row r="43" spans="3:84" x14ac:dyDescent="0.2">
      <c r="C43" s="652"/>
      <c r="D43" s="652"/>
      <c r="E43" s="652"/>
      <c r="F43" s="652"/>
      <c r="G43" s="652"/>
      <c r="H43" s="652"/>
      <c r="I43" s="652"/>
      <c r="J43" s="652"/>
      <c r="K43" s="652"/>
      <c r="L43" s="652"/>
      <c r="M43" s="652"/>
      <c r="N43" s="652"/>
      <c r="O43" s="652"/>
      <c r="P43" s="652"/>
      <c r="Q43" s="652"/>
      <c r="R43" s="652"/>
      <c r="S43" s="652"/>
      <c r="T43" s="652"/>
      <c r="U43" s="652"/>
      <c r="V43" s="652"/>
      <c r="W43" s="652"/>
      <c r="X43" s="652"/>
      <c r="Y43" s="652"/>
      <c r="Z43" s="652"/>
      <c r="AA43" s="652"/>
      <c r="AB43" s="649"/>
      <c r="AC43" s="649"/>
      <c r="AD43" s="649"/>
      <c r="AE43" s="649"/>
      <c r="AF43" s="649"/>
      <c r="AG43" s="649"/>
      <c r="AH43" s="649"/>
      <c r="AI43" s="649"/>
      <c r="AJ43" s="649"/>
      <c r="AK43" s="649"/>
      <c r="AL43" s="649"/>
      <c r="AM43" s="649"/>
      <c r="AN43" s="649"/>
      <c r="AO43" s="649"/>
      <c r="AP43" s="649"/>
      <c r="AQ43" s="649"/>
      <c r="AR43" s="649"/>
      <c r="AS43" s="649"/>
      <c r="AT43" s="649"/>
      <c r="AU43" s="649"/>
      <c r="AV43" s="649"/>
      <c r="AW43" s="649"/>
      <c r="AX43" s="649"/>
      <c r="AY43" s="649"/>
      <c r="AZ43" s="649"/>
      <c r="BA43" s="649"/>
      <c r="BB43" s="649"/>
      <c r="BC43" s="649"/>
      <c r="BD43" s="649"/>
      <c r="BE43" s="649"/>
      <c r="BF43" s="649"/>
      <c r="BG43" s="649"/>
      <c r="BH43" s="649"/>
      <c r="BI43" s="649"/>
      <c r="BJ43" s="649"/>
      <c r="BK43" s="649"/>
      <c r="BL43" s="649"/>
      <c r="BM43" s="649"/>
      <c r="BN43" s="649"/>
      <c r="BO43" s="649"/>
      <c r="BP43" s="649"/>
      <c r="BQ43" s="649"/>
      <c r="BR43" s="649"/>
      <c r="BS43" s="649"/>
      <c r="BT43" s="649"/>
      <c r="BU43" s="649"/>
      <c r="BV43" s="649"/>
      <c r="BW43" s="649"/>
      <c r="BX43" s="649"/>
      <c r="BY43" s="649"/>
      <c r="BZ43" s="649"/>
      <c r="CA43" s="649"/>
      <c r="CB43" s="649"/>
      <c r="CC43" s="649"/>
      <c r="CD43" s="649"/>
      <c r="CE43" s="649"/>
      <c r="CF43" s="649"/>
    </row>
    <row r="44" spans="3:84" x14ac:dyDescent="0.2">
      <c r="C44" s="652"/>
      <c r="D44" s="652"/>
      <c r="E44" s="652"/>
      <c r="F44" s="652"/>
      <c r="G44" s="652"/>
      <c r="H44" s="652"/>
      <c r="I44" s="652"/>
      <c r="J44" s="652"/>
      <c r="K44" s="652"/>
      <c r="L44" s="652"/>
      <c r="M44" s="652"/>
      <c r="N44" s="652"/>
      <c r="O44" s="652"/>
      <c r="P44" s="652"/>
      <c r="Q44" s="652"/>
      <c r="R44" s="652"/>
      <c r="S44" s="652"/>
      <c r="T44" s="652"/>
      <c r="U44" s="652"/>
      <c r="V44" s="652"/>
      <c r="W44" s="652"/>
      <c r="X44" s="652"/>
      <c r="Y44" s="652"/>
      <c r="Z44" s="652"/>
      <c r="AA44" s="652"/>
      <c r="AB44" s="649"/>
      <c r="AC44" s="649"/>
      <c r="AD44" s="649"/>
      <c r="AE44" s="649"/>
      <c r="AF44" s="649"/>
      <c r="AG44" s="649"/>
      <c r="AH44" s="649"/>
      <c r="AI44" s="649"/>
      <c r="AJ44" s="649"/>
      <c r="AK44" s="649"/>
      <c r="AL44" s="649"/>
      <c r="AM44" s="649"/>
      <c r="AN44" s="649"/>
      <c r="AO44" s="649"/>
      <c r="AP44" s="649"/>
      <c r="AQ44" s="649"/>
      <c r="AR44" s="649"/>
      <c r="AS44" s="649"/>
      <c r="AT44" s="649"/>
      <c r="AU44" s="649"/>
      <c r="AV44" s="649"/>
      <c r="AW44" s="649"/>
      <c r="AX44" s="649"/>
      <c r="AY44" s="649"/>
      <c r="AZ44" s="649"/>
      <c r="BA44" s="649"/>
      <c r="BB44" s="649"/>
      <c r="BC44" s="649"/>
      <c r="BD44" s="649"/>
      <c r="BE44" s="649"/>
      <c r="BF44" s="649"/>
      <c r="BG44" s="649"/>
      <c r="BH44" s="649"/>
      <c r="BI44" s="649"/>
      <c r="BJ44" s="649"/>
      <c r="BK44" s="649"/>
      <c r="BL44" s="649"/>
      <c r="BM44" s="649"/>
      <c r="BN44" s="649"/>
      <c r="BO44" s="649"/>
      <c r="BP44" s="649"/>
      <c r="BQ44" s="649"/>
      <c r="BR44" s="649"/>
      <c r="BS44" s="649"/>
      <c r="BT44" s="649"/>
      <c r="BU44" s="649"/>
      <c r="BV44" s="649"/>
      <c r="BW44" s="649"/>
      <c r="BX44" s="649"/>
      <c r="BY44" s="649"/>
      <c r="BZ44" s="649"/>
      <c r="CA44" s="649"/>
      <c r="CB44" s="649"/>
      <c r="CC44" s="649"/>
      <c r="CD44" s="649"/>
      <c r="CE44" s="649"/>
      <c r="CF44" s="649"/>
    </row>
    <row r="45" spans="3:84" x14ac:dyDescent="0.2">
      <c r="C45" s="652"/>
      <c r="D45" s="652"/>
      <c r="E45" s="652"/>
      <c r="F45" s="652"/>
      <c r="G45" s="652"/>
      <c r="H45" s="652"/>
      <c r="I45" s="652"/>
      <c r="J45" s="652"/>
      <c r="K45" s="652"/>
      <c r="L45" s="652"/>
      <c r="M45" s="652"/>
      <c r="N45" s="652"/>
      <c r="O45" s="652"/>
      <c r="P45" s="652"/>
      <c r="Q45" s="652"/>
      <c r="R45" s="652"/>
      <c r="S45" s="652"/>
      <c r="T45" s="652"/>
      <c r="U45" s="652"/>
      <c r="V45" s="652"/>
      <c r="W45" s="652"/>
      <c r="X45" s="652"/>
      <c r="Y45" s="652"/>
      <c r="Z45" s="652"/>
      <c r="AA45" s="652"/>
    </row>
    <row r="46" spans="3:84" x14ac:dyDescent="0.2">
      <c r="C46" s="652"/>
      <c r="D46" s="652"/>
      <c r="E46" s="652"/>
      <c r="F46" s="652"/>
      <c r="G46" s="652"/>
      <c r="H46" s="652"/>
      <c r="I46" s="652"/>
      <c r="J46" s="652"/>
      <c r="K46" s="652"/>
      <c r="L46" s="652"/>
      <c r="M46" s="652"/>
      <c r="N46" s="652"/>
      <c r="O46" s="652"/>
      <c r="P46" s="652"/>
      <c r="Q46" s="652"/>
      <c r="R46" s="652"/>
      <c r="S46" s="652"/>
      <c r="T46" s="652"/>
      <c r="U46" s="652"/>
      <c r="V46" s="652"/>
      <c r="W46" s="652"/>
      <c r="X46" s="652"/>
      <c r="Y46" s="652"/>
      <c r="Z46" s="652"/>
      <c r="AA46" s="652"/>
    </row>
    <row r="47" spans="3:84" x14ac:dyDescent="0.2">
      <c r="C47" s="652"/>
      <c r="D47" s="652"/>
      <c r="E47" s="652"/>
      <c r="F47" s="652"/>
      <c r="G47" s="652"/>
      <c r="H47" s="652"/>
      <c r="I47" s="652"/>
      <c r="J47" s="652"/>
      <c r="K47" s="652"/>
      <c r="L47" s="652"/>
      <c r="M47" s="652"/>
      <c r="N47" s="652"/>
      <c r="O47" s="652"/>
      <c r="P47" s="652"/>
      <c r="Q47" s="652"/>
      <c r="R47" s="652"/>
      <c r="S47" s="652"/>
      <c r="T47" s="652"/>
      <c r="U47" s="652"/>
      <c r="V47" s="652"/>
      <c r="W47" s="652"/>
      <c r="X47" s="652"/>
      <c r="Y47" s="652"/>
      <c r="Z47" s="652"/>
      <c r="AA47" s="652"/>
    </row>
    <row r="48" spans="3:84" x14ac:dyDescent="0.2">
      <c r="C48" s="652"/>
      <c r="D48" s="652"/>
      <c r="E48" s="652"/>
      <c r="F48" s="652"/>
      <c r="G48" s="652"/>
      <c r="H48" s="652"/>
      <c r="I48" s="652"/>
      <c r="J48" s="652"/>
      <c r="K48" s="652"/>
      <c r="L48" s="652"/>
      <c r="M48" s="652"/>
      <c r="N48" s="652"/>
      <c r="O48" s="652"/>
      <c r="P48" s="652"/>
      <c r="Q48" s="652"/>
      <c r="R48" s="652"/>
      <c r="S48" s="652"/>
      <c r="T48" s="652"/>
      <c r="U48" s="652"/>
      <c r="V48" s="652"/>
      <c r="W48" s="652"/>
      <c r="X48" s="652"/>
      <c r="Y48" s="652"/>
      <c r="Z48" s="652"/>
      <c r="AA48" s="652"/>
    </row>
    <row r="49" spans="3:27" x14ac:dyDescent="0.2">
      <c r="C49" s="652"/>
      <c r="D49" s="652"/>
      <c r="E49" s="652"/>
      <c r="F49" s="652"/>
      <c r="G49" s="652"/>
      <c r="H49" s="652"/>
      <c r="I49" s="652"/>
      <c r="J49" s="652"/>
      <c r="K49" s="652"/>
      <c r="L49" s="652"/>
      <c r="M49" s="652"/>
      <c r="N49" s="652"/>
      <c r="O49" s="652"/>
      <c r="P49" s="652"/>
      <c r="Q49" s="652"/>
      <c r="R49" s="652"/>
      <c r="S49" s="652"/>
      <c r="T49" s="652"/>
      <c r="U49" s="652"/>
      <c r="V49" s="652"/>
      <c r="W49" s="652"/>
      <c r="X49" s="652"/>
      <c r="Y49" s="652"/>
      <c r="Z49" s="652"/>
      <c r="AA49" s="652"/>
    </row>
    <row r="50" spans="3:27" x14ac:dyDescent="0.2">
      <c r="C50" s="652"/>
      <c r="D50" s="652"/>
      <c r="E50" s="652"/>
      <c r="F50" s="652"/>
      <c r="G50" s="652"/>
      <c r="H50" s="652"/>
      <c r="I50" s="652"/>
      <c r="J50" s="652"/>
      <c r="K50" s="652"/>
      <c r="L50" s="652"/>
      <c r="M50" s="652"/>
      <c r="N50" s="652"/>
      <c r="O50" s="652"/>
      <c r="P50" s="652"/>
      <c r="Q50" s="652"/>
      <c r="R50" s="652"/>
      <c r="S50" s="652"/>
      <c r="T50" s="652"/>
      <c r="U50" s="652"/>
      <c r="V50" s="652"/>
      <c r="W50" s="652"/>
      <c r="X50" s="652"/>
      <c r="Y50" s="652"/>
      <c r="Z50" s="652"/>
      <c r="AA50" s="652"/>
    </row>
  </sheetData>
  <customSheetViews>
    <customSheetView guid="{33CCADFA-0D48-46A6-8927-2B2144029216}" showGridLines="0" showRowCol="0" outlineSymbols="0" zeroValues="0">
      <pane ySplit="4" topLeftCell="A5" activePane="bottomLeft" state="frozen"/>
      <selection pane="bottomLeft" activeCell="C19" sqref="C19"/>
      <pageMargins left="0.75" right="0.75" top="1" bottom="1" header="0.5" footer="0.5"/>
      <pageSetup paperSize="9" orientation="portrait" blackAndWhite="1" r:id="rId1"/>
      <headerFooter alignWithMargins="0"/>
    </customSheetView>
  </customSheetViews>
  <mergeCells count="2">
    <mergeCell ref="F37:N39"/>
    <mergeCell ref="B1:N1"/>
  </mergeCells>
  <phoneticPr fontId="28" type="noConversion"/>
  <conditionalFormatting sqref="B1:N1">
    <cfRule type="expression" dxfId="19" priority="93">
      <formula>NOT(ISBLANK($B$1))</formula>
    </cfRule>
  </conditionalFormatting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Drop Down 2">
              <controlPr defaultSize="0" print="0" autoLine="0" autoPict="0" macro="[0]!PedContIV_SetStandard_01">
                <anchor moveWithCells="1">
                  <from>
                    <xdr:col>4</xdr:col>
                    <xdr:colOff>28575</xdr:colOff>
                    <xdr:row>8</xdr:row>
                    <xdr:rowOff>9525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print="0" autoLine="0" autoPict="0" macro="[0]!PedContIV_SetStandard_02">
                <anchor moveWithCells="1">
                  <from>
                    <xdr:col>4</xdr:col>
                    <xdr:colOff>28575</xdr:colOff>
                    <xdr:row>9</xdr:row>
                    <xdr:rowOff>9525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print="0" autoLine="0" autoPict="0" macro="[0]!PedContIV_SetStandard_03">
                <anchor moveWithCells="1">
                  <from>
                    <xdr:col>4</xdr:col>
                    <xdr:colOff>28575</xdr:colOff>
                    <xdr:row>10</xdr:row>
                    <xdr:rowOff>9525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 macro="[0]!PedContIV_SetStandard_04">
                <anchor moveWithCells="1">
                  <from>
                    <xdr:col>4</xdr:col>
                    <xdr:colOff>28575</xdr:colOff>
                    <xdr:row>11</xdr:row>
                    <xdr:rowOff>9525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Drop Down 6">
              <controlPr defaultSize="0" autoLine="0" autoPict="0" macro="[0]!PedContIV_SetStandard_05">
                <anchor moveWithCells="1">
                  <from>
                    <xdr:col>4</xdr:col>
                    <xdr:colOff>28575</xdr:colOff>
                    <xdr:row>12</xdr:row>
                    <xdr:rowOff>9525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 macro="[0]!PedContIV_SetStandard_06">
                <anchor moveWithCells="1">
                  <from>
                    <xdr:col>4</xdr:col>
                    <xdr:colOff>28575</xdr:colOff>
                    <xdr:row>13</xdr:row>
                    <xdr:rowOff>9525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Drop Down 8">
              <controlPr defaultSize="0" autoLine="0" autoPict="0" macro="[0]!PedContIV_SetStandard_07">
                <anchor moveWithCells="1">
                  <from>
                    <xdr:col>4</xdr:col>
                    <xdr:colOff>28575</xdr:colOff>
                    <xdr:row>14</xdr:row>
                    <xdr:rowOff>9525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Drop Down 9">
              <controlPr defaultSize="0" autoLine="0" autoPict="0" macro="[0]!PedContIV_SetStandard_08">
                <anchor moveWithCells="1">
                  <from>
                    <xdr:col>4</xdr:col>
                    <xdr:colOff>28575</xdr:colOff>
                    <xdr:row>15</xdr:row>
                    <xdr:rowOff>9525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Drop Down 10">
              <controlPr defaultSize="0" autoLine="0" autoPict="0" macro="[0]!PedContIV_SetStandard_09">
                <anchor moveWithCells="1">
                  <from>
                    <xdr:col>4</xdr:col>
                    <xdr:colOff>28575</xdr:colOff>
                    <xdr:row>16</xdr:row>
                    <xdr:rowOff>9525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Drop Down 16">
              <controlPr defaultSize="0" print="0" autoLine="0" autoPict="0">
                <anchor moveWithCells="1">
                  <from>
                    <xdr:col>7</xdr:col>
                    <xdr:colOff>19050</xdr:colOff>
                    <xdr:row>8</xdr:row>
                    <xdr:rowOff>9525</xdr:rowOff>
                  </from>
                  <to>
                    <xdr:col>7</xdr:col>
                    <xdr:colOff>1085850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Drop Down 28">
              <controlPr defaultSize="0" autoLine="0" autoPict="0">
                <anchor moveWithCells="1">
                  <from>
                    <xdr:col>7</xdr:col>
                    <xdr:colOff>19050</xdr:colOff>
                    <xdr:row>9</xdr:row>
                    <xdr:rowOff>9525</xdr:rowOff>
                  </from>
                  <to>
                    <xdr:col>7</xdr:col>
                    <xdr:colOff>1085850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Drop Down 29">
              <controlPr defaultSize="0" autoLine="0" autoPict="0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1085850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Drop Down 30">
              <controlPr defaultSize="0" autoLine="0" autoPict="0">
                <anchor moveWithCells="1">
                  <from>
                    <xdr:col>7</xdr:col>
                    <xdr:colOff>19050</xdr:colOff>
                    <xdr:row>11</xdr:row>
                    <xdr:rowOff>9525</xdr:rowOff>
                  </from>
                  <to>
                    <xdr:col>7</xdr:col>
                    <xdr:colOff>1085850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Drop Down 31">
              <controlPr defaultSize="0" print="0" autoLine="0" autoPict="0">
                <anchor moveWithCells="1">
                  <from>
                    <xdr:col>7</xdr:col>
                    <xdr:colOff>19050</xdr:colOff>
                    <xdr:row>12</xdr:row>
                    <xdr:rowOff>9525</xdr:rowOff>
                  </from>
                  <to>
                    <xdr:col>7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Drop Down 32">
              <controlPr defaultSize="0" autoLine="0" autoPict="0">
                <anchor moveWithCells="1">
                  <from>
                    <xdr:col>7</xdr:col>
                    <xdr:colOff>19050</xdr:colOff>
                    <xdr:row>13</xdr:row>
                    <xdr:rowOff>9525</xdr:rowOff>
                  </from>
                  <to>
                    <xdr:col>7</xdr:col>
                    <xdr:colOff>1085850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Drop Down 33">
              <controlPr defaultSize="0" autoLine="0" autoPict="0">
                <anchor moveWithCells="1">
                  <from>
                    <xdr:col>7</xdr:col>
                    <xdr:colOff>19050</xdr:colOff>
                    <xdr:row>14</xdr:row>
                    <xdr:rowOff>9525</xdr:rowOff>
                  </from>
                  <to>
                    <xdr:col>7</xdr:col>
                    <xdr:colOff>1085850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Drop Down 34">
              <controlPr defaultSize="0" autoLine="0" autoPict="0">
                <anchor moveWithCells="1">
                  <from>
                    <xdr:col>7</xdr:col>
                    <xdr:colOff>19050</xdr:colOff>
                    <xdr:row>15</xdr:row>
                    <xdr:rowOff>9525</xdr:rowOff>
                  </from>
                  <to>
                    <xdr:col>7</xdr:col>
                    <xdr:colOff>1085850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Drop Down 35">
              <controlPr defaultSize="0" autoLine="0" autoPict="0">
                <anchor moveWithCells="1">
                  <from>
                    <xdr:col>7</xdr:col>
                    <xdr:colOff>19050</xdr:colOff>
                    <xdr:row>16</xdr:row>
                    <xdr:rowOff>9525</xdr:rowOff>
                  </from>
                  <to>
                    <xdr:col>7</xdr:col>
                    <xdr:colOff>1085850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Drop Down 36">
              <controlPr defaultSize="0" autoLine="0" autoPict="0">
                <anchor moveWithCells="1">
                  <from>
                    <xdr:col>7</xdr:col>
                    <xdr:colOff>19050</xdr:colOff>
                    <xdr:row>26</xdr:row>
                    <xdr:rowOff>0</xdr:rowOff>
                  </from>
                  <to>
                    <xdr:col>7</xdr:col>
                    <xdr:colOff>1085850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4" name="Spinner 60">
              <controlPr defaultSize="0" autoPict="0">
                <anchor moveWithCells="1" sizeWithCells="1">
                  <from>
                    <xdr:col>6</xdr:col>
                    <xdr:colOff>609600</xdr:colOff>
                    <xdr:row>26</xdr:row>
                    <xdr:rowOff>0</xdr:rowOff>
                  </from>
                  <to>
                    <xdr:col>7</xdr:col>
                    <xdr:colOff>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5" name="Drop Down 63">
              <controlPr defaultSize="0" autoLine="0" autoPict="0">
                <anchor moveWithCells="1">
                  <from>
                    <xdr:col>7</xdr:col>
                    <xdr:colOff>19050</xdr:colOff>
                    <xdr:row>27</xdr:row>
                    <xdr:rowOff>0</xdr:rowOff>
                  </from>
                  <to>
                    <xdr:col>7</xdr:col>
                    <xdr:colOff>1085850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6" name="Spinner 64">
              <controlPr defaultSize="0" autoPict="0">
                <anchor moveWithCells="1" sizeWithCells="1">
                  <from>
                    <xdr:col>6</xdr:col>
                    <xdr:colOff>609600</xdr:colOff>
                    <xdr:row>27</xdr:row>
                    <xdr:rowOff>0</xdr:rowOff>
                  </from>
                  <to>
                    <xdr:col>7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7" name="Drop Down 65">
              <controlPr defaultSize="0" autoLine="0" autoPict="0">
                <anchor moveWithCells="1">
                  <from>
                    <xdr:col>7</xdr:col>
                    <xdr:colOff>19050</xdr:colOff>
                    <xdr:row>28</xdr:row>
                    <xdr:rowOff>0</xdr:rowOff>
                  </from>
                  <to>
                    <xdr:col>7</xdr:col>
                    <xdr:colOff>1085850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8" name="Spinner 66">
              <controlPr defaultSize="0" autoPict="0">
                <anchor moveWithCells="1" sizeWithCells="1">
                  <from>
                    <xdr:col>6</xdr:col>
                    <xdr:colOff>609600</xdr:colOff>
                    <xdr:row>28</xdr:row>
                    <xdr:rowOff>0</xdr:rowOff>
                  </from>
                  <to>
                    <xdr:col>7</xdr:col>
                    <xdr:colOff>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29" name="Spinner 67">
              <controlPr defaultSize="0" autoPict="0">
                <anchor moveWithCells="1" sizeWithCells="1">
                  <from>
                    <xdr:col>8</xdr:col>
                    <xdr:colOff>942975</xdr:colOff>
                    <xdr:row>26</xdr:row>
                    <xdr:rowOff>0</xdr:rowOff>
                  </from>
                  <to>
                    <xdr:col>8</xdr:col>
                    <xdr:colOff>1076325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0" name="Spinner 68">
              <controlPr defaultSize="0" autoPict="0">
                <anchor moveWithCells="1" sizeWithCells="1">
                  <from>
                    <xdr:col>8</xdr:col>
                    <xdr:colOff>942975</xdr:colOff>
                    <xdr:row>27</xdr:row>
                    <xdr:rowOff>0</xdr:rowOff>
                  </from>
                  <to>
                    <xdr:col>8</xdr:col>
                    <xdr:colOff>1076325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1" name="Spinner 69">
              <controlPr defaultSize="0" autoPict="0">
                <anchor moveWithCells="1" sizeWithCells="1">
                  <from>
                    <xdr:col>8</xdr:col>
                    <xdr:colOff>942975</xdr:colOff>
                    <xdr:row>28</xdr:row>
                    <xdr:rowOff>0</xdr:rowOff>
                  </from>
                  <to>
                    <xdr:col>8</xdr:col>
                    <xdr:colOff>1076325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2" name="Drop Down 70">
              <controlPr defaultSize="0" autoLine="0" autoPict="0">
                <anchor moveWithCells="1">
                  <from>
                    <xdr:col>7</xdr:col>
                    <xdr:colOff>19050</xdr:colOff>
                    <xdr:row>24</xdr:row>
                    <xdr:rowOff>0</xdr:rowOff>
                  </from>
                  <to>
                    <xdr:col>7</xdr:col>
                    <xdr:colOff>1085850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3" name="Spinner 71">
              <controlPr defaultSize="0" autoPict="0">
                <anchor moveWithCells="1" sizeWithCells="1">
                  <from>
                    <xdr:col>6</xdr:col>
                    <xdr:colOff>609600</xdr:colOff>
                    <xdr:row>24</xdr:row>
                    <xdr:rowOff>0</xdr:rowOff>
                  </from>
                  <to>
                    <xdr:col>7</xdr:col>
                    <xdr:colOff>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4" name="Spinner 72">
              <controlPr defaultSize="0" autoPict="0">
                <anchor moveWithCells="1" sizeWithCells="1">
                  <from>
                    <xdr:col>8</xdr:col>
                    <xdr:colOff>942975</xdr:colOff>
                    <xdr:row>24</xdr:row>
                    <xdr:rowOff>0</xdr:rowOff>
                  </from>
                  <to>
                    <xdr:col>8</xdr:col>
                    <xdr:colOff>1076325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5" name="Drop Down 73">
              <controlPr defaultSize="0" autoLine="0" autoPict="0">
                <anchor moveWithCells="1">
                  <from>
                    <xdr:col>7</xdr:col>
                    <xdr:colOff>19050</xdr:colOff>
                    <xdr:row>25</xdr:row>
                    <xdr:rowOff>0</xdr:rowOff>
                  </from>
                  <to>
                    <xdr:col>7</xdr:col>
                    <xdr:colOff>1085850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6" name="Spinner 74">
              <controlPr defaultSize="0" autoPict="0">
                <anchor moveWithCells="1" sizeWithCells="1">
                  <from>
                    <xdr:col>6</xdr:col>
                    <xdr:colOff>609600</xdr:colOff>
                    <xdr:row>25</xdr:row>
                    <xdr:rowOff>0</xdr:rowOff>
                  </from>
                  <to>
                    <xdr:col>7</xdr:col>
                    <xdr:colOff>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7" name="Spinner 75">
              <controlPr defaultSize="0" autoPict="0">
                <anchor moveWithCells="1" sizeWithCells="1">
                  <from>
                    <xdr:col>8</xdr:col>
                    <xdr:colOff>942975</xdr:colOff>
                    <xdr:row>25</xdr:row>
                    <xdr:rowOff>0</xdr:rowOff>
                  </from>
                  <to>
                    <xdr:col>8</xdr:col>
                    <xdr:colOff>1076325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8" name="Drop Down 76">
              <controlPr defaultSize="0" autoLine="0" autoPict="0" macro="[0]!PedContIV_SetStandard_10">
                <anchor moveWithCells="1">
                  <from>
                    <xdr:col>4</xdr:col>
                    <xdr:colOff>28575</xdr:colOff>
                    <xdr:row>17</xdr:row>
                    <xdr:rowOff>9525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39" name="Drop Down 77">
              <controlPr defaultSize="0" autoLine="0" autoPict="0">
                <anchor moveWithCells="1">
                  <from>
                    <xdr:col>7</xdr:col>
                    <xdr:colOff>19050</xdr:colOff>
                    <xdr:row>17</xdr:row>
                    <xdr:rowOff>9525</xdr:rowOff>
                  </from>
                  <to>
                    <xdr:col>7</xdr:col>
                    <xdr:colOff>1085850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0" name="Spinner 79">
              <controlPr defaultSize="0" autoPict="0">
                <anchor moveWithCells="1" sizeWithCells="1">
                  <from>
                    <xdr:col>8</xdr:col>
                    <xdr:colOff>942975</xdr:colOff>
                    <xdr:row>9</xdr:row>
                    <xdr:rowOff>9525</xdr:rowOff>
                  </from>
                  <to>
                    <xdr:col>8</xdr:col>
                    <xdr:colOff>1076325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1" name="Spinner 80">
              <controlPr defaultSize="0" autoPict="0">
                <anchor moveWithCells="1" sizeWithCells="1">
                  <from>
                    <xdr:col>8</xdr:col>
                    <xdr:colOff>942975</xdr:colOff>
                    <xdr:row>10</xdr:row>
                    <xdr:rowOff>9525</xdr:rowOff>
                  </from>
                  <to>
                    <xdr:col>8</xdr:col>
                    <xdr:colOff>1076325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2" name="Spinner 81">
              <controlPr defaultSize="0" autoPict="0">
                <anchor moveWithCells="1" sizeWithCells="1">
                  <from>
                    <xdr:col>8</xdr:col>
                    <xdr:colOff>942975</xdr:colOff>
                    <xdr:row>11</xdr:row>
                    <xdr:rowOff>9525</xdr:rowOff>
                  </from>
                  <to>
                    <xdr:col>8</xdr:col>
                    <xdr:colOff>1076325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3" name="Spinner 82">
              <controlPr defaultSize="0" autoPict="0">
                <anchor moveWithCells="1" sizeWithCells="1">
                  <from>
                    <xdr:col>8</xdr:col>
                    <xdr:colOff>942975</xdr:colOff>
                    <xdr:row>12</xdr:row>
                    <xdr:rowOff>9525</xdr:rowOff>
                  </from>
                  <to>
                    <xdr:col>8</xdr:col>
                    <xdr:colOff>1076325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4" name="Spinner 83">
              <controlPr defaultSize="0" autoPict="0">
                <anchor moveWithCells="1" sizeWithCells="1">
                  <from>
                    <xdr:col>8</xdr:col>
                    <xdr:colOff>942975</xdr:colOff>
                    <xdr:row>13</xdr:row>
                    <xdr:rowOff>9525</xdr:rowOff>
                  </from>
                  <to>
                    <xdr:col>8</xdr:col>
                    <xdr:colOff>1076325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5" name="Spinner 84">
              <controlPr defaultSize="0" autoPict="0">
                <anchor moveWithCells="1" sizeWithCells="1">
                  <from>
                    <xdr:col>8</xdr:col>
                    <xdr:colOff>942975</xdr:colOff>
                    <xdr:row>14</xdr:row>
                    <xdr:rowOff>9525</xdr:rowOff>
                  </from>
                  <to>
                    <xdr:col>8</xdr:col>
                    <xdr:colOff>1076325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6" name="Spinner 85">
              <controlPr defaultSize="0" autoPict="0">
                <anchor moveWithCells="1" sizeWithCells="1">
                  <from>
                    <xdr:col>8</xdr:col>
                    <xdr:colOff>942975</xdr:colOff>
                    <xdr:row>15</xdr:row>
                    <xdr:rowOff>9525</xdr:rowOff>
                  </from>
                  <to>
                    <xdr:col>8</xdr:col>
                    <xdr:colOff>1076325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7" name="Spinner 86">
              <controlPr defaultSize="0" autoPict="0">
                <anchor moveWithCells="1" sizeWithCells="1">
                  <from>
                    <xdr:col>8</xdr:col>
                    <xdr:colOff>942975</xdr:colOff>
                    <xdr:row>16</xdr:row>
                    <xdr:rowOff>9525</xdr:rowOff>
                  </from>
                  <to>
                    <xdr:col>8</xdr:col>
                    <xdr:colOff>1076325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48" name="Spinner 87">
              <controlPr defaultSize="0" autoPict="0">
                <anchor moveWithCells="1" sizeWithCells="1">
                  <from>
                    <xdr:col>8</xdr:col>
                    <xdr:colOff>942975</xdr:colOff>
                    <xdr:row>17</xdr:row>
                    <xdr:rowOff>9525</xdr:rowOff>
                  </from>
                  <to>
                    <xdr:col>8</xdr:col>
                    <xdr:colOff>1076325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9" name="Spinner 114">
              <controlPr defaultSize="0" autoPict="0">
                <anchor moveWithCells="1" sizeWithCells="1">
                  <from>
                    <xdr:col>6</xdr:col>
                    <xdr:colOff>609600</xdr:colOff>
                    <xdr:row>9</xdr:row>
                    <xdr:rowOff>9525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0" name="Spinner 115">
              <controlPr defaultSize="0" autoPict="0">
                <anchor moveWithCells="1" sizeWithCells="1">
                  <from>
                    <xdr:col>6</xdr:col>
                    <xdr:colOff>609600</xdr:colOff>
                    <xdr:row>10</xdr:row>
                    <xdr:rowOff>9525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1" name="Spinner 116">
              <controlPr defaultSize="0" autoPict="0">
                <anchor moveWithCells="1" sizeWithCells="1">
                  <from>
                    <xdr:col>6</xdr:col>
                    <xdr:colOff>609600</xdr:colOff>
                    <xdr:row>11</xdr:row>
                    <xdr:rowOff>9525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52" name="Spinner 117">
              <controlPr defaultSize="0" autoPict="0">
                <anchor moveWithCells="1" sizeWithCells="1">
                  <from>
                    <xdr:col>6</xdr:col>
                    <xdr:colOff>609600</xdr:colOff>
                    <xdr:row>12</xdr:row>
                    <xdr:rowOff>9525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3" name="Spinner 118">
              <controlPr defaultSize="0" autoPict="0">
                <anchor moveWithCells="1" sizeWithCells="1">
                  <from>
                    <xdr:col>6</xdr:col>
                    <xdr:colOff>609600</xdr:colOff>
                    <xdr:row>13</xdr:row>
                    <xdr:rowOff>9525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4" name="Spinner 119">
              <controlPr defaultSize="0" autoPict="0">
                <anchor moveWithCells="1" sizeWithCells="1">
                  <from>
                    <xdr:col>6</xdr:col>
                    <xdr:colOff>609600</xdr:colOff>
                    <xdr:row>14</xdr:row>
                    <xdr:rowOff>9525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5" name="Spinner 120">
              <controlPr defaultSize="0" autoPict="0">
                <anchor moveWithCells="1" sizeWithCells="1">
                  <from>
                    <xdr:col>6</xdr:col>
                    <xdr:colOff>609600</xdr:colOff>
                    <xdr:row>15</xdr:row>
                    <xdr:rowOff>9525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6" name="Spinner 121">
              <controlPr defaultSize="0" autoPict="0">
                <anchor moveWithCells="1" sizeWithCells="1">
                  <from>
                    <xdr:col>6</xdr:col>
                    <xdr:colOff>609600</xdr:colOff>
                    <xdr:row>16</xdr:row>
                    <xdr:rowOff>9525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57" name="Spinner 122">
              <controlPr defaultSize="0" autoPict="0">
                <anchor moveWithCells="1" sizeWithCells="1">
                  <from>
                    <xdr:col>6</xdr:col>
                    <xdr:colOff>609600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58" name="Spinner 126">
              <controlPr defaultSize="0" autoPict="0">
                <anchor moveWithCells="1" sizeWithCells="1">
                  <from>
                    <xdr:col>5</xdr:col>
                    <xdr:colOff>733425</xdr:colOff>
                    <xdr:row>11</xdr:row>
                    <xdr:rowOff>9525</xdr:rowOff>
                  </from>
                  <to>
                    <xdr:col>5</xdr:col>
                    <xdr:colOff>876300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59" name="Spinner 127">
              <controlPr defaultSize="0" autoPict="0">
                <anchor moveWithCells="1" sizeWithCells="1">
                  <from>
                    <xdr:col>5</xdr:col>
                    <xdr:colOff>733425</xdr:colOff>
                    <xdr:row>12</xdr:row>
                    <xdr:rowOff>9525</xdr:rowOff>
                  </from>
                  <to>
                    <xdr:col>5</xdr:col>
                    <xdr:colOff>876300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0" name="Spinner 128">
              <controlPr defaultSize="0" autoPict="0">
                <anchor moveWithCells="1" sizeWithCells="1">
                  <from>
                    <xdr:col>5</xdr:col>
                    <xdr:colOff>733425</xdr:colOff>
                    <xdr:row>13</xdr:row>
                    <xdr:rowOff>9525</xdr:rowOff>
                  </from>
                  <to>
                    <xdr:col>5</xdr:col>
                    <xdr:colOff>876300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1" name="Spinner 129">
              <controlPr defaultSize="0" autoPict="0">
                <anchor moveWithCells="1" sizeWithCells="1">
                  <from>
                    <xdr:col>5</xdr:col>
                    <xdr:colOff>733425</xdr:colOff>
                    <xdr:row>14</xdr:row>
                    <xdr:rowOff>9525</xdr:rowOff>
                  </from>
                  <to>
                    <xdr:col>5</xdr:col>
                    <xdr:colOff>876300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2" name="Spinner 130">
              <controlPr defaultSize="0" autoPict="0">
                <anchor moveWithCells="1" sizeWithCells="1">
                  <from>
                    <xdr:col>5</xdr:col>
                    <xdr:colOff>733425</xdr:colOff>
                    <xdr:row>15</xdr:row>
                    <xdr:rowOff>9525</xdr:rowOff>
                  </from>
                  <to>
                    <xdr:col>5</xdr:col>
                    <xdr:colOff>876300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3" name="Spinner 131">
              <controlPr defaultSize="0" autoPict="0">
                <anchor moveWithCells="1" sizeWithCells="1">
                  <from>
                    <xdr:col>5</xdr:col>
                    <xdr:colOff>733425</xdr:colOff>
                    <xdr:row>16</xdr:row>
                    <xdr:rowOff>9525</xdr:rowOff>
                  </from>
                  <to>
                    <xdr:col>5</xdr:col>
                    <xdr:colOff>876300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4" name="Spinner 132">
              <controlPr defaultSize="0" autoPict="0">
                <anchor moveWithCells="1" sizeWithCells="1">
                  <from>
                    <xdr:col>5</xdr:col>
                    <xdr:colOff>733425</xdr:colOff>
                    <xdr:row>17</xdr:row>
                    <xdr:rowOff>9525</xdr:rowOff>
                  </from>
                  <to>
                    <xdr:col>5</xdr:col>
                    <xdr:colOff>876300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65" name="Spinner 113">
              <controlPr defaultSize="0" autoPict="0">
                <anchor moveWithCells="1" sizeWithCells="1">
                  <from>
                    <xdr:col>6</xdr:col>
                    <xdr:colOff>609600</xdr:colOff>
                    <xdr:row>8</xdr:row>
                    <xdr:rowOff>9525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6" name="Spinner 123">
              <controlPr defaultSize="0" autoPict="0">
                <anchor moveWithCells="1" sizeWithCells="1">
                  <from>
                    <xdr:col>5</xdr:col>
                    <xdr:colOff>733425</xdr:colOff>
                    <xdr:row>8</xdr:row>
                    <xdr:rowOff>9525</xdr:rowOff>
                  </from>
                  <to>
                    <xdr:col>5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7" name="Spinner 78">
              <controlPr defaultSize="0" autoPict="0">
                <anchor moveWithCells="1" sizeWithCells="1">
                  <from>
                    <xdr:col>8</xdr:col>
                    <xdr:colOff>942975</xdr:colOff>
                    <xdr:row>8</xdr:row>
                    <xdr:rowOff>9525</xdr:rowOff>
                  </from>
                  <to>
                    <xdr:col>8</xdr:col>
                    <xdr:colOff>1076325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68" name="Spinner 124">
              <controlPr defaultSize="0" autoPict="0">
                <anchor moveWithCells="1" sizeWithCells="1">
                  <from>
                    <xdr:col>5</xdr:col>
                    <xdr:colOff>733425</xdr:colOff>
                    <xdr:row>9</xdr:row>
                    <xdr:rowOff>9525</xdr:rowOff>
                  </from>
                  <to>
                    <xdr:col>5</xdr:col>
                    <xdr:colOff>876300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69" name="Spinner 125">
              <controlPr defaultSize="0" autoPict="0">
                <anchor moveWithCells="1" sizeWithCells="1">
                  <from>
                    <xdr:col>5</xdr:col>
                    <xdr:colOff>733425</xdr:colOff>
                    <xdr:row>10</xdr:row>
                    <xdr:rowOff>9525</xdr:rowOff>
                  </from>
                  <to>
                    <xdr:col>5</xdr:col>
                    <xdr:colOff>876300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70" name="Drop Down 133">
              <controlPr defaultSize="0" autoLine="0" autoPict="0" macro="[0]!PedContIV_SetStandard_11">
                <anchor moveWithCells="1">
                  <from>
                    <xdr:col>4</xdr:col>
                    <xdr:colOff>28575</xdr:colOff>
                    <xdr:row>18</xdr:row>
                    <xdr:rowOff>9525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71" name="Drop Down 134">
              <controlPr defaultSize="0" autoLine="0" autoPict="0">
                <anchor moveWithCells="1">
                  <from>
                    <xdr:col>7</xdr:col>
                    <xdr:colOff>19050</xdr:colOff>
                    <xdr:row>18</xdr:row>
                    <xdr:rowOff>9525</xdr:rowOff>
                  </from>
                  <to>
                    <xdr:col>7</xdr:col>
                    <xdr:colOff>1085850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72" name="Drop Down 135">
              <controlPr defaultSize="0" autoLine="0" autoPict="0" macro="[0]!PedContIV_SetStandard_12">
                <anchor moveWithCells="1">
                  <from>
                    <xdr:col>4</xdr:col>
                    <xdr:colOff>28575</xdr:colOff>
                    <xdr:row>19</xdr:row>
                    <xdr:rowOff>9525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73" name="Drop Down 136">
              <controlPr defaultSize="0" autoLine="0" autoPict="0">
                <anchor moveWithCells="1">
                  <from>
                    <xdr:col>7</xdr:col>
                    <xdr:colOff>19050</xdr:colOff>
                    <xdr:row>19</xdr:row>
                    <xdr:rowOff>9525</xdr:rowOff>
                  </from>
                  <to>
                    <xdr:col>7</xdr:col>
                    <xdr:colOff>1085850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4" name="Spinner 137">
              <controlPr defaultSize="0" autoPict="0">
                <anchor moveWithCells="1" sizeWithCells="1">
                  <from>
                    <xdr:col>8</xdr:col>
                    <xdr:colOff>942975</xdr:colOff>
                    <xdr:row>18</xdr:row>
                    <xdr:rowOff>9525</xdr:rowOff>
                  </from>
                  <to>
                    <xdr:col>8</xdr:col>
                    <xdr:colOff>1076325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75" name="Spinner 138">
              <controlPr defaultSize="0" autoPict="0">
                <anchor moveWithCells="1" sizeWithCells="1">
                  <from>
                    <xdr:col>8</xdr:col>
                    <xdr:colOff>942975</xdr:colOff>
                    <xdr:row>19</xdr:row>
                    <xdr:rowOff>9525</xdr:rowOff>
                  </from>
                  <to>
                    <xdr:col>8</xdr:col>
                    <xdr:colOff>1076325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76" name="Spinner 139">
              <controlPr defaultSize="0" autoPict="0">
                <anchor moveWithCells="1" sizeWithCells="1">
                  <from>
                    <xdr:col>6</xdr:col>
                    <xdr:colOff>609600</xdr:colOff>
                    <xdr:row>18</xdr:row>
                    <xdr:rowOff>9525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77" name="Spinner 140">
              <controlPr defaultSize="0" autoPict="0">
                <anchor moveWithCells="1" sizeWithCells="1">
                  <from>
                    <xdr:col>6</xdr:col>
                    <xdr:colOff>609600</xdr:colOff>
                    <xdr:row>19</xdr:row>
                    <xdr:rowOff>9525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78" name="Spinner 141">
              <controlPr defaultSize="0" autoPict="0">
                <anchor moveWithCells="1" sizeWithCells="1">
                  <from>
                    <xdr:col>5</xdr:col>
                    <xdr:colOff>733425</xdr:colOff>
                    <xdr:row>18</xdr:row>
                    <xdr:rowOff>9525</xdr:rowOff>
                  </from>
                  <to>
                    <xdr:col>5</xdr:col>
                    <xdr:colOff>876300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79" name="Spinner 142">
              <controlPr defaultSize="0" autoPict="0">
                <anchor moveWithCells="1" sizeWithCells="1">
                  <from>
                    <xdr:col>5</xdr:col>
                    <xdr:colOff>733425</xdr:colOff>
                    <xdr:row>19</xdr:row>
                    <xdr:rowOff>9525</xdr:rowOff>
                  </from>
                  <to>
                    <xdr:col>5</xdr:col>
                    <xdr:colOff>876300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80" name="Drop Down 143">
              <controlPr defaultSize="0" autoLine="0" autoPict="0" macro="[0]!PedContIV_SetStandard_13">
                <anchor moveWithCells="1">
                  <from>
                    <xdr:col>4</xdr:col>
                    <xdr:colOff>28575</xdr:colOff>
                    <xdr:row>20</xdr:row>
                    <xdr:rowOff>9525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81" name="Drop Down 144">
              <controlPr defaultSize="0" autoLine="0" autoPict="0">
                <anchor moveWithCells="1">
                  <from>
                    <xdr:col>7</xdr:col>
                    <xdr:colOff>19050</xdr:colOff>
                    <xdr:row>20</xdr:row>
                    <xdr:rowOff>9525</xdr:rowOff>
                  </from>
                  <to>
                    <xdr:col>7</xdr:col>
                    <xdr:colOff>1085850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82" name="Drop Down 145">
              <controlPr defaultSize="0" autoLine="0" autoPict="0" macro="[0]!PedContIV_SetStandard_14">
                <anchor moveWithCells="1">
                  <from>
                    <xdr:col>4</xdr:col>
                    <xdr:colOff>28575</xdr:colOff>
                    <xdr:row>21</xdr:row>
                    <xdr:rowOff>9525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83" name="Drop Down 146">
              <controlPr defaultSize="0" autoLine="0" autoPict="0">
                <anchor moveWithCells="1">
                  <from>
                    <xdr:col>7</xdr:col>
                    <xdr:colOff>19050</xdr:colOff>
                    <xdr:row>21</xdr:row>
                    <xdr:rowOff>9525</xdr:rowOff>
                  </from>
                  <to>
                    <xdr:col>7</xdr:col>
                    <xdr:colOff>1085850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84" name="Spinner 147">
              <controlPr defaultSize="0" autoPict="0">
                <anchor moveWithCells="1" sizeWithCells="1">
                  <from>
                    <xdr:col>8</xdr:col>
                    <xdr:colOff>942975</xdr:colOff>
                    <xdr:row>20</xdr:row>
                    <xdr:rowOff>9525</xdr:rowOff>
                  </from>
                  <to>
                    <xdr:col>8</xdr:col>
                    <xdr:colOff>1076325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85" name="Spinner 148">
              <controlPr defaultSize="0" autoPict="0">
                <anchor moveWithCells="1" sizeWithCells="1">
                  <from>
                    <xdr:col>8</xdr:col>
                    <xdr:colOff>942975</xdr:colOff>
                    <xdr:row>21</xdr:row>
                    <xdr:rowOff>9525</xdr:rowOff>
                  </from>
                  <to>
                    <xdr:col>8</xdr:col>
                    <xdr:colOff>1076325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86" name="Spinner 149">
              <controlPr defaultSize="0" autoPict="0">
                <anchor moveWithCells="1" sizeWithCells="1">
                  <from>
                    <xdr:col>6</xdr:col>
                    <xdr:colOff>609600</xdr:colOff>
                    <xdr:row>20</xdr:row>
                    <xdr:rowOff>9525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87" name="Spinner 150">
              <controlPr defaultSize="0" autoPict="0">
                <anchor moveWithCells="1" sizeWithCells="1">
                  <from>
                    <xdr:col>6</xdr:col>
                    <xdr:colOff>609600</xdr:colOff>
                    <xdr:row>21</xdr:row>
                    <xdr:rowOff>9525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88" name="Spinner 151">
              <controlPr defaultSize="0" autoPict="0">
                <anchor moveWithCells="1" sizeWithCells="1">
                  <from>
                    <xdr:col>5</xdr:col>
                    <xdr:colOff>733425</xdr:colOff>
                    <xdr:row>20</xdr:row>
                    <xdr:rowOff>9525</xdr:rowOff>
                  </from>
                  <to>
                    <xdr:col>5</xdr:col>
                    <xdr:colOff>876300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89" name="Spinner 152">
              <controlPr defaultSize="0" autoPict="0">
                <anchor moveWithCells="1" sizeWithCells="1">
                  <from>
                    <xdr:col>5</xdr:col>
                    <xdr:colOff>733425</xdr:colOff>
                    <xdr:row>21</xdr:row>
                    <xdr:rowOff>9525</xdr:rowOff>
                  </from>
                  <to>
                    <xdr:col>5</xdr:col>
                    <xdr:colOff>876300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90" name="Drop Down 153">
              <controlPr defaultSize="0" autoLine="0" autoPict="0" macro="[0]!PedContIV_SetStandard_15">
                <anchor moveWithCells="1">
                  <from>
                    <xdr:col>4</xdr:col>
                    <xdr:colOff>28575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91" name="Drop Down 154">
              <controlPr defaultSize="0" autoLine="0" autoPict="0">
                <anchor moveWithCells="1">
                  <from>
                    <xdr:col>7</xdr:col>
                    <xdr:colOff>19050</xdr:colOff>
                    <xdr:row>22</xdr:row>
                    <xdr:rowOff>9525</xdr:rowOff>
                  </from>
                  <to>
                    <xdr:col>7</xdr:col>
                    <xdr:colOff>1085850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92" name="Spinner 155">
              <controlPr defaultSize="0" autoPict="0">
                <anchor moveWithCells="1" sizeWithCells="1">
                  <from>
                    <xdr:col>8</xdr:col>
                    <xdr:colOff>942975</xdr:colOff>
                    <xdr:row>22</xdr:row>
                    <xdr:rowOff>9525</xdr:rowOff>
                  </from>
                  <to>
                    <xdr:col>8</xdr:col>
                    <xdr:colOff>1076325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93" name="Spinner 156">
              <controlPr defaultSize="0" autoPict="0">
                <anchor moveWithCells="1" sizeWithCells="1">
                  <from>
                    <xdr:col>6</xdr:col>
                    <xdr:colOff>609600</xdr:colOff>
                    <xdr:row>22</xdr:row>
                    <xdr:rowOff>9525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94" name="Spinner 157">
              <controlPr defaultSize="0" autoPict="0">
                <anchor moveWithCells="1" sizeWithCells="1">
                  <from>
                    <xdr:col>5</xdr:col>
                    <xdr:colOff>733425</xdr:colOff>
                    <xdr:row>22</xdr:row>
                    <xdr:rowOff>9525</xdr:rowOff>
                  </from>
                  <to>
                    <xdr:col>5</xdr:col>
                    <xdr:colOff>876300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0" stopIfTrue="1" id="{ABA217F0-E6FE-4538-B727-27A66C400466}">
            <xm:f>PedBerMedIV!$AH3</xm:f>
            <x14:dxf>
              <font>
                <b/>
                <i val="0"/>
                <color theme="0"/>
              </font>
              <fill>
                <patternFill>
                  <bgColor rgb="FFA40000"/>
                </patternFill>
              </fill>
            </x14:dxf>
          </x14:cfRule>
          <x14:cfRule type="expression" priority="141" id="{F43BEC40-487F-48BF-A57F-2A457EBC2412}">
            <xm:f>PedBerMedIV!$AI3</xm:f>
            <x14:dxf>
              <fill>
                <patternFill patternType="solid">
                  <bgColor rgb="FFFFFFCD"/>
                </patternFill>
              </fill>
              <border>
                <left/>
                <right/>
                <top/>
                <bottom/>
              </border>
            </x14:dxf>
          </x14:cfRule>
          <xm:sqref>J9:J23</xm:sqref>
        </x14:conditionalFormatting>
        <x14:conditionalFormatting xmlns:xm="http://schemas.microsoft.com/office/excel/2006/main">
          <x14:cfRule type="expression" priority="58" id="{350DD095-DF5D-43AC-92CE-CA0B250908C9}">
            <xm:f>NOT(PedBerMedIV!AJ3)</xm:f>
            <x14:dxf>
              <fill>
                <patternFill>
                  <bgColor rgb="FFFFFFCD"/>
                </patternFill>
              </fill>
            </x14:dxf>
          </x14:cfRule>
          <xm:sqref>F9:G23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IV">
    <tabColor rgb="FF92D050"/>
  </sheetPr>
  <dimension ref="A1:AK3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M27" sqref="M27"/>
    </sheetView>
  </sheetViews>
  <sheetFormatPr defaultColWidth="9.140625" defaultRowHeight="12.75" x14ac:dyDescent="0.2"/>
  <cols>
    <col min="1" max="1" width="8" customWidth="1"/>
    <col min="2" max="5" width="7.7109375" customWidth="1"/>
    <col min="6" max="7" width="10.28515625" style="315" customWidth="1"/>
    <col min="8" max="8" width="7.7109375" style="315" customWidth="1"/>
    <col min="9" max="18" width="7.7109375" customWidth="1"/>
    <col min="19" max="19" width="7.28515625" customWidth="1"/>
    <col min="20" max="20" width="9.85546875" bestFit="1" customWidth="1"/>
    <col min="21" max="21" width="11.28515625" customWidth="1"/>
    <col min="22" max="22" width="11.140625" customWidth="1"/>
    <col min="24" max="24" width="11.140625" customWidth="1"/>
    <col min="26" max="26" width="11.5703125" customWidth="1"/>
    <col min="27" max="27" width="11.28515625" customWidth="1"/>
  </cols>
  <sheetData>
    <row r="1" spans="1:37" s="19" customFormat="1" ht="25.5" x14ac:dyDescent="0.2">
      <c r="A1" s="364" t="s">
        <v>492</v>
      </c>
      <c r="B1" s="19" t="s">
        <v>241</v>
      </c>
      <c r="C1" s="19" t="s">
        <v>487</v>
      </c>
      <c r="D1" s="19" t="s">
        <v>206</v>
      </c>
      <c r="E1" s="149" t="s">
        <v>4463</v>
      </c>
      <c r="F1" s="149" t="s">
        <v>4461</v>
      </c>
      <c r="G1" s="149" t="s">
        <v>4462</v>
      </c>
      <c r="H1" s="149" t="s">
        <v>1126</v>
      </c>
      <c r="I1" s="149" t="s">
        <v>488</v>
      </c>
      <c r="J1" s="149" t="s">
        <v>51</v>
      </c>
      <c r="K1" s="149" t="s">
        <v>489</v>
      </c>
      <c r="L1" s="149" t="s">
        <v>490</v>
      </c>
      <c r="M1" s="149" t="s">
        <v>491</v>
      </c>
      <c r="N1" s="19" t="s">
        <v>280</v>
      </c>
      <c r="O1" s="19" t="s">
        <v>229</v>
      </c>
      <c r="P1" s="19" t="s">
        <v>230</v>
      </c>
      <c r="Q1" s="19" t="s">
        <v>391</v>
      </c>
      <c r="R1" s="19" t="s">
        <v>224</v>
      </c>
      <c r="S1" s="149" t="s">
        <v>4459</v>
      </c>
      <c r="T1" s="149" t="s">
        <v>4458</v>
      </c>
      <c r="U1" s="19" t="s">
        <v>331</v>
      </c>
      <c r="V1" s="19" t="s">
        <v>206</v>
      </c>
      <c r="W1" s="19" t="s">
        <v>311</v>
      </c>
      <c r="X1" s="19" t="s">
        <v>153</v>
      </c>
      <c r="Y1" s="19" t="s">
        <v>51</v>
      </c>
      <c r="Z1" s="19" t="s">
        <v>332</v>
      </c>
      <c r="AA1" s="19" t="s">
        <v>4460</v>
      </c>
      <c r="AB1" s="19" t="s">
        <v>311</v>
      </c>
      <c r="AC1" s="149" t="s">
        <v>568</v>
      </c>
      <c r="AE1" s="587" t="s">
        <v>4464</v>
      </c>
      <c r="AH1" s="149" t="s">
        <v>4696</v>
      </c>
      <c r="AI1" s="149" t="s">
        <v>4695</v>
      </c>
      <c r="AJ1" s="149" t="s">
        <v>4697</v>
      </c>
      <c r="AK1" s="149" t="s">
        <v>4698</v>
      </c>
    </row>
    <row r="2" spans="1:37" x14ac:dyDescent="0.2">
      <c r="A2">
        <v>0</v>
      </c>
      <c r="B2" s="338">
        <v>0</v>
      </c>
      <c r="C2" s="338">
        <v>1</v>
      </c>
      <c r="D2" s="338"/>
      <c r="E2" s="338"/>
      <c r="F2" s="338"/>
      <c r="G2" s="338"/>
      <c r="H2" s="338"/>
    </row>
    <row r="3" spans="1:37" x14ac:dyDescent="0.2">
      <c r="A3">
        <v>1</v>
      </c>
      <c r="B3" s="338">
        <v>1</v>
      </c>
      <c r="C3" s="338">
        <v>2</v>
      </c>
      <c r="D3" s="338">
        <v>0</v>
      </c>
      <c r="E3" s="338">
        <v>0</v>
      </c>
      <c r="F3" s="338" t="str">
        <f t="shared" ref="F3:F17" si="0">IF(B3&gt;1,IF(D3&gt;0,D3,INDEX(tblMedicationContIV,B3,11)),"")</f>
        <v/>
      </c>
      <c r="G3" s="338" t="str">
        <f t="shared" ref="G3:G17" si="1">IF(B3&gt;1,IF(E3&gt;0,E3,INDEX(tblMedicationContIV,B3,12)),"")</f>
        <v/>
      </c>
      <c r="H3" s="338" t="str">
        <f t="shared" ref="H3:H17" si="2">IF(AND(B3&gt;1,_Pat_Gewicht&gt;0),ROUND(INDEX(tblMedicationContIV,B3,18)*J3/10,3),"")</f>
        <v/>
      </c>
      <c r="I3">
        <v>1</v>
      </c>
      <c r="J3">
        <v>0</v>
      </c>
      <c r="K3">
        <f>IF(PedGuiMedIV!E9&lt;&gt;0,24*J3/10,0)</f>
        <v>0</v>
      </c>
      <c r="L3">
        <f>IF(PedBerMedIV!$I3=3,PedBerMedIV!K3*0.05,0)</f>
        <v>0</v>
      </c>
      <c r="M3">
        <f>IF(PedBerMedIV!$I3=4,PedBerMedIV!K3*0.1,0)</f>
        <v>0</v>
      </c>
      <c r="N3">
        <f>IF(PedBerMedIV!$I3=2,PedBerMedIV!K3*0.155,0)</f>
        <v>0</v>
      </c>
      <c r="O3">
        <f t="shared" ref="O3:O22" si="3">IF(OR($B3=24),0.5*$K3,IF(B3=4,K3*145/1000,0))</f>
        <v>0</v>
      </c>
      <c r="P3">
        <f>IF(OR($B3=19),0,0)</f>
        <v>0</v>
      </c>
      <c r="Q3">
        <f t="shared" ref="Q3:Q22" si="4">IF(OR($B3=4),0.2*$K3,0)</f>
        <v>0</v>
      </c>
      <c r="R3">
        <f t="shared" ref="R3:R22" si="5">IF(OR(B3=20,B3=21),0.1*K3,0)</f>
        <v>0</v>
      </c>
      <c r="S3" t="str">
        <f>IF(B3&gt;1,"verw","")</f>
        <v/>
      </c>
      <c r="T3" t="str">
        <f>IF(AND(AJ3,AK3),"","stand")</f>
        <v/>
      </c>
      <c r="U3" t="str">
        <f t="shared" ref="U3:U17" si="6">IF(B3&gt;1,INDEX(tblMedicationContIV,B3,1),"")</f>
        <v/>
      </c>
      <c r="V3" t="str">
        <f>IF(B3&gt;1,F3&amp;" "&amp;INDEX(tblMedicationContIV,PedBerMedIV!$B3,4), "")</f>
        <v/>
      </c>
      <c r="W3" t="str">
        <f>IF(AND(B3&gt;1,G3&gt;0),G3&amp;" ml","")</f>
        <v/>
      </c>
      <c r="X3" t="str">
        <f t="shared" ref="X3:X22" si="7">IF((INDEX(tblOplossing,I3,1)=0),"",INDEX(tblOplossing,I3,1))</f>
        <v/>
      </c>
      <c r="Y3" t="str">
        <f>IF(B3&gt;1,J3/10&amp;" ml/uur","")</f>
        <v/>
      </c>
      <c r="Z3" t="str">
        <f>IF(AND(B3&gt;1,H3&lt;&gt;""),(J3/10)*H3,"")</f>
        <v/>
      </c>
      <c r="AA3" t="str">
        <f t="shared" ref="AA3:AA17" si="8">IF(B3&gt;1,INDEX(tblMedicationContIV,B3,2), "")</f>
        <v/>
      </c>
      <c r="AB3" t="str">
        <f>IF(B3&gt;1,24*J3/10&amp;" ml","")</f>
        <v/>
      </c>
      <c r="AC3" t="str">
        <f t="shared" ref="AC3:AC17" si="9">IF(B3&gt;1,INDEX(tblMedicationContIV,B3,3),"")</f>
        <v/>
      </c>
      <c r="AH3" t="b">
        <f t="shared" ref="AH3:AH17" si="10">IF(B3&gt;1,IF(Z3&gt;=INDEX(tblMedicationContIV,B3,21),TRUE,FALSE),FALSE)</f>
        <v>0</v>
      </c>
      <c r="AI3" t="b">
        <f t="shared" ref="AI3:AI17" si="11">IF(B3&gt;1,IF(AND(Z3&gt;=INDEX(tblMedicationContIV,B3,19),Z3&lt;=INDEX(tblMedicationContIV,B3,20)),TRUE,FALSE),TRUE)=FALSE</f>
        <v>0</v>
      </c>
      <c r="AJ3" s="316" t="b">
        <f t="shared" ref="AJ3:AJ17" si="12">NOT(AND(B3&gt;1,F3&lt;&gt;INDEX(tblMedicationContIV,B3,11)))</f>
        <v>1</v>
      </c>
      <c r="AK3" t="b">
        <f t="shared" ref="AK3:AK17" si="13">NOT(AND(B3&gt;1,G3&lt;&gt;INDEX(tblMedicationContIV,B3,12)))</f>
        <v>1</v>
      </c>
    </row>
    <row r="4" spans="1:37" x14ac:dyDescent="0.2">
      <c r="A4">
        <v>2</v>
      </c>
      <c r="B4" s="338">
        <v>1</v>
      </c>
      <c r="C4" s="338">
        <v>3</v>
      </c>
      <c r="D4" s="338">
        <v>0</v>
      </c>
      <c r="E4" s="338">
        <v>0</v>
      </c>
      <c r="F4" s="338" t="str">
        <f t="shared" si="0"/>
        <v/>
      </c>
      <c r="G4" s="338" t="str">
        <f t="shared" si="1"/>
        <v/>
      </c>
      <c r="H4" s="338" t="str">
        <f t="shared" si="2"/>
        <v/>
      </c>
      <c r="I4">
        <v>1</v>
      </c>
      <c r="J4">
        <v>0</v>
      </c>
      <c r="K4">
        <f>IF(PedGuiMedIV!E10&lt;&gt;0,24*J4/10,0)</f>
        <v>0</v>
      </c>
      <c r="L4">
        <f>IF(PedBerMedIV!$I4=3,PedBerMedIV!K4*0.05,0)</f>
        <v>0</v>
      </c>
      <c r="M4">
        <f>IF(PedBerMedIV!$I4=4,PedBerMedIV!K4*0.1,0)</f>
        <v>0</v>
      </c>
      <c r="N4">
        <f>IF(PedBerMedIV!$I4=2,PedBerMedIV!K4*0.155,0)</f>
        <v>0</v>
      </c>
      <c r="O4">
        <f t="shared" si="3"/>
        <v>0</v>
      </c>
      <c r="P4">
        <f t="shared" ref="P4:P22" si="14">IF(OR($B4=19),0,0)</f>
        <v>0</v>
      </c>
      <c r="Q4">
        <f t="shared" si="4"/>
        <v>0</v>
      </c>
      <c r="R4">
        <f t="shared" si="5"/>
        <v>0</v>
      </c>
      <c r="S4" s="315" t="str">
        <f t="shared" ref="S4:S18" si="15">IF(B4&gt;1,"verw","")</f>
        <v/>
      </c>
      <c r="T4" s="315" t="str">
        <f t="shared" ref="T4:T17" si="16">IF(AND(D4&gt;0,D4&lt;&gt;INDEX(tblMedicationContIV,B4,11)),"stand","")</f>
        <v/>
      </c>
      <c r="U4" s="315" t="str">
        <f t="shared" si="6"/>
        <v/>
      </c>
      <c r="V4" s="315" t="str">
        <f>IF(B4&gt;1,F4&amp;" "&amp;INDEX(tblMedicationContIV,PedBerMedIV!$B4,4), "")</f>
        <v/>
      </c>
      <c r="W4" s="315" t="str">
        <f t="shared" ref="W4:W17" si="17">IF(AND(B4&gt;1,G4&gt;0),G4&amp;" ml","")</f>
        <v/>
      </c>
      <c r="X4" s="315" t="str">
        <f t="shared" si="7"/>
        <v/>
      </c>
      <c r="Y4" s="315" t="str">
        <f t="shared" ref="Y4:Y18" si="18">IF(B4&gt;1,J4/10&amp;" ml/uur","")</f>
        <v/>
      </c>
      <c r="Z4" s="315" t="str">
        <f t="shared" ref="Z4:Z17" si="19">IF(AND(B4&gt;1,H4&lt;&gt;""),(J4/10)*H4,"")</f>
        <v/>
      </c>
      <c r="AA4" s="315" t="str">
        <f t="shared" si="8"/>
        <v/>
      </c>
      <c r="AB4" s="315" t="str">
        <f t="shared" ref="AB4:AB18" si="20">IF(B4&gt;1,24*J4/10&amp;" ml","")</f>
        <v/>
      </c>
      <c r="AC4" s="315" t="str">
        <f t="shared" si="9"/>
        <v/>
      </c>
      <c r="AH4" s="315" t="b">
        <f t="shared" si="10"/>
        <v>0</v>
      </c>
      <c r="AI4" s="315" t="b">
        <f t="shared" si="11"/>
        <v>0</v>
      </c>
      <c r="AJ4" s="316" t="b">
        <f t="shared" si="12"/>
        <v>1</v>
      </c>
      <c r="AK4" s="315" t="b">
        <f t="shared" si="13"/>
        <v>1</v>
      </c>
    </row>
    <row r="5" spans="1:37" x14ac:dyDescent="0.2">
      <c r="A5">
        <v>3</v>
      </c>
      <c r="B5" s="338">
        <v>1</v>
      </c>
      <c r="C5" s="338">
        <v>4</v>
      </c>
      <c r="D5" s="338">
        <v>0</v>
      </c>
      <c r="E5" s="338">
        <v>0</v>
      </c>
      <c r="F5" s="338" t="str">
        <f t="shared" si="0"/>
        <v/>
      </c>
      <c r="G5" s="338" t="str">
        <f t="shared" si="1"/>
        <v/>
      </c>
      <c r="H5" s="338" t="str">
        <f t="shared" si="2"/>
        <v/>
      </c>
      <c r="I5">
        <v>1</v>
      </c>
      <c r="J5">
        <v>0</v>
      </c>
      <c r="K5">
        <f>IF(PedGuiMedIV!E11&lt;&gt;0,24*J5/10,0)</f>
        <v>0</v>
      </c>
      <c r="L5">
        <f>IF(PedBerMedIV!$I5=3,PedBerMedIV!K5*0.05,0)</f>
        <v>0</v>
      </c>
      <c r="M5">
        <f>IF(PedBerMedIV!$I5=4,PedBerMedIV!K5*0.1,0)</f>
        <v>0</v>
      </c>
      <c r="N5">
        <f>IF(PedBerMedIV!$I5=2,PedBerMedIV!K5*0.155,0)</f>
        <v>0</v>
      </c>
      <c r="O5">
        <f t="shared" si="3"/>
        <v>0</v>
      </c>
      <c r="P5">
        <f t="shared" si="14"/>
        <v>0</v>
      </c>
      <c r="Q5">
        <f t="shared" si="4"/>
        <v>0</v>
      </c>
      <c r="R5">
        <f t="shared" si="5"/>
        <v>0</v>
      </c>
      <c r="S5" s="315" t="str">
        <f t="shared" si="15"/>
        <v/>
      </c>
      <c r="T5" s="315" t="str">
        <f t="shared" si="16"/>
        <v/>
      </c>
      <c r="U5" s="315" t="str">
        <f t="shared" si="6"/>
        <v/>
      </c>
      <c r="V5" s="315" t="str">
        <f>IF(B5&gt;1,F5&amp;" "&amp;INDEX(tblMedicationContIV,PedBerMedIV!$B5,4), "")</f>
        <v/>
      </c>
      <c r="W5" s="315" t="str">
        <f t="shared" si="17"/>
        <v/>
      </c>
      <c r="X5" s="315" t="str">
        <f t="shared" si="7"/>
        <v/>
      </c>
      <c r="Y5" s="315" t="str">
        <f t="shared" si="18"/>
        <v/>
      </c>
      <c r="Z5" s="315" t="str">
        <f t="shared" si="19"/>
        <v/>
      </c>
      <c r="AA5" s="315" t="str">
        <f t="shared" si="8"/>
        <v/>
      </c>
      <c r="AB5" s="315" t="str">
        <f t="shared" si="20"/>
        <v/>
      </c>
      <c r="AC5" s="315" t="str">
        <f t="shared" si="9"/>
        <v/>
      </c>
      <c r="AH5" s="315" t="b">
        <f t="shared" si="10"/>
        <v>0</v>
      </c>
      <c r="AI5" s="315" t="b">
        <f t="shared" si="11"/>
        <v>0</v>
      </c>
      <c r="AJ5" s="316" t="b">
        <f t="shared" si="12"/>
        <v>1</v>
      </c>
      <c r="AK5" s="315" t="b">
        <f t="shared" si="13"/>
        <v>1</v>
      </c>
    </row>
    <row r="6" spans="1:37" x14ac:dyDescent="0.2">
      <c r="A6" s="356">
        <v>4</v>
      </c>
      <c r="B6" s="338">
        <v>1</v>
      </c>
      <c r="C6" s="338">
        <v>5</v>
      </c>
      <c r="D6" s="338">
        <v>0</v>
      </c>
      <c r="E6" s="338">
        <v>0</v>
      </c>
      <c r="F6" s="338" t="str">
        <f t="shared" si="0"/>
        <v/>
      </c>
      <c r="G6" s="338" t="str">
        <f t="shared" si="1"/>
        <v/>
      </c>
      <c r="H6" s="338" t="str">
        <f t="shared" si="2"/>
        <v/>
      </c>
      <c r="I6">
        <v>1</v>
      </c>
      <c r="J6">
        <v>0</v>
      </c>
      <c r="K6">
        <f>IF(PedGuiMedIV!E12&lt;&gt;0,24*J6/10,0)</f>
        <v>0</v>
      </c>
      <c r="L6">
        <f>IF(PedBerMedIV!$I6=3,PedBerMedIV!K6*0.05,0)</f>
        <v>0</v>
      </c>
      <c r="M6">
        <f>IF(PedBerMedIV!$I6=4,PedBerMedIV!K6*0.1,0)</f>
        <v>0</v>
      </c>
      <c r="N6">
        <f>IF(PedBerMedIV!$I6=2,PedBerMedIV!K6*0.155,0)</f>
        <v>0</v>
      </c>
      <c r="O6">
        <f t="shared" si="3"/>
        <v>0</v>
      </c>
      <c r="P6">
        <f t="shared" si="14"/>
        <v>0</v>
      </c>
      <c r="Q6">
        <f t="shared" si="4"/>
        <v>0</v>
      </c>
      <c r="R6">
        <f t="shared" si="5"/>
        <v>0</v>
      </c>
      <c r="S6" s="315" t="str">
        <f t="shared" si="15"/>
        <v/>
      </c>
      <c r="T6" s="315" t="str">
        <f t="shared" si="16"/>
        <v/>
      </c>
      <c r="U6" s="315" t="str">
        <f t="shared" si="6"/>
        <v/>
      </c>
      <c r="V6" s="315" t="str">
        <f>IF(B6&gt;1,F6&amp;" "&amp;INDEX(tblMedicationContIV,PedBerMedIV!$B6,4), "")</f>
        <v/>
      </c>
      <c r="W6" s="315" t="str">
        <f t="shared" si="17"/>
        <v/>
      </c>
      <c r="X6" s="315" t="str">
        <f t="shared" si="7"/>
        <v/>
      </c>
      <c r="Y6" s="315" t="str">
        <f t="shared" si="18"/>
        <v/>
      </c>
      <c r="Z6" s="315" t="str">
        <f t="shared" si="19"/>
        <v/>
      </c>
      <c r="AA6" s="315" t="str">
        <f t="shared" si="8"/>
        <v/>
      </c>
      <c r="AB6" s="315" t="str">
        <f t="shared" si="20"/>
        <v/>
      </c>
      <c r="AC6" s="315" t="str">
        <f t="shared" si="9"/>
        <v/>
      </c>
      <c r="AH6" s="315" t="b">
        <f t="shared" si="10"/>
        <v>0</v>
      </c>
      <c r="AI6" s="315" t="b">
        <f t="shared" si="11"/>
        <v>0</v>
      </c>
      <c r="AJ6" s="316" t="b">
        <f t="shared" si="12"/>
        <v>1</v>
      </c>
      <c r="AK6" s="315" t="b">
        <f t="shared" si="13"/>
        <v>1</v>
      </c>
    </row>
    <row r="7" spans="1:37" x14ac:dyDescent="0.2">
      <c r="A7">
        <v>5</v>
      </c>
      <c r="B7" s="338">
        <v>1</v>
      </c>
      <c r="C7" s="338">
        <v>6</v>
      </c>
      <c r="D7" s="338">
        <v>0</v>
      </c>
      <c r="E7" s="338">
        <v>0</v>
      </c>
      <c r="F7" s="338" t="str">
        <f t="shared" si="0"/>
        <v/>
      </c>
      <c r="G7" s="338" t="str">
        <f t="shared" si="1"/>
        <v/>
      </c>
      <c r="H7" s="338" t="str">
        <f t="shared" si="2"/>
        <v/>
      </c>
      <c r="I7">
        <v>1</v>
      </c>
      <c r="J7">
        <v>0</v>
      </c>
      <c r="K7">
        <f>IF(PedGuiMedIV!E13&lt;&gt;0,24*J7/10,0)</f>
        <v>0</v>
      </c>
      <c r="L7">
        <f>IF(PedBerMedIV!$I7=3,PedBerMedIV!K7*0.05,0)</f>
        <v>0</v>
      </c>
      <c r="M7">
        <f>IF(PedBerMedIV!$I7=4,PedBerMedIV!K7*0.1,0)</f>
        <v>0</v>
      </c>
      <c r="N7">
        <f>IF(PedBerMedIV!$I7=2,PedBerMedIV!K7*0.155,0)</f>
        <v>0</v>
      </c>
      <c r="O7">
        <f t="shared" si="3"/>
        <v>0</v>
      </c>
      <c r="P7">
        <f t="shared" si="14"/>
        <v>0</v>
      </c>
      <c r="Q7">
        <f t="shared" si="4"/>
        <v>0</v>
      </c>
      <c r="R7">
        <f t="shared" si="5"/>
        <v>0</v>
      </c>
      <c r="S7" s="315" t="str">
        <f t="shared" si="15"/>
        <v/>
      </c>
      <c r="T7" s="315" t="str">
        <f t="shared" si="16"/>
        <v/>
      </c>
      <c r="U7" s="315" t="str">
        <f t="shared" si="6"/>
        <v/>
      </c>
      <c r="V7" s="315" t="str">
        <f>IF(B7&gt;1,F7&amp;" "&amp;INDEX(tblMedicationContIV,PedBerMedIV!$B7,4), "")</f>
        <v/>
      </c>
      <c r="W7" s="315" t="str">
        <f t="shared" si="17"/>
        <v/>
      </c>
      <c r="X7" s="315" t="str">
        <f t="shared" si="7"/>
        <v/>
      </c>
      <c r="Y7" s="315" t="str">
        <f t="shared" si="18"/>
        <v/>
      </c>
      <c r="Z7" s="315" t="str">
        <f t="shared" si="19"/>
        <v/>
      </c>
      <c r="AA7" s="315" t="str">
        <f t="shared" si="8"/>
        <v/>
      </c>
      <c r="AB7" s="315" t="str">
        <f t="shared" si="20"/>
        <v/>
      </c>
      <c r="AC7" s="315" t="str">
        <f t="shared" si="9"/>
        <v/>
      </c>
      <c r="AH7" s="315" t="b">
        <f t="shared" si="10"/>
        <v>0</v>
      </c>
      <c r="AI7" s="315" t="b">
        <f t="shared" si="11"/>
        <v>0</v>
      </c>
      <c r="AJ7" s="316" t="b">
        <f t="shared" si="12"/>
        <v>1</v>
      </c>
      <c r="AK7" s="315" t="b">
        <f t="shared" si="13"/>
        <v>1</v>
      </c>
    </row>
    <row r="8" spans="1:37" x14ac:dyDescent="0.2">
      <c r="A8">
        <v>6</v>
      </c>
      <c r="B8" s="338">
        <v>1</v>
      </c>
      <c r="C8" s="338">
        <v>7</v>
      </c>
      <c r="D8" s="338">
        <v>0</v>
      </c>
      <c r="E8" s="338">
        <v>0</v>
      </c>
      <c r="F8" s="338" t="str">
        <f t="shared" si="0"/>
        <v/>
      </c>
      <c r="G8" s="338" t="str">
        <f t="shared" si="1"/>
        <v/>
      </c>
      <c r="H8" s="338" t="str">
        <f t="shared" si="2"/>
        <v/>
      </c>
      <c r="I8">
        <v>1</v>
      </c>
      <c r="J8">
        <v>0</v>
      </c>
      <c r="K8">
        <f>IF(PedGuiMedIV!E14&lt;&gt;0,24*J8/10,0)</f>
        <v>0</v>
      </c>
      <c r="L8">
        <f>IF(PedBerMedIV!$I8=3,PedBerMedIV!K8*0.05,0)</f>
        <v>0</v>
      </c>
      <c r="M8">
        <f>IF(PedBerMedIV!$I8=4,PedBerMedIV!K8*0.1,0)</f>
        <v>0</v>
      </c>
      <c r="N8">
        <f>IF(PedBerMedIV!$I8=2,PedBerMedIV!K8*0.155,0)</f>
        <v>0</v>
      </c>
      <c r="O8">
        <f t="shared" si="3"/>
        <v>0</v>
      </c>
      <c r="P8">
        <f t="shared" si="14"/>
        <v>0</v>
      </c>
      <c r="Q8">
        <f t="shared" si="4"/>
        <v>0</v>
      </c>
      <c r="R8">
        <f t="shared" si="5"/>
        <v>0</v>
      </c>
      <c r="S8" s="315" t="str">
        <f t="shared" si="15"/>
        <v/>
      </c>
      <c r="T8" s="315" t="str">
        <f t="shared" si="16"/>
        <v/>
      </c>
      <c r="U8" s="315" t="str">
        <f t="shared" si="6"/>
        <v/>
      </c>
      <c r="V8" s="315" t="str">
        <f>IF(B8&gt;1,F8&amp;" "&amp;INDEX(tblMedicationContIV,PedBerMedIV!$B8,4), "")</f>
        <v/>
      </c>
      <c r="W8" s="315" t="str">
        <f t="shared" si="17"/>
        <v/>
      </c>
      <c r="X8" s="315" t="str">
        <f t="shared" si="7"/>
        <v/>
      </c>
      <c r="Y8" s="315" t="str">
        <f t="shared" si="18"/>
        <v/>
      </c>
      <c r="Z8" s="315" t="str">
        <f t="shared" si="19"/>
        <v/>
      </c>
      <c r="AA8" s="315" t="str">
        <f t="shared" si="8"/>
        <v/>
      </c>
      <c r="AB8" s="315" t="str">
        <f t="shared" si="20"/>
        <v/>
      </c>
      <c r="AC8" s="315" t="str">
        <f t="shared" si="9"/>
        <v/>
      </c>
      <c r="AH8" s="315" t="b">
        <f t="shared" si="10"/>
        <v>0</v>
      </c>
      <c r="AI8" s="315" t="b">
        <f t="shared" si="11"/>
        <v>0</v>
      </c>
      <c r="AJ8" s="316" t="b">
        <f t="shared" si="12"/>
        <v>1</v>
      </c>
      <c r="AK8" s="315" t="b">
        <f t="shared" si="13"/>
        <v>1</v>
      </c>
    </row>
    <row r="9" spans="1:37" x14ac:dyDescent="0.2">
      <c r="A9">
        <v>7</v>
      </c>
      <c r="B9" s="338">
        <v>1</v>
      </c>
      <c r="C9" s="338">
        <v>8</v>
      </c>
      <c r="D9" s="338">
        <v>0</v>
      </c>
      <c r="E9" s="338">
        <v>0</v>
      </c>
      <c r="F9" s="338" t="str">
        <f t="shared" si="0"/>
        <v/>
      </c>
      <c r="G9" s="338" t="str">
        <f t="shared" si="1"/>
        <v/>
      </c>
      <c r="H9" s="338" t="str">
        <f t="shared" si="2"/>
        <v/>
      </c>
      <c r="I9">
        <v>1</v>
      </c>
      <c r="J9">
        <v>0</v>
      </c>
      <c r="K9">
        <f>IF(PedGuiMedIV!E15&lt;&gt;0,24*J9/10,0)</f>
        <v>0</v>
      </c>
      <c r="L9">
        <f>IF(PedBerMedIV!$I9=3,PedBerMedIV!K9*0.05,0)</f>
        <v>0</v>
      </c>
      <c r="M9">
        <f>IF(PedBerMedIV!$I9=4,PedBerMedIV!K9*0.1,0)</f>
        <v>0</v>
      </c>
      <c r="N9">
        <f>IF(PedBerMedIV!$I9=2,PedBerMedIV!K9*0.155,0)</f>
        <v>0</v>
      </c>
      <c r="O9">
        <f t="shared" si="3"/>
        <v>0</v>
      </c>
      <c r="P9">
        <f t="shared" si="14"/>
        <v>0</v>
      </c>
      <c r="Q9">
        <f t="shared" si="4"/>
        <v>0</v>
      </c>
      <c r="R9">
        <f t="shared" si="5"/>
        <v>0</v>
      </c>
      <c r="S9" s="315" t="str">
        <f t="shared" si="15"/>
        <v/>
      </c>
      <c r="T9" s="315" t="str">
        <f t="shared" si="16"/>
        <v/>
      </c>
      <c r="U9" s="315" t="str">
        <f t="shared" si="6"/>
        <v/>
      </c>
      <c r="V9" s="315" t="str">
        <f>IF(B9&gt;1,F9&amp;" "&amp;INDEX(tblMedicationContIV,PedBerMedIV!$B9,4), "")</f>
        <v/>
      </c>
      <c r="W9" s="315" t="str">
        <f t="shared" si="17"/>
        <v/>
      </c>
      <c r="X9" s="315" t="str">
        <f t="shared" si="7"/>
        <v/>
      </c>
      <c r="Y9" s="315" t="str">
        <f t="shared" si="18"/>
        <v/>
      </c>
      <c r="Z9" s="315" t="str">
        <f t="shared" si="19"/>
        <v/>
      </c>
      <c r="AA9" s="315" t="str">
        <f t="shared" si="8"/>
        <v/>
      </c>
      <c r="AB9" s="315" t="str">
        <f t="shared" si="20"/>
        <v/>
      </c>
      <c r="AC9" s="315" t="str">
        <f t="shared" si="9"/>
        <v/>
      </c>
      <c r="AH9" s="315" t="b">
        <f t="shared" si="10"/>
        <v>0</v>
      </c>
      <c r="AI9" s="315" t="b">
        <f t="shared" si="11"/>
        <v>0</v>
      </c>
      <c r="AJ9" s="316" t="b">
        <f t="shared" si="12"/>
        <v>1</v>
      </c>
      <c r="AK9" s="315" t="b">
        <f t="shared" si="13"/>
        <v>1</v>
      </c>
    </row>
    <row r="10" spans="1:37" x14ac:dyDescent="0.2">
      <c r="A10">
        <v>8</v>
      </c>
      <c r="B10" s="338">
        <v>1</v>
      </c>
      <c r="C10" s="338">
        <v>9</v>
      </c>
      <c r="D10" s="338">
        <v>0</v>
      </c>
      <c r="E10" s="338">
        <v>0</v>
      </c>
      <c r="F10" s="338" t="str">
        <f t="shared" si="0"/>
        <v/>
      </c>
      <c r="G10" s="338" t="str">
        <f t="shared" si="1"/>
        <v/>
      </c>
      <c r="H10" s="338" t="str">
        <f t="shared" si="2"/>
        <v/>
      </c>
      <c r="I10">
        <v>1</v>
      </c>
      <c r="J10">
        <v>0</v>
      </c>
      <c r="K10">
        <f>IF(PedGuiMedIV!E16&lt;&gt;0,24*J10/10,0)</f>
        <v>0</v>
      </c>
      <c r="L10">
        <f>IF(PedBerMedIV!$I10=3,PedBerMedIV!K10*0.05,0)</f>
        <v>0</v>
      </c>
      <c r="M10">
        <f>IF(PedBerMedIV!$I10=4,PedBerMedIV!K10*0.1,0)</f>
        <v>0</v>
      </c>
      <c r="N10">
        <f>IF(PedBerMedIV!$I10=2,PedBerMedIV!K10*0.155,0)</f>
        <v>0</v>
      </c>
      <c r="O10">
        <f t="shared" si="3"/>
        <v>0</v>
      </c>
      <c r="P10">
        <f t="shared" si="14"/>
        <v>0</v>
      </c>
      <c r="Q10">
        <f t="shared" si="4"/>
        <v>0</v>
      </c>
      <c r="R10">
        <f t="shared" si="5"/>
        <v>0</v>
      </c>
      <c r="S10" s="315" t="str">
        <f t="shared" si="15"/>
        <v/>
      </c>
      <c r="T10" s="315" t="str">
        <f t="shared" si="16"/>
        <v/>
      </c>
      <c r="U10" s="315" t="str">
        <f t="shared" si="6"/>
        <v/>
      </c>
      <c r="V10" s="315" t="str">
        <f>IF(B10&gt;1,F10&amp;" "&amp;INDEX(tblMedicationContIV,PedBerMedIV!$B10,4), "")</f>
        <v/>
      </c>
      <c r="W10" s="315" t="str">
        <f t="shared" si="17"/>
        <v/>
      </c>
      <c r="X10" s="315" t="str">
        <f t="shared" si="7"/>
        <v/>
      </c>
      <c r="Y10" s="315" t="str">
        <f t="shared" si="18"/>
        <v/>
      </c>
      <c r="Z10" s="315" t="str">
        <f t="shared" si="19"/>
        <v/>
      </c>
      <c r="AA10" s="315" t="str">
        <f t="shared" si="8"/>
        <v/>
      </c>
      <c r="AB10" s="315" t="str">
        <f t="shared" si="20"/>
        <v/>
      </c>
      <c r="AC10" s="315" t="str">
        <f t="shared" si="9"/>
        <v/>
      </c>
      <c r="AH10" s="315" t="b">
        <f t="shared" si="10"/>
        <v>0</v>
      </c>
      <c r="AI10" s="315" t="b">
        <f t="shared" si="11"/>
        <v>0</v>
      </c>
      <c r="AJ10" s="316" t="b">
        <f t="shared" si="12"/>
        <v>1</v>
      </c>
      <c r="AK10" s="315" t="b">
        <f t="shared" si="13"/>
        <v>1</v>
      </c>
    </row>
    <row r="11" spans="1:37" x14ac:dyDescent="0.2">
      <c r="A11">
        <v>9</v>
      </c>
      <c r="B11" s="338">
        <v>1</v>
      </c>
      <c r="C11" s="338">
        <v>10</v>
      </c>
      <c r="D11" s="338">
        <v>0</v>
      </c>
      <c r="E11" s="338">
        <v>0</v>
      </c>
      <c r="F11" s="338" t="str">
        <f t="shared" si="0"/>
        <v/>
      </c>
      <c r="G11" s="338" t="str">
        <f t="shared" si="1"/>
        <v/>
      </c>
      <c r="H11" s="338" t="str">
        <f t="shared" si="2"/>
        <v/>
      </c>
      <c r="I11">
        <v>1</v>
      </c>
      <c r="J11">
        <v>0</v>
      </c>
      <c r="K11">
        <f>IF(PedGuiMedIV!E17&lt;&gt;0,24*J11/10,0)</f>
        <v>0</v>
      </c>
      <c r="L11">
        <f>IF(PedBerMedIV!$I11=3,PedBerMedIV!K11*0.05,0)</f>
        <v>0</v>
      </c>
      <c r="M11">
        <f>IF(PedBerMedIV!$I11=4,PedBerMedIV!K11*0.1,0)</f>
        <v>0</v>
      </c>
      <c r="N11">
        <f>IF(PedBerMedIV!$I11=2,PedBerMedIV!K11*0.155,0)</f>
        <v>0</v>
      </c>
      <c r="O11">
        <f t="shared" si="3"/>
        <v>0</v>
      </c>
      <c r="P11">
        <f t="shared" si="14"/>
        <v>0</v>
      </c>
      <c r="Q11">
        <f t="shared" si="4"/>
        <v>0</v>
      </c>
      <c r="R11">
        <f t="shared" si="5"/>
        <v>0</v>
      </c>
      <c r="S11" s="315" t="str">
        <f t="shared" si="15"/>
        <v/>
      </c>
      <c r="T11" s="315" t="str">
        <f t="shared" si="16"/>
        <v/>
      </c>
      <c r="U11" s="315" t="str">
        <f t="shared" si="6"/>
        <v/>
      </c>
      <c r="V11" s="315" t="str">
        <f>IF(B11&gt;1,F11&amp;" "&amp;INDEX(tblMedicationContIV,PedBerMedIV!$B11,4), "")</f>
        <v/>
      </c>
      <c r="W11" s="315" t="str">
        <f t="shared" si="17"/>
        <v/>
      </c>
      <c r="X11" s="315" t="str">
        <f t="shared" si="7"/>
        <v/>
      </c>
      <c r="Y11" s="315" t="str">
        <f t="shared" si="18"/>
        <v/>
      </c>
      <c r="Z11" s="315" t="str">
        <f t="shared" si="19"/>
        <v/>
      </c>
      <c r="AA11" s="315" t="str">
        <f t="shared" si="8"/>
        <v/>
      </c>
      <c r="AB11" s="315" t="str">
        <f t="shared" si="20"/>
        <v/>
      </c>
      <c r="AC11" s="315" t="str">
        <f t="shared" si="9"/>
        <v/>
      </c>
      <c r="AH11" s="315" t="b">
        <f t="shared" si="10"/>
        <v>0</v>
      </c>
      <c r="AI11" s="315" t="b">
        <f t="shared" si="11"/>
        <v>0</v>
      </c>
      <c r="AJ11" s="316" t="b">
        <f t="shared" si="12"/>
        <v>1</v>
      </c>
      <c r="AK11" s="315" t="b">
        <f t="shared" si="13"/>
        <v>1</v>
      </c>
    </row>
    <row r="12" spans="1:37" x14ac:dyDescent="0.2">
      <c r="A12">
        <v>10</v>
      </c>
      <c r="B12" s="338">
        <v>1</v>
      </c>
      <c r="C12" s="338">
        <v>11</v>
      </c>
      <c r="D12" s="338">
        <v>0</v>
      </c>
      <c r="E12" s="338">
        <v>0</v>
      </c>
      <c r="F12" s="338" t="str">
        <f t="shared" si="0"/>
        <v/>
      </c>
      <c r="G12" s="338" t="str">
        <f t="shared" si="1"/>
        <v/>
      </c>
      <c r="H12" s="338" t="str">
        <f t="shared" si="2"/>
        <v/>
      </c>
      <c r="I12">
        <v>1</v>
      </c>
      <c r="J12">
        <v>0</v>
      </c>
      <c r="K12">
        <f>IF(PedGuiMedIV!E18&lt;&gt;0,24*J12/10,0)</f>
        <v>0</v>
      </c>
      <c r="L12">
        <f>IF(PedBerMedIV!$I12=3,PedBerMedIV!K12*0.05,0)</f>
        <v>0</v>
      </c>
      <c r="M12">
        <f>IF(PedBerMedIV!$I12=4,PedBerMedIV!K12*0.1,0)</f>
        <v>0</v>
      </c>
      <c r="N12">
        <f>IF(PedBerMedIV!$I12=2,PedBerMedIV!K12*0.155,0)</f>
        <v>0</v>
      </c>
      <c r="O12">
        <f t="shared" si="3"/>
        <v>0</v>
      </c>
      <c r="P12">
        <f t="shared" si="14"/>
        <v>0</v>
      </c>
      <c r="Q12">
        <f t="shared" si="4"/>
        <v>0</v>
      </c>
      <c r="R12">
        <f t="shared" si="5"/>
        <v>0</v>
      </c>
      <c r="S12" s="315" t="str">
        <f t="shared" si="15"/>
        <v/>
      </c>
      <c r="T12" s="315" t="str">
        <f t="shared" si="16"/>
        <v/>
      </c>
      <c r="U12" s="315" t="str">
        <f t="shared" si="6"/>
        <v/>
      </c>
      <c r="V12" s="315" t="str">
        <f>IF(B12&gt;1,F12&amp;" "&amp;INDEX(tblMedicationContIV,PedBerMedIV!$B12,4), "")</f>
        <v/>
      </c>
      <c r="W12" s="315" t="str">
        <f t="shared" si="17"/>
        <v/>
      </c>
      <c r="X12" s="315" t="str">
        <f t="shared" si="7"/>
        <v/>
      </c>
      <c r="Y12" s="315" t="str">
        <f t="shared" si="18"/>
        <v/>
      </c>
      <c r="Z12" s="315" t="str">
        <f t="shared" si="19"/>
        <v/>
      </c>
      <c r="AA12" s="315" t="str">
        <f t="shared" si="8"/>
        <v/>
      </c>
      <c r="AB12" s="315" t="str">
        <f t="shared" si="20"/>
        <v/>
      </c>
      <c r="AC12" s="315" t="str">
        <f t="shared" si="9"/>
        <v/>
      </c>
      <c r="AH12" s="315" t="b">
        <f t="shared" si="10"/>
        <v>0</v>
      </c>
      <c r="AI12" s="315" t="b">
        <f t="shared" si="11"/>
        <v>0</v>
      </c>
      <c r="AJ12" s="316" t="b">
        <f t="shared" si="12"/>
        <v>1</v>
      </c>
      <c r="AK12" s="315" t="b">
        <f t="shared" si="13"/>
        <v>1</v>
      </c>
    </row>
    <row r="13" spans="1:37" s="315" customFormat="1" x14ac:dyDescent="0.2">
      <c r="A13" s="315">
        <v>11</v>
      </c>
      <c r="B13" s="338">
        <v>1</v>
      </c>
      <c r="C13" s="338">
        <v>12</v>
      </c>
      <c r="D13" s="338">
        <v>0</v>
      </c>
      <c r="E13" s="338">
        <v>0</v>
      </c>
      <c r="F13" s="338" t="str">
        <f t="shared" si="0"/>
        <v/>
      </c>
      <c r="G13" s="338" t="str">
        <f t="shared" si="1"/>
        <v/>
      </c>
      <c r="H13" s="338" t="str">
        <f t="shared" si="2"/>
        <v/>
      </c>
      <c r="I13" s="315">
        <v>1</v>
      </c>
      <c r="J13" s="315">
        <v>0</v>
      </c>
      <c r="K13" s="315">
        <f>IF(PedGuiMedIV!E19&lt;&gt;0,24*J13/10,0)</f>
        <v>0</v>
      </c>
      <c r="L13" s="315">
        <f>IF(PedBerMedIV!$I13=3,PedBerMedIV!K13*0.05,0)</f>
        <v>0</v>
      </c>
      <c r="M13" s="315">
        <f>IF(PedBerMedIV!$I13=4,PedBerMedIV!K13*0.1,0)</f>
        <v>0</v>
      </c>
      <c r="N13" s="315">
        <f>IF(PedBerMedIV!$I13=2,PedBerMedIV!K13*0.155,0)</f>
        <v>0</v>
      </c>
      <c r="O13" s="315">
        <f t="shared" ref="O13:O17" si="21">IF(OR($B13=24),0.5*$K13,IF(B13=4,K13*145/1000,0))</f>
        <v>0</v>
      </c>
      <c r="P13" s="315">
        <f t="shared" si="14"/>
        <v>0</v>
      </c>
      <c r="Q13" s="315">
        <f t="shared" si="4"/>
        <v>0</v>
      </c>
      <c r="R13" s="315">
        <f t="shared" ref="R13:R17" si="22">IF(OR(B13=20,B13=21),0.1*K13,0)</f>
        <v>0</v>
      </c>
      <c r="S13" s="315" t="str">
        <f t="shared" si="15"/>
        <v/>
      </c>
      <c r="T13" s="315" t="str">
        <f t="shared" si="16"/>
        <v/>
      </c>
      <c r="U13" s="315" t="str">
        <f t="shared" si="6"/>
        <v/>
      </c>
      <c r="V13" s="315" t="str">
        <f>IF(B13&gt;1,F13&amp;" "&amp;INDEX(tblMedicationContIV,PedBerMedIV!$B13,4), "")</f>
        <v/>
      </c>
      <c r="W13" s="315" t="str">
        <f t="shared" si="17"/>
        <v/>
      </c>
      <c r="X13" s="315" t="str">
        <f t="shared" si="7"/>
        <v/>
      </c>
      <c r="Y13" s="315" t="str">
        <f t="shared" si="18"/>
        <v/>
      </c>
      <c r="Z13" s="315" t="str">
        <f t="shared" si="19"/>
        <v/>
      </c>
      <c r="AA13" s="315" t="str">
        <f t="shared" si="8"/>
        <v/>
      </c>
      <c r="AB13" s="315" t="str">
        <f t="shared" si="20"/>
        <v/>
      </c>
      <c r="AC13" s="315" t="str">
        <f t="shared" si="9"/>
        <v/>
      </c>
      <c r="AH13" s="315" t="b">
        <f t="shared" si="10"/>
        <v>0</v>
      </c>
      <c r="AI13" s="315" t="b">
        <f t="shared" si="11"/>
        <v>0</v>
      </c>
      <c r="AJ13" s="316" t="b">
        <f t="shared" si="12"/>
        <v>1</v>
      </c>
      <c r="AK13" s="315" t="b">
        <f t="shared" si="13"/>
        <v>1</v>
      </c>
    </row>
    <row r="14" spans="1:37" s="315" customFormat="1" x14ac:dyDescent="0.2">
      <c r="A14" s="315">
        <v>12</v>
      </c>
      <c r="B14" s="338">
        <v>1</v>
      </c>
      <c r="C14" s="338">
        <v>13</v>
      </c>
      <c r="D14" s="338">
        <v>0</v>
      </c>
      <c r="E14" s="338">
        <v>0</v>
      </c>
      <c r="F14" s="338" t="str">
        <f t="shared" si="0"/>
        <v/>
      </c>
      <c r="G14" s="338" t="str">
        <f t="shared" si="1"/>
        <v/>
      </c>
      <c r="H14" s="338" t="str">
        <f t="shared" si="2"/>
        <v/>
      </c>
      <c r="I14" s="315">
        <v>1</v>
      </c>
      <c r="J14" s="315">
        <v>0</v>
      </c>
      <c r="K14" s="315">
        <f>IF(PedGuiMedIV!E20&lt;&gt;0,24*J14/10,0)</f>
        <v>0</v>
      </c>
      <c r="L14" s="315">
        <f>IF(PedBerMedIV!$I14=3,PedBerMedIV!K14*0.05,0)</f>
        <v>0</v>
      </c>
      <c r="M14" s="315">
        <f>IF(PedBerMedIV!$I14=4,PedBerMedIV!K14*0.1,0)</f>
        <v>0</v>
      </c>
      <c r="N14" s="315">
        <f>IF(PedBerMedIV!$I14=2,PedBerMedIV!K14*0.155,0)</f>
        <v>0</v>
      </c>
      <c r="O14" s="315">
        <f t="shared" si="21"/>
        <v>0</v>
      </c>
      <c r="P14" s="315">
        <f t="shared" si="14"/>
        <v>0</v>
      </c>
      <c r="Q14" s="315">
        <f t="shared" si="4"/>
        <v>0</v>
      </c>
      <c r="R14" s="315">
        <f t="shared" si="22"/>
        <v>0</v>
      </c>
      <c r="S14" s="315" t="str">
        <f t="shared" si="15"/>
        <v/>
      </c>
      <c r="T14" s="315" t="str">
        <f t="shared" si="16"/>
        <v/>
      </c>
      <c r="U14" s="315" t="str">
        <f t="shared" si="6"/>
        <v/>
      </c>
      <c r="V14" s="315" t="str">
        <f>IF(B14&gt;1,F14&amp;" "&amp;INDEX(tblMedicationContIV,PedBerMedIV!$B14,4), "")</f>
        <v/>
      </c>
      <c r="W14" s="315" t="str">
        <f t="shared" si="17"/>
        <v/>
      </c>
      <c r="X14" s="315" t="str">
        <f t="shared" si="7"/>
        <v/>
      </c>
      <c r="Y14" s="315" t="str">
        <f t="shared" si="18"/>
        <v/>
      </c>
      <c r="Z14" s="315" t="str">
        <f t="shared" si="19"/>
        <v/>
      </c>
      <c r="AA14" s="315" t="str">
        <f t="shared" si="8"/>
        <v/>
      </c>
      <c r="AB14" s="315" t="str">
        <f t="shared" si="20"/>
        <v/>
      </c>
      <c r="AC14" s="315" t="str">
        <f t="shared" si="9"/>
        <v/>
      </c>
      <c r="AH14" s="315" t="b">
        <f t="shared" si="10"/>
        <v>0</v>
      </c>
      <c r="AI14" s="315" t="b">
        <f t="shared" si="11"/>
        <v>0</v>
      </c>
      <c r="AJ14" s="316" t="b">
        <f t="shared" si="12"/>
        <v>1</v>
      </c>
      <c r="AK14" s="315" t="b">
        <f t="shared" si="13"/>
        <v>1</v>
      </c>
    </row>
    <row r="15" spans="1:37" s="315" customFormat="1" x14ac:dyDescent="0.2">
      <c r="A15" s="315">
        <v>13</v>
      </c>
      <c r="B15" s="338">
        <v>1</v>
      </c>
      <c r="C15" s="338">
        <v>14</v>
      </c>
      <c r="D15" s="338">
        <v>0</v>
      </c>
      <c r="E15" s="338">
        <v>0</v>
      </c>
      <c r="F15" s="338" t="str">
        <f t="shared" si="0"/>
        <v/>
      </c>
      <c r="G15" s="338" t="str">
        <f t="shared" si="1"/>
        <v/>
      </c>
      <c r="H15" s="338" t="str">
        <f t="shared" si="2"/>
        <v/>
      </c>
      <c r="I15" s="315">
        <v>1</v>
      </c>
      <c r="J15" s="315">
        <v>0</v>
      </c>
      <c r="K15" s="315">
        <f>IF(PedGuiMedIV!E21&lt;&gt;0,24*J15/10,0)</f>
        <v>0</v>
      </c>
      <c r="L15" s="315">
        <f>IF(PedBerMedIV!$I15=3,PedBerMedIV!K15*0.05,0)</f>
        <v>0</v>
      </c>
      <c r="M15" s="315">
        <f>IF(PedBerMedIV!$I15=4,PedBerMedIV!K15*0.1,0)</f>
        <v>0</v>
      </c>
      <c r="N15" s="315">
        <f>IF(PedBerMedIV!$I15=2,PedBerMedIV!K15*0.155,0)</f>
        <v>0</v>
      </c>
      <c r="O15" s="315">
        <f t="shared" si="21"/>
        <v>0</v>
      </c>
      <c r="P15" s="315">
        <f t="shared" si="14"/>
        <v>0</v>
      </c>
      <c r="Q15" s="315">
        <f t="shared" si="4"/>
        <v>0</v>
      </c>
      <c r="R15" s="315">
        <f t="shared" si="22"/>
        <v>0</v>
      </c>
      <c r="S15" s="315" t="str">
        <f t="shared" si="15"/>
        <v/>
      </c>
      <c r="T15" s="315" t="str">
        <f t="shared" si="16"/>
        <v/>
      </c>
      <c r="U15" s="315" t="str">
        <f t="shared" si="6"/>
        <v/>
      </c>
      <c r="V15" s="315" t="str">
        <f>IF(B15&gt;1,F15&amp;" "&amp;INDEX(tblMedicationContIV,PedBerMedIV!$B15,4), "")</f>
        <v/>
      </c>
      <c r="W15" s="315" t="str">
        <f t="shared" si="17"/>
        <v/>
      </c>
      <c r="X15" s="315" t="str">
        <f t="shared" si="7"/>
        <v/>
      </c>
      <c r="Y15" s="315" t="str">
        <f t="shared" si="18"/>
        <v/>
      </c>
      <c r="Z15" s="315" t="str">
        <f t="shared" si="19"/>
        <v/>
      </c>
      <c r="AA15" s="315" t="str">
        <f t="shared" si="8"/>
        <v/>
      </c>
      <c r="AB15" s="315" t="str">
        <f t="shared" si="20"/>
        <v/>
      </c>
      <c r="AC15" s="315" t="str">
        <f t="shared" si="9"/>
        <v/>
      </c>
      <c r="AH15" s="315" t="b">
        <f t="shared" si="10"/>
        <v>0</v>
      </c>
      <c r="AI15" s="315" t="b">
        <f t="shared" si="11"/>
        <v>0</v>
      </c>
      <c r="AJ15" s="316" t="b">
        <f t="shared" si="12"/>
        <v>1</v>
      </c>
      <c r="AK15" s="315" t="b">
        <f t="shared" si="13"/>
        <v>1</v>
      </c>
    </row>
    <row r="16" spans="1:37" s="315" customFormat="1" x14ac:dyDescent="0.2">
      <c r="A16" s="315">
        <v>14</v>
      </c>
      <c r="B16" s="338">
        <v>1</v>
      </c>
      <c r="C16" s="338">
        <v>15</v>
      </c>
      <c r="D16" s="338">
        <v>0</v>
      </c>
      <c r="E16" s="338">
        <v>0</v>
      </c>
      <c r="F16" s="338" t="str">
        <f t="shared" si="0"/>
        <v/>
      </c>
      <c r="G16" s="338" t="str">
        <f t="shared" si="1"/>
        <v/>
      </c>
      <c r="H16" s="338" t="str">
        <f t="shared" si="2"/>
        <v/>
      </c>
      <c r="I16" s="315">
        <v>1</v>
      </c>
      <c r="J16" s="315">
        <v>0</v>
      </c>
      <c r="K16" s="315">
        <f>IF(PedGuiMedIV!E22&lt;&gt;0,24*J16/10,0)</f>
        <v>0</v>
      </c>
      <c r="L16" s="315">
        <f>IF(PedBerMedIV!$I16=3,PedBerMedIV!K16*0.05,0)</f>
        <v>0</v>
      </c>
      <c r="M16" s="315">
        <f>IF(PedBerMedIV!$I16=4,PedBerMedIV!K16*0.1,0)</f>
        <v>0</v>
      </c>
      <c r="N16" s="315">
        <f>IF(PedBerMedIV!$I16=2,PedBerMedIV!K16*0.155,0)</f>
        <v>0</v>
      </c>
      <c r="O16" s="315">
        <f t="shared" si="21"/>
        <v>0</v>
      </c>
      <c r="P16" s="315">
        <f t="shared" si="14"/>
        <v>0</v>
      </c>
      <c r="Q16" s="315">
        <f t="shared" si="4"/>
        <v>0</v>
      </c>
      <c r="R16" s="315">
        <f t="shared" si="22"/>
        <v>0</v>
      </c>
      <c r="S16" s="315" t="str">
        <f t="shared" si="15"/>
        <v/>
      </c>
      <c r="T16" s="315" t="str">
        <f t="shared" si="16"/>
        <v/>
      </c>
      <c r="U16" s="315" t="str">
        <f t="shared" si="6"/>
        <v/>
      </c>
      <c r="V16" s="315" t="str">
        <f>IF(B16&gt;1,F16&amp;" "&amp;INDEX(tblMedicationContIV,PedBerMedIV!$B16,4), "")</f>
        <v/>
      </c>
      <c r="W16" s="315" t="str">
        <f t="shared" si="17"/>
        <v/>
      </c>
      <c r="X16" s="315" t="str">
        <f t="shared" si="7"/>
        <v/>
      </c>
      <c r="Y16" s="315" t="str">
        <f t="shared" si="18"/>
        <v/>
      </c>
      <c r="Z16" s="315" t="str">
        <f t="shared" si="19"/>
        <v/>
      </c>
      <c r="AA16" s="315" t="str">
        <f t="shared" si="8"/>
        <v/>
      </c>
      <c r="AB16" s="315" t="str">
        <f t="shared" si="20"/>
        <v/>
      </c>
      <c r="AC16" s="315" t="str">
        <f t="shared" si="9"/>
        <v/>
      </c>
      <c r="AH16" s="315" t="b">
        <f t="shared" si="10"/>
        <v>0</v>
      </c>
      <c r="AI16" s="315" t="b">
        <f t="shared" si="11"/>
        <v>0</v>
      </c>
      <c r="AJ16" s="316" t="b">
        <f t="shared" si="12"/>
        <v>1</v>
      </c>
      <c r="AK16" s="315" t="b">
        <f t="shared" si="13"/>
        <v>1</v>
      </c>
    </row>
    <row r="17" spans="1:37" s="315" customFormat="1" x14ac:dyDescent="0.2">
      <c r="A17" s="315">
        <v>15</v>
      </c>
      <c r="B17" s="338">
        <v>1</v>
      </c>
      <c r="C17" s="338">
        <v>16</v>
      </c>
      <c r="D17" s="338">
        <v>0</v>
      </c>
      <c r="E17" s="338">
        <v>0</v>
      </c>
      <c r="F17" s="338" t="str">
        <f t="shared" si="0"/>
        <v/>
      </c>
      <c r="G17" s="338" t="str">
        <f t="shared" si="1"/>
        <v/>
      </c>
      <c r="H17" s="338" t="str">
        <f t="shared" si="2"/>
        <v/>
      </c>
      <c r="I17" s="315">
        <v>1</v>
      </c>
      <c r="J17" s="315">
        <v>0</v>
      </c>
      <c r="K17" s="315">
        <f>IF(PedGuiMedIV!E23&lt;&gt;0,24*J17/10,0)</f>
        <v>0</v>
      </c>
      <c r="L17" s="315">
        <f>IF(PedBerMedIV!$I17=3,PedBerMedIV!K17*0.05,0)</f>
        <v>0</v>
      </c>
      <c r="M17" s="315">
        <f>IF(PedBerMedIV!$I17=4,PedBerMedIV!K17*0.1,0)</f>
        <v>0</v>
      </c>
      <c r="N17" s="315">
        <f>IF(PedBerMedIV!$I17=2,PedBerMedIV!K17*0.155,0)</f>
        <v>0</v>
      </c>
      <c r="O17" s="315">
        <f t="shared" si="21"/>
        <v>0</v>
      </c>
      <c r="P17" s="315">
        <f t="shared" si="14"/>
        <v>0</v>
      </c>
      <c r="Q17" s="315">
        <f t="shared" si="4"/>
        <v>0</v>
      </c>
      <c r="R17" s="315">
        <f t="shared" si="22"/>
        <v>0</v>
      </c>
      <c r="S17" s="315" t="str">
        <f t="shared" si="15"/>
        <v/>
      </c>
      <c r="T17" s="315" t="str">
        <f t="shared" si="16"/>
        <v/>
      </c>
      <c r="U17" s="315" t="str">
        <f t="shared" si="6"/>
        <v/>
      </c>
      <c r="V17" s="315" t="str">
        <f>IF(B17&gt;1,F17&amp;" "&amp;INDEX(tblMedicationContIV,PedBerMedIV!$B17,4), "")</f>
        <v/>
      </c>
      <c r="W17" s="315" t="str">
        <f t="shared" si="17"/>
        <v/>
      </c>
      <c r="X17" s="315" t="str">
        <f t="shared" si="7"/>
        <v/>
      </c>
      <c r="Y17" s="315" t="str">
        <f t="shared" si="18"/>
        <v/>
      </c>
      <c r="Z17" s="315" t="str">
        <f t="shared" si="19"/>
        <v/>
      </c>
      <c r="AA17" s="315" t="str">
        <f t="shared" si="8"/>
        <v/>
      </c>
      <c r="AB17" s="315" t="str">
        <f t="shared" si="20"/>
        <v/>
      </c>
      <c r="AC17" s="315" t="str">
        <f t="shared" si="9"/>
        <v/>
      </c>
      <c r="AH17" s="315" t="b">
        <f t="shared" si="10"/>
        <v>0</v>
      </c>
      <c r="AI17" s="315" t="b">
        <f t="shared" si="11"/>
        <v>0</v>
      </c>
      <c r="AJ17" s="316" t="b">
        <f t="shared" si="12"/>
        <v>1</v>
      </c>
      <c r="AK17" s="315" t="b">
        <f t="shared" si="13"/>
        <v>1</v>
      </c>
    </row>
    <row r="18" spans="1:37" s="588" customFormat="1" x14ac:dyDescent="0.2">
      <c r="A18" s="588">
        <v>16</v>
      </c>
      <c r="D18" s="589">
        <v>0</v>
      </c>
      <c r="E18" s="588">
        <v>0</v>
      </c>
      <c r="I18" s="588">
        <v>1</v>
      </c>
      <c r="J18" s="588">
        <v>0</v>
      </c>
      <c r="K18" s="588">
        <f>IF(PedGuiMedIV!E25&lt;&gt;"",J18/10*24,0)</f>
        <v>0</v>
      </c>
      <c r="L18" s="588">
        <f>IF(PedBerMedIV!$I18=3,PedBerMedIV!K18*0.05,0)</f>
        <v>0</v>
      </c>
      <c r="M18" s="588">
        <f>IF(PedBerMedIV!$I18=4,PedBerMedIV!K18*0.1,0)</f>
        <v>0</v>
      </c>
      <c r="N18" s="588">
        <f>IF(PedBerMedIV!$I18=2,PedBerMedIV!K18*0.155,0)</f>
        <v>0</v>
      </c>
      <c r="O18" s="588">
        <f t="shared" si="3"/>
        <v>0</v>
      </c>
      <c r="P18" s="588">
        <f t="shared" si="14"/>
        <v>0</v>
      </c>
      <c r="Q18" s="588">
        <f t="shared" si="4"/>
        <v>0</v>
      </c>
      <c r="R18" s="588">
        <f t="shared" si="5"/>
        <v>0</v>
      </c>
      <c r="S18" s="588" t="str">
        <f t="shared" si="15"/>
        <v/>
      </c>
      <c r="U18" s="588" t="str">
        <f>IF(B18&lt;&gt;"",B18,"")</f>
        <v/>
      </c>
      <c r="V18" s="588">
        <f>IF(D18="","",D18)</f>
        <v>0</v>
      </c>
      <c r="W18" s="588" t="str">
        <f>IF(B18&lt;&gt;"",E18&amp;" ml","")</f>
        <v/>
      </c>
      <c r="X18" s="588" t="str">
        <f t="shared" si="7"/>
        <v/>
      </c>
      <c r="Y18" s="588" t="str">
        <f t="shared" si="18"/>
        <v/>
      </c>
      <c r="Z18" s="588" t="str">
        <f>IFERROR(ROUND((J18/10)*AE18/E18/(_Pat_Gewicht/10),3)&amp;" "&amp;AF18&amp;"/kg/uur "&amp;"("&amp;ROUND((J18/10/60)*AE18/E18/(_Pat_Gewicht/10),3)&amp;" "&amp;AF18&amp;"/kg/min)","")</f>
        <v/>
      </c>
      <c r="AB18" s="588" t="str">
        <f t="shared" si="20"/>
        <v/>
      </c>
      <c r="AE18" s="588" t="e">
        <f t="shared" ref="AE18:AE22" si="23">LEFT(D18,FIND(" ",D18))</f>
        <v>#VALUE!</v>
      </c>
      <c r="AF18" s="588" t="e">
        <f t="shared" ref="AF18:AF22" si="24">MID(D18, FIND(" ",D18), LEN(D18) - FIND(" ",D18) + 1)</f>
        <v>#VALUE!</v>
      </c>
    </row>
    <row r="19" spans="1:37" s="588" customFormat="1" x14ac:dyDescent="0.2">
      <c r="A19" s="588">
        <v>17</v>
      </c>
      <c r="D19" s="588">
        <v>0</v>
      </c>
      <c r="E19" s="588">
        <v>0</v>
      </c>
      <c r="I19" s="588">
        <v>1</v>
      </c>
      <c r="J19" s="588">
        <v>0</v>
      </c>
      <c r="K19" s="588">
        <f>IF(PedGuiMedIV!E26&lt;&gt;"",J19/10*24,0)</f>
        <v>0</v>
      </c>
      <c r="L19" s="588">
        <f>IF(PedBerMedIV!$I19=3,PedBerMedIV!K19*0.05,0)</f>
        <v>0</v>
      </c>
      <c r="M19" s="588">
        <f>IF(PedBerMedIV!$I19=4,PedBerMedIV!K19*0.1,0)</f>
        <v>0</v>
      </c>
      <c r="N19" s="588">
        <f>IF(PedBerMedIV!$I19=2,PedBerMedIV!K19*0.155,0)</f>
        <v>0</v>
      </c>
      <c r="O19" s="588">
        <f t="shared" si="3"/>
        <v>0</v>
      </c>
      <c r="P19" s="588">
        <f t="shared" si="14"/>
        <v>0</v>
      </c>
      <c r="Q19" s="588">
        <f t="shared" si="4"/>
        <v>0</v>
      </c>
      <c r="R19" s="588">
        <f t="shared" si="5"/>
        <v>0</v>
      </c>
      <c r="S19" s="588" t="str">
        <f t="shared" ref="S19:S22" si="25">IF(B19&gt;1,"verw","")</f>
        <v/>
      </c>
      <c r="U19" s="588" t="str">
        <f t="shared" ref="U19:U22" si="26">IF(B19&lt;&gt;"",B19,"")</f>
        <v/>
      </c>
      <c r="V19" s="588">
        <f t="shared" ref="V19:V22" si="27">IF(D19="","",D19)</f>
        <v>0</v>
      </c>
      <c r="W19" s="588" t="str">
        <f t="shared" ref="W19:W22" si="28">IF(B19&lt;&gt;"",E19&amp;" ml","")</f>
        <v/>
      </c>
      <c r="X19" s="588" t="str">
        <f t="shared" si="7"/>
        <v/>
      </c>
      <c r="Y19" s="588" t="str">
        <f t="shared" ref="Y19:Y22" si="29">IF(B19&gt;1,J19/10&amp;" ml/uur","")</f>
        <v/>
      </c>
      <c r="Z19" s="588" t="str">
        <f>IFERROR(ROUND((J19/10)*AE19/E19/(_Pat_Gewicht/10),3)&amp;" "&amp;AF19&amp;"/kg/uur "&amp;"("&amp;ROUND((J19/10/60)*AE19/E19/(_Pat_Gewicht/10),3)&amp;" "&amp;AF19&amp;"/kg/min)","")</f>
        <v/>
      </c>
      <c r="AB19" s="588" t="str">
        <f t="shared" ref="AB19:AB22" si="30">IF(B19&gt;1,24*J19/10&amp;" ml","")</f>
        <v/>
      </c>
      <c r="AE19" s="588" t="e">
        <f t="shared" si="23"/>
        <v>#VALUE!</v>
      </c>
      <c r="AF19" s="588" t="e">
        <f t="shared" si="24"/>
        <v>#VALUE!</v>
      </c>
    </row>
    <row r="20" spans="1:37" s="588" customFormat="1" x14ac:dyDescent="0.2">
      <c r="A20" s="588">
        <v>18</v>
      </c>
      <c r="D20" s="588">
        <v>0</v>
      </c>
      <c r="E20" s="588">
        <v>0</v>
      </c>
      <c r="I20" s="588">
        <v>1</v>
      </c>
      <c r="J20" s="588">
        <v>0</v>
      </c>
      <c r="K20" s="588">
        <f>IF(PedGuiMedIV!E27&lt;&gt;"",J20/10*24,0)</f>
        <v>0</v>
      </c>
      <c r="L20" s="588">
        <f>IF(PedBerMedIV!$I20=3,PedBerMedIV!K20*0.05,0)</f>
        <v>0</v>
      </c>
      <c r="M20" s="588">
        <f>IF(PedBerMedIV!$I20=4,PedBerMedIV!K20*0.1,0)</f>
        <v>0</v>
      </c>
      <c r="N20" s="588">
        <f>IF(PedBerMedIV!$I20=2,PedBerMedIV!K20*0.155,0)</f>
        <v>0</v>
      </c>
      <c r="O20" s="588">
        <f t="shared" si="3"/>
        <v>0</v>
      </c>
      <c r="P20" s="588">
        <f t="shared" si="14"/>
        <v>0</v>
      </c>
      <c r="Q20" s="588">
        <f t="shared" si="4"/>
        <v>0</v>
      </c>
      <c r="R20" s="588">
        <f t="shared" si="5"/>
        <v>0</v>
      </c>
      <c r="S20" s="588" t="str">
        <f t="shared" si="25"/>
        <v/>
      </c>
      <c r="U20" s="588" t="str">
        <f t="shared" si="26"/>
        <v/>
      </c>
      <c r="V20" s="588">
        <f t="shared" si="27"/>
        <v>0</v>
      </c>
      <c r="W20" s="588" t="str">
        <f t="shared" si="28"/>
        <v/>
      </c>
      <c r="X20" s="588" t="str">
        <f t="shared" si="7"/>
        <v/>
      </c>
      <c r="Y20" s="588" t="str">
        <f t="shared" si="29"/>
        <v/>
      </c>
      <c r="Z20" s="588" t="str">
        <f>IFERROR(ROUND((J20/10)*AE20/E20/(_Pat_Gewicht/10),3)&amp;" "&amp;AF20&amp;"/kg/uur "&amp;"("&amp;ROUND((J20/10/60)*AE20/E20/(_Pat_Gewicht/10),3)&amp;" "&amp;AF20&amp;"/kg/min)","")</f>
        <v/>
      </c>
      <c r="AB20" s="588" t="str">
        <f t="shared" si="30"/>
        <v/>
      </c>
      <c r="AE20" s="588" t="e">
        <f t="shared" si="23"/>
        <v>#VALUE!</v>
      </c>
      <c r="AF20" s="588" t="e">
        <f t="shared" si="24"/>
        <v>#VALUE!</v>
      </c>
    </row>
    <row r="21" spans="1:37" s="588" customFormat="1" x14ac:dyDescent="0.2">
      <c r="A21" s="588">
        <v>19</v>
      </c>
      <c r="D21" s="588">
        <v>0</v>
      </c>
      <c r="E21" s="588">
        <v>0</v>
      </c>
      <c r="I21" s="588">
        <v>1</v>
      </c>
      <c r="J21" s="588">
        <v>0</v>
      </c>
      <c r="K21" s="588">
        <f>IF(PedGuiMedIV!E28&lt;&gt;"",J21/10*24,0)</f>
        <v>0</v>
      </c>
      <c r="L21" s="588">
        <f>IF(PedBerMedIV!$I21=3,PedBerMedIV!K21*0.05,0)</f>
        <v>0</v>
      </c>
      <c r="M21" s="588">
        <f>IF(PedBerMedIV!$I21=4,PedBerMedIV!K21*0.1,0)</f>
        <v>0</v>
      </c>
      <c r="N21" s="588">
        <f>IF(PedBerMedIV!$I21=2,PedBerMedIV!K21*0.155,0)</f>
        <v>0</v>
      </c>
      <c r="O21" s="588">
        <f t="shared" si="3"/>
        <v>0</v>
      </c>
      <c r="P21" s="588">
        <f t="shared" si="14"/>
        <v>0</v>
      </c>
      <c r="Q21" s="588">
        <f t="shared" si="4"/>
        <v>0</v>
      </c>
      <c r="R21" s="588">
        <f t="shared" si="5"/>
        <v>0</v>
      </c>
      <c r="S21" s="588" t="str">
        <f t="shared" si="25"/>
        <v/>
      </c>
      <c r="U21" s="588" t="str">
        <f t="shared" si="26"/>
        <v/>
      </c>
      <c r="V21" s="588">
        <f t="shared" si="27"/>
        <v>0</v>
      </c>
      <c r="W21" s="588" t="str">
        <f t="shared" si="28"/>
        <v/>
      </c>
      <c r="X21" s="588" t="str">
        <f t="shared" si="7"/>
        <v/>
      </c>
      <c r="Y21" s="588" t="str">
        <f t="shared" si="29"/>
        <v/>
      </c>
      <c r="Z21" s="588" t="str">
        <f>IFERROR(ROUND((J21/10)*AE21/E21/(_Pat_Gewicht/10),3)&amp;" "&amp;AF21&amp;"/kg/uur "&amp;"("&amp;ROUND((J21/10/60)*AE21/E21/(_Pat_Gewicht/10),3)&amp;" "&amp;AF21&amp;"/kg/min)","")</f>
        <v/>
      </c>
      <c r="AB21" s="588" t="str">
        <f t="shared" si="30"/>
        <v/>
      </c>
      <c r="AE21" s="588" t="e">
        <f t="shared" si="23"/>
        <v>#VALUE!</v>
      </c>
      <c r="AF21" s="588" t="e">
        <f t="shared" si="24"/>
        <v>#VALUE!</v>
      </c>
    </row>
    <row r="22" spans="1:37" s="588" customFormat="1" x14ac:dyDescent="0.2">
      <c r="A22" s="588">
        <v>20</v>
      </c>
      <c r="D22" s="588">
        <v>0</v>
      </c>
      <c r="E22" s="588">
        <v>0</v>
      </c>
      <c r="I22" s="588">
        <v>1</v>
      </c>
      <c r="J22" s="588">
        <v>0</v>
      </c>
      <c r="K22" s="588">
        <f>IF(PedGuiMedIV!E29&lt;&gt;"",J22/10*24,0)</f>
        <v>0</v>
      </c>
      <c r="L22" s="588">
        <f>IF(PedBerMedIV!$I22=3,PedBerMedIV!K22*0.05,0)</f>
        <v>0</v>
      </c>
      <c r="M22" s="588">
        <f>IF(PedBerMedIV!$I22=4,PedBerMedIV!K22*0.1,0)</f>
        <v>0</v>
      </c>
      <c r="N22" s="588">
        <f>IF(PedBerMedIV!$I22=2,PedBerMedIV!K22*0.155,0)</f>
        <v>0</v>
      </c>
      <c r="O22" s="588">
        <f t="shared" si="3"/>
        <v>0</v>
      </c>
      <c r="P22" s="588">
        <f t="shared" si="14"/>
        <v>0</v>
      </c>
      <c r="Q22" s="588">
        <f t="shared" si="4"/>
        <v>0</v>
      </c>
      <c r="R22" s="588">
        <f t="shared" si="5"/>
        <v>0</v>
      </c>
      <c r="S22" s="588" t="str">
        <f t="shared" si="25"/>
        <v/>
      </c>
      <c r="U22" s="588" t="str">
        <f t="shared" si="26"/>
        <v/>
      </c>
      <c r="V22" s="588">
        <f t="shared" si="27"/>
        <v>0</v>
      </c>
      <c r="W22" s="588" t="str">
        <f t="shared" si="28"/>
        <v/>
      </c>
      <c r="X22" s="588" t="str">
        <f t="shared" si="7"/>
        <v/>
      </c>
      <c r="Y22" s="588" t="str">
        <f t="shared" si="29"/>
        <v/>
      </c>
      <c r="Z22" s="588" t="str">
        <f>IFERROR(ROUND((J22/10)*AE22/E22/(_Pat_Gewicht/10),3)&amp;" "&amp;AF22&amp;"/kg/uur "&amp;"("&amp;ROUND((J22/10/60)*AE22/E22/(_Pat_Gewicht/10),3)&amp;" "&amp;AF22&amp;"/kg/min)","")</f>
        <v/>
      </c>
      <c r="AB22" s="588" t="str">
        <f t="shared" si="30"/>
        <v/>
      </c>
      <c r="AE22" s="588" t="e">
        <f t="shared" si="23"/>
        <v>#VALUE!</v>
      </c>
      <c r="AF22" s="588" t="e">
        <f t="shared" si="24"/>
        <v>#VALUE!</v>
      </c>
    </row>
    <row r="23" spans="1:37" x14ac:dyDescent="0.2">
      <c r="A23" s="316" t="s">
        <v>222</v>
      </c>
      <c r="K23">
        <f>SUM(K3:K22)</f>
        <v>0</v>
      </c>
      <c r="L23">
        <f>SUM(L3:L22)</f>
        <v>0</v>
      </c>
      <c r="M23">
        <f>SUM(M3:M22)</f>
        <v>0</v>
      </c>
      <c r="O23">
        <f>SUM(O3:O22)+SUM(N3:N22)</f>
        <v>0</v>
      </c>
      <c r="P23">
        <f>SUM(P3:P22)</f>
        <v>0</v>
      </c>
      <c r="Q23">
        <f>SUM(Q3:Q22)</f>
        <v>0</v>
      </c>
      <c r="R23">
        <f>SUM(R3:R22)</f>
        <v>0</v>
      </c>
      <c r="S23" s="315"/>
      <c r="X23" s="315"/>
      <c r="Z23" s="315"/>
      <c r="AE23" s="315"/>
      <c r="AF23" s="315"/>
    </row>
    <row r="27" spans="1:37" x14ac:dyDescent="0.2">
      <c r="A27" s="316"/>
    </row>
    <row r="31" spans="1:37" x14ac:dyDescent="0.2">
      <c r="B31" s="316"/>
    </row>
    <row r="32" spans="1:37" x14ac:dyDescent="0.2">
      <c r="D32" s="316"/>
    </row>
  </sheetData>
  <customSheetViews>
    <customSheetView guid="{33CCADFA-0D48-46A6-8927-2B2144029216}" state="veryHidden">
      <selection activeCell="D13" sqref="D13"/>
      <pageMargins left="0.53" right="0.22" top="1.06" bottom="1" header="0.5" footer="0.5"/>
      <printOptions gridLines="1"/>
      <pageSetup paperSize="9" orientation="landscape" r:id="rId1"/>
      <headerFooter alignWithMargins="0"/>
    </customSheetView>
  </customSheetViews>
  <phoneticPr fontId="28" type="noConversion"/>
  <printOptions gridLines="1"/>
  <pageMargins left="0.53" right="0.22" top="1.06" bottom="1" header="0.5" footer="0.5"/>
  <pageSetup paperSize="9" orientation="landscape" r:id="rId2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IV">
    <tabColor rgb="FFFFC000"/>
  </sheetPr>
  <dimension ref="A1:Y35"/>
  <sheetViews>
    <sheetView workbookViewId="0">
      <pane xSplit="2" ySplit="2" topLeftCell="C3" activePane="bottomRight" state="frozen"/>
      <selection activeCell="A6" sqref="A6"/>
      <selection pane="topRight" activeCell="A6" sqref="A6"/>
      <selection pane="bottomLeft" activeCell="A6" sqref="A6"/>
      <selection pane="bottomRight" activeCell="A12" sqref="A12"/>
    </sheetView>
  </sheetViews>
  <sheetFormatPr defaultColWidth="9.140625" defaultRowHeight="12.75" x14ac:dyDescent="0.2"/>
  <cols>
    <col min="1" max="1" width="5" style="316" customWidth="1"/>
    <col min="2" max="2" width="23.140625" style="316" customWidth="1"/>
    <col min="3" max="3" width="13.42578125" style="316" customWidth="1"/>
    <col min="4" max="4" width="23.5703125" style="316" customWidth="1"/>
    <col min="5" max="5" width="7.28515625" style="316" customWidth="1"/>
    <col min="6" max="11" width="7.7109375" style="316" customWidth="1"/>
    <col min="12" max="18" width="8.7109375" style="316" customWidth="1"/>
    <col min="19" max="19" width="13.28515625" style="316" customWidth="1"/>
    <col min="20" max="20" width="14.140625" style="316" bestFit="1" customWidth="1"/>
    <col min="21" max="21" width="14.7109375" style="316" bestFit="1" customWidth="1"/>
    <col min="22" max="22" width="17.28515625" style="316" bestFit="1" customWidth="1"/>
    <col min="23" max="23" width="9.85546875" style="316" bestFit="1" customWidth="1"/>
    <col min="24" max="24" width="9.140625" style="316"/>
    <col min="25" max="25" width="12.140625" style="316" customWidth="1"/>
    <col min="26" max="16384" width="9.140625" style="316"/>
  </cols>
  <sheetData>
    <row r="1" spans="1:25" x14ac:dyDescent="0.2">
      <c r="A1" s="360"/>
      <c r="F1" s="316" t="s">
        <v>464</v>
      </c>
      <c r="H1" s="316" t="s">
        <v>465</v>
      </c>
      <c r="J1" s="148" t="s">
        <v>466</v>
      </c>
      <c r="L1" s="316" t="s">
        <v>482</v>
      </c>
      <c r="N1" s="316" t="s">
        <v>483</v>
      </c>
      <c r="P1" s="316" t="s">
        <v>484</v>
      </c>
    </row>
    <row r="2" spans="1:25" x14ac:dyDescent="0.2">
      <c r="B2" s="316" t="s">
        <v>467</v>
      </c>
      <c r="C2" s="316" t="s">
        <v>468</v>
      </c>
      <c r="D2" s="316" t="s">
        <v>469</v>
      </c>
      <c r="E2" s="316" t="s">
        <v>470</v>
      </c>
      <c r="F2" s="316" t="s">
        <v>471</v>
      </c>
      <c r="G2" s="316" t="s">
        <v>472</v>
      </c>
      <c r="H2" s="316" t="s">
        <v>471</v>
      </c>
      <c r="I2" s="316" t="s">
        <v>472</v>
      </c>
      <c r="J2" s="316" t="s">
        <v>471</v>
      </c>
      <c r="K2" s="316" t="s">
        <v>472</v>
      </c>
      <c r="L2" s="316" t="s">
        <v>471</v>
      </c>
      <c r="M2" s="316" t="s">
        <v>472</v>
      </c>
      <c r="N2" s="316" t="s">
        <v>471</v>
      </c>
      <c r="O2" s="316" t="s">
        <v>472</v>
      </c>
      <c r="P2" s="316" t="s">
        <v>471</v>
      </c>
      <c r="Q2" s="316" t="s">
        <v>472</v>
      </c>
      <c r="R2" s="316" t="s">
        <v>480</v>
      </c>
      <c r="S2" s="316" t="s">
        <v>481</v>
      </c>
      <c r="T2" s="316" t="s">
        <v>516</v>
      </c>
      <c r="U2" s="316" t="s">
        <v>517</v>
      </c>
      <c r="V2" s="316" t="s">
        <v>1073</v>
      </c>
      <c r="W2" s="316" t="s">
        <v>1084</v>
      </c>
      <c r="Y2" s="149" t="s">
        <v>1204</v>
      </c>
    </row>
    <row r="3" spans="1:25" x14ac:dyDescent="0.2">
      <c r="A3" s="316">
        <v>1</v>
      </c>
      <c r="W3" s="316">
        <v>1</v>
      </c>
      <c r="Y3"/>
    </row>
    <row r="4" spans="1:25" x14ac:dyDescent="0.2">
      <c r="A4" s="316">
        <v>2</v>
      </c>
      <c r="B4" s="316" t="s">
        <v>215</v>
      </c>
      <c r="C4" s="148" t="s">
        <v>421</v>
      </c>
      <c r="D4" s="148" t="str">
        <f>CONCATENATE(T4,"-",U4," ",C4)</f>
        <v>0,05-0,5 mcg/kg/min</v>
      </c>
      <c r="E4" s="148" t="s">
        <v>162</v>
      </c>
      <c r="F4" s="316">
        <v>1</v>
      </c>
      <c r="G4" s="316">
        <v>50</v>
      </c>
      <c r="H4" s="316">
        <v>2</v>
      </c>
      <c r="I4" s="316">
        <v>50</v>
      </c>
      <c r="J4" s="416">
        <v>5</v>
      </c>
      <c r="K4" s="416">
        <v>50</v>
      </c>
      <c r="L4" s="316">
        <f t="shared" ref="L4:L34" si="0">IF(_Pat_Gewicht/10&lt;6,F4,IF(_Pat_Gewicht/10&lt;11,H4,J4))</f>
        <v>1</v>
      </c>
      <c r="M4" s="316">
        <f t="shared" ref="M4:M34" si="1">IF(_Pat_Gewicht/10&lt;6,G4,IF(_Pat_Gewicht/10&lt;11,I4,K4))</f>
        <v>50</v>
      </c>
      <c r="N4" s="316">
        <f t="shared" ref="N4" si="2">INDEX(tblBerMedContIV,IFERROR(VLOOKUP(A4,tblBerMedContIV,2,FALSE),1),3)</f>
        <v>0</v>
      </c>
      <c r="O4" s="316">
        <f t="shared" ref="O4" si="3">INDEX(tblBerMedContIV,IFERROR(VLOOKUP(A4,tblBerMedContIV,2,FALSE),1),4)</f>
        <v>0</v>
      </c>
      <c r="P4" s="316">
        <f>IF(N4&gt;0,N4,L4)</f>
        <v>1</v>
      </c>
      <c r="Q4" s="316">
        <f>IF(O4&gt;0,O4,M4)</f>
        <v>50</v>
      </c>
      <c r="R4" s="316">
        <v>10</v>
      </c>
      <c r="S4" s="316">
        <f>IF(AND(_Pat_Gewicht&gt;0,Q4&gt;0),ROUND(1000*R4/10*(P4/Q4)/(_Pat_Gewicht/10)/60,3),0)</f>
        <v>0</v>
      </c>
      <c r="T4" s="148">
        <v>0.05</v>
      </c>
      <c r="U4" s="148">
        <v>0.5</v>
      </c>
      <c r="V4" s="316">
        <v>1</v>
      </c>
      <c r="W4" s="316">
        <v>1</v>
      </c>
      <c r="Y4" t="s">
        <v>1063</v>
      </c>
    </row>
    <row r="5" spans="1:25" x14ac:dyDescent="0.2">
      <c r="A5" s="316">
        <v>3</v>
      </c>
      <c r="B5" s="148" t="s">
        <v>119</v>
      </c>
      <c r="C5" s="148" t="s">
        <v>363</v>
      </c>
      <c r="D5" s="148" t="str">
        <f t="shared" ref="D5:D10" si="4">CONCATENATE(T5,"-",U5," ",C5)</f>
        <v>1-2 gram/kg/dag</v>
      </c>
      <c r="E5" s="148" t="s">
        <v>68</v>
      </c>
      <c r="F5" s="316">
        <v>0.2</v>
      </c>
      <c r="G5" s="316">
        <v>1</v>
      </c>
      <c r="H5" s="316">
        <v>0.2</v>
      </c>
      <c r="I5" s="316">
        <v>1</v>
      </c>
      <c r="J5" s="416">
        <v>0.2</v>
      </c>
      <c r="K5" s="416">
        <v>1</v>
      </c>
      <c r="L5" s="316">
        <f t="shared" si="0"/>
        <v>0.2</v>
      </c>
      <c r="M5" s="316">
        <f t="shared" si="1"/>
        <v>1</v>
      </c>
      <c r="N5" s="316">
        <f t="shared" ref="N5:N34" si="5">INDEX(tblBerMedContIV,IFERROR(VLOOKUP(A5,tblBerMedContIV,2,FALSE),1),3)</f>
        <v>0</v>
      </c>
      <c r="O5" s="316">
        <f>INDEX(tblBerMedContIV,IFERROR(VLOOKUP(A5,tblBerMedContIV,2,FALSE),1),4)</f>
        <v>0</v>
      </c>
      <c r="P5" s="316">
        <f t="shared" ref="P5:P34" si="6">IF(N5&gt;0,N5,L5)</f>
        <v>0.2</v>
      </c>
      <c r="Q5" s="316">
        <f t="shared" ref="Q5:Q34" si="7">IF(O5&gt;0,O5,M5)</f>
        <v>1</v>
      </c>
      <c r="R5" s="316">
        <v>10</v>
      </c>
      <c r="S5" s="316">
        <f>IF(AND(_Pat_Gewicht&gt;0,Q5&gt;0),ROUND(24*(R5/10)*(P5/Q5)/(_Pat_Gewicht/10),3),0)</f>
        <v>0</v>
      </c>
      <c r="T5" s="316">
        <v>1</v>
      </c>
      <c r="U5" s="316">
        <v>2</v>
      </c>
      <c r="V5" s="316">
        <v>4</v>
      </c>
      <c r="W5" s="316">
        <v>1</v>
      </c>
      <c r="Y5" t="s">
        <v>281</v>
      </c>
    </row>
    <row r="6" spans="1:25" x14ac:dyDescent="0.2">
      <c r="A6" s="360">
        <v>4</v>
      </c>
      <c r="B6" s="148" t="s">
        <v>152</v>
      </c>
      <c r="C6" s="148" t="s">
        <v>422</v>
      </c>
      <c r="D6" s="148" t="str">
        <f t="shared" si="4"/>
        <v>10-50 nanog/kg/min</v>
      </c>
      <c r="E6" s="316" t="s">
        <v>162</v>
      </c>
      <c r="F6" s="316">
        <v>0.2</v>
      </c>
      <c r="G6" s="316">
        <v>50</v>
      </c>
      <c r="L6" s="316">
        <f t="shared" si="0"/>
        <v>0.2</v>
      </c>
      <c r="M6" s="316">
        <f t="shared" si="1"/>
        <v>50</v>
      </c>
      <c r="N6" s="316">
        <f t="shared" si="5"/>
        <v>0</v>
      </c>
      <c r="O6" s="316">
        <f t="shared" ref="O6:O34" si="8">INDEX(tblBerMedContIV,IFERROR(VLOOKUP(A6,tblBerMedContIV,2,FALSE),1),4)</f>
        <v>0</v>
      </c>
      <c r="P6" s="316">
        <f t="shared" si="6"/>
        <v>0.2</v>
      </c>
      <c r="Q6" s="316">
        <f t="shared" si="7"/>
        <v>50</v>
      </c>
      <c r="R6" s="316">
        <v>10</v>
      </c>
      <c r="S6" s="316">
        <f>IF(AND(_Pat_Gewicht&gt;0,Q6&gt;0),ROUND(1000*1000*R6/10*(P6/Q6)/(_Pat_Gewicht/10)/60,3),0)</f>
        <v>0</v>
      </c>
      <c r="T6" s="316">
        <v>10</v>
      </c>
      <c r="U6" s="316">
        <v>50</v>
      </c>
      <c r="V6" s="316">
        <v>100</v>
      </c>
      <c r="W6" s="316">
        <v>1</v>
      </c>
      <c r="Y6" t="s">
        <v>282</v>
      </c>
    </row>
    <row r="7" spans="1:25" x14ac:dyDescent="0.2">
      <c r="A7" s="316">
        <v>5</v>
      </c>
      <c r="B7" s="316" t="s">
        <v>431</v>
      </c>
      <c r="C7" s="148" t="s">
        <v>421</v>
      </c>
      <c r="D7" s="148" t="str">
        <f t="shared" si="4"/>
        <v>5-15 mcg/kg/min</v>
      </c>
      <c r="E7" s="148" t="s">
        <v>162</v>
      </c>
      <c r="F7" s="316">
        <v>50</v>
      </c>
      <c r="G7" s="316">
        <v>50</v>
      </c>
      <c r="H7" s="316">
        <v>150</v>
      </c>
      <c r="I7" s="316">
        <v>50</v>
      </c>
      <c r="J7" s="416">
        <v>300</v>
      </c>
      <c r="K7" s="416">
        <v>50</v>
      </c>
      <c r="L7" s="316">
        <f t="shared" si="0"/>
        <v>50</v>
      </c>
      <c r="M7" s="316">
        <f t="shared" si="1"/>
        <v>50</v>
      </c>
      <c r="N7" s="316">
        <f t="shared" si="5"/>
        <v>0</v>
      </c>
      <c r="O7" s="316">
        <f t="shared" si="8"/>
        <v>0</v>
      </c>
      <c r="P7" s="316">
        <f t="shared" si="6"/>
        <v>50</v>
      </c>
      <c r="Q7" s="316">
        <f t="shared" si="7"/>
        <v>50</v>
      </c>
      <c r="R7" s="316">
        <v>10</v>
      </c>
      <c r="S7" s="316">
        <f>IF(AND(_Pat_Gewicht&gt;0,Q7&gt;0),ROUND(1000*R7/10*(P7/Q7)/(_Pat_Gewicht/10)/60,3),0)</f>
        <v>0</v>
      </c>
      <c r="T7" s="316">
        <v>5</v>
      </c>
      <c r="U7" s="316">
        <v>15</v>
      </c>
      <c r="V7" s="316">
        <v>25</v>
      </c>
      <c r="W7" s="316">
        <v>1</v>
      </c>
    </row>
    <row r="8" spans="1:25" x14ac:dyDescent="0.2">
      <c r="A8" s="316">
        <v>6</v>
      </c>
      <c r="B8" s="316" t="s">
        <v>40</v>
      </c>
      <c r="C8" s="148" t="s">
        <v>191</v>
      </c>
      <c r="D8" s="148" t="str">
        <f t="shared" si="4"/>
        <v>0,25-2 mcg/kg/uur</v>
      </c>
      <c r="E8" s="148" t="s">
        <v>162</v>
      </c>
      <c r="F8" s="316">
        <v>0.15</v>
      </c>
      <c r="G8" s="148">
        <v>50</v>
      </c>
      <c r="H8" s="316">
        <v>0.3</v>
      </c>
      <c r="I8" s="316">
        <v>50</v>
      </c>
      <c r="J8" s="416">
        <v>0.6</v>
      </c>
      <c r="K8" s="416">
        <v>50</v>
      </c>
      <c r="L8" s="316">
        <f t="shared" si="0"/>
        <v>0.15</v>
      </c>
      <c r="M8" s="316">
        <f t="shared" si="1"/>
        <v>50</v>
      </c>
      <c r="N8" s="316">
        <f t="shared" si="5"/>
        <v>0</v>
      </c>
      <c r="O8" s="316">
        <f t="shared" si="8"/>
        <v>0</v>
      </c>
      <c r="P8" s="316">
        <f t="shared" si="6"/>
        <v>0.15</v>
      </c>
      <c r="Q8" s="316">
        <f t="shared" si="7"/>
        <v>50</v>
      </c>
      <c r="R8" s="316">
        <v>10</v>
      </c>
      <c r="S8" s="316">
        <f>IF(AND(_Pat_Gewicht&gt;0,Q8&gt;0),ROUND(1000*R8/10*(P8/Q8)/(_Pat_Gewicht/10),3),0)</f>
        <v>0</v>
      </c>
      <c r="T8" s="316">
        <v>0.25</v>
      </c>
      <c r="U8" s="316">
        <v>2</v>
      </c>
      <c r="V8" s="316">
        <v>3</v>
      </c>
      <c r="W8" s="316">
        <v>2</v>
      </c>
    </row>
    <row r="9" spans="1:25" x14ac:dyDescent="0.2">
      <c r="A9" s="316">
        <v>7</v>
      </c>
      <c r="B9" s="148" t="s">
        <v>330</v>
      </c>
      <c r="C9" s="148" t="s">
        <v>421</v>
      </c>
      <c r="D9" s="148" t="str">
        <f t="shared" si="4"/>
        <v>1-20 mcg/kg/min</v>
      </c>
      <c r="E9" s="148" t="s">
        <v>162</v>
      </c>
      <c r="F9" s="316">
        <v>80</v>
      </c>
      <c r="G9" s="316">
        <v>50</v>
      </c>
      <c r="H9" s="316">
        <v>200</v>
      </c>
      <c r="I9" s="316">
        <v>50</v>
      </c>
      <c r="J9" s="416">
        <v>400</v>
      </c>
      <c r="K9" s="416">
        <v>50</v>
      </c>
      <c r="L9" s="316">
        <f t="shared" si="0"/>
        <v>80</v>
      </c>
      <c r="M9" s="316">
        <f t="shared" si="1"/>
        <v>50</v>
      </c>
      <c r="N9" s="316">
        <f t="shared" si="5"/>
        <v>0</v>
      </c>
      <c r="O9" s="316">
        <f t="shared" si="8"/>
        <v>0</v>
      </c>
      <c r="P9" s="316">
        <f t="shared" si="6"/>
        <v>80</v>
      </c>
      <c r="Q9" s="316">
        <f t="shared" si="7"/>
        <v>50</v>
      </c>
      <c r="R9" s="316">
        <v>10</v>
      </c>
      <c r="S9" s="316">
        <f>IF(AND(_Pat_Gewicht&gt;0,Q9&gt;0),ROUND(1000*R9/10*(P9/Q9)/(_Pat_Gewicht/10)/60,3),0)</f>
        <v>0</v>
      </c>
      <c r="T9" s="316">
        <v>1</v>
      </c>
      <c r="U9" s="316">
        <v>20</v>
      </c>
      <c r="V9" s="316">
        <v>30</v>
      </c>
      <c r="W9" s="316">
        <v>1</v>
      </c>
    </row>
    <row r="10" spans="1:25" x14ac:dyDescent="0.2">
      <c r="A10" s="316">
        <v>8</v>
      </c>
      <c r="B10" s="316" t="s">
        <v>301</v>
      </c>
      <c r="C10" s="148" t="s">
        <v>421</v>
      </c>
      <c r="D10" s="148" t="str">
        <f t="shared" si="4"/>
        <v>1-20 mcg/kg/min</v>
      </c>
      <c r="E10" s="148" t="s">
        <v>162</v>
      </c>
      <c r="F10" s="316">
        <v>80</v>
      </c>
      <c r="G10" s="316">
        <v>50</v>
      </c>
      <c r="H10" s="316">
        <v>200</v>
      </c>
      <c r="I10" s="316">
        <v>50</v>
      </c>
      <c r="J10" s="416">
        <v>400</v>
      </c>
      <c r="K10" s="416">
        <v>50</v>
      </c>
      <c r="L10" s="316">
        <f t="shared" si="0"/>
        <v>80</v>
      </c>
      <c r="M10" s="316">
        <f t="shared" si="1"/>
        <v>50</v>
      </c>
      <c r="N10" s="316">
        <f t="shared" si="5"/>
        <v>0</v>
      </c>
      <c r="O10" s="316">
        <f t="shared" si="8"/>
        <v>0</v>
      </c>
      <c r="P10" s="316">
        <f t="shared" si="6"/>
        <v>80</v>
      </c>
      <c r="Q10" s="316">
        <f t="shared" si="7"/>
        <v>50</v>
      </c>
      <c r="R10" s="316">
        <v>10</v>
      </c>
      <c r="S10" s="316">
        <f>IF(AND(_Pat_Gewicht&gt;0,Q10&gt;0),ROUND(1000*R10/10*(P10/Q10)/(_Pat_Gewicht/10)/60,3),0)</f>
        <v>0</v>
      </c>
      <c r="T10" s="316">
        <v>1</v>
      </c>
      <c r="U10" s="316">
        <v>20</v>
      </c>
      <c r="V10" s="316">
        <v>30</v>
      </c>
      <c r="W10" s="316">
        <v>1</v>
      </c>
    </row>
    <row r="11" spans="1:25" x14ac:dyDescent="0.2">
      <c r="A11" s="316">
        <v>9</v>
      </c>
      <c r="B11" s="316" t="s">
        <v>497</v>
      </c>
      <c r="C11" s="148" t="s">
        <v>445</v>
      </c>
      <c r="D11" s="148" t="s">
        <v>498</v>
      </c>
      <c r="E11" s="148" t="s">
        <v>163</v>
      </c>
      <c r="F11" s="316">
        <f>IF(_Pat_Gewicht/10&gt;48,48,_Pat_Gewicht/10)</f>
        <v>0</v>
      </c>
      <c r="G11" s="316">
        <v>24</v>
      </c>
      <c r="H11" s="316">
        <f>IF(_Pat_Gewicht/10&gt;48,48,_Pat_Gewicht/10)</f>
        <v>0</v>
      </c>
      <c r="I11" s="316">
        <v>48</v>
      </c>
      <c r="J11" s="316">
        <f>IF(_Pat_Gewicht/10&gt;48,48,_Pat_Gewicht/10)</f>
        <v>0</v>
      </c>
      <c r="K11" s="416">
        <v>48</v>
      </c>
      <c r="L11" s="316">
        <f t="shared" si="0"/>
        <v>0</v>
      </c>
      <c r="M11" s="316">
        <f t="shared" si="1"/>
        <v>24</v>
      </c>
      <c r="N11" s="316">
        <f>INDEX(tblBerMedContIV,IFERROR(VLOOKUP(A11,tblBerMedContIV,2,FALSE),1),3)</f>
        <v>0</v>
      </c>
      <c r="O11" s="316">
        <f>INDEX(tblBerMedContIV,IFERROR(VLOOKUP(A11,tblBerMedContIV,2,FALSE),1),4)</f>
        <v>0</v>
      </c>
      <c r="P11" s="316">
        <f>IF(N11&gt;0,N11,L11)</f>
        <v>0</v>
      </c>
      <c r="Q11" s="316">
        <f>IF(O11&gt;0,O11,M11)</f>
        <v>24</v>
      </c>
      <c r="R11" s="316">
        <v>10</v>
      </c>
      <c r="S11" s="316">
        <f>R11/10</f>
        <v>1</v>
      </c>
      <c r="T11" s="316">
        <v>1</v>
      </c>
      <c r="U11" s="316">
        <v>8</v>
      </c>
      <c r="V11" s="316">
        <v>8</v>
      </c>
      <c r="W11" s="316">
        <v>1</v>
      </c>
    </row>
    <row r="12" spans="1:25" x14ac:dyDescent="0.2">
      <c r="A12" s="316">
        <v>10</v>
      </c>
      <c r="B12" s="148" t="s">
        <v>496</v>
      </c>
      <c r="C12" s="148" t="s">
        <v>445</v>
      </c>
      <c r="D12" s="148" t="s">
        <v>498</v>
      </c>
      <c r="E12" s="148" t="s">
        <v>163</v>
      </c>
      <c r="F12" s="316">
        <f>IF(_Pat_Gewicht/10&gt;48,48,_Pat_Gewicht/10)</f>
        <v>0</v>
      </c>
      <c r="G12" s="316">
        <v>24</v>
      </c>
      <c r="H12" s="316">
        <f>IF(_Pat_Gewicht/10&gt;48,48,_Pat_Gewicht/10)</f>
        <v>0</v>
      </c>
      <c r="I12" s="316">
        <v>48</v>
      </c>
      <c r="J12" s="316">
        <f>IF(_Pat_Gewicht/10&gt;48,48,_Pat_Gewicht/10)</f>
        <v>0</v>
      </c>
      <c r="K12" s="416">
        <v>48</v>
      </c>
      <c r="L12" s="316">
        <f t="shared" si="0"/>
        <v>0</v>
      </c>
      <c r="M12" s="316">
        <f t="shared" si="1"/>
        <v>24</v>
      </c>
      <c r="N12" s="316">
        <f t="shared" si="5"/>
        <v>0</v>
      </c>
      <c r="O12" s="316">
        <f t="shared" si="8"/>
        <v>0</v>
      </c>
      <c r="P12" s="316">
        <f t="shared" si="6"/>
        <v>0</v>
      </c>
      <c r="Q12" s="316">
        <f t="shared" si="7"/>
        <v>24</v>
      </c>
      <c r="R12" s="316">
        <v>10</v>
      </c>
      <c r="S12" s="316">
        <f>R12/10</f>
        <v>1</v>
      </c>
      <c r="T12" s="316">
        <v>1</v>
      </c>
      <c r="U12" s="316">
        <v>8</v>
      </c>
      <c r="V12" s="316">
        <v>8</v>
      </c>
      <c r="W12" s="316">
        <v>1</v>
      </c>
    </row>
    <row r="13" spans="1:25" x14ac:dyDescent="0.2">
      <c r="A13" s="316">
        <v>11</v>
      </c>
      <c r="B13" s="148" t="s">
        <v>93</v>
      </c>
      <c r="C13" s="148" t="s">
        <v>422</v>
      </c>
      <c r="D13" s="148" t="str">
        <f>CONCATENATE(T13,"-",U13," ",C13)</f>
        <v>0,5-50 nanog/kg/min</v>
      </c>
      <c r="E13" s="148" t="s">
        <v>162</v>
      </c>
      <c r="F13" s="316">
        <v>0.2</v>
      </c>
      <c r="G13" s="316">
        <v>50</v>
      </c>
      <c r="H13" s="316">
        <v>0.4</v>
      </c>
      <c r="I13" s="316">
        <v>50</v>
      </c>
      <c r="J13" s="416">
        <v>0.8</v>
      </c>
      <c r="K13" s="416">
        <v>50</v>
      </c>
      <c r="L13" s="316">
        <f t="shared" si="0"/>
        <v>0.2</v>
      </c>
      <c r="M13" s="316">
        <f t="shared" si="1"/>
        <v>50</v>
      </c>
      <c r="N13" s="316">
        <f t="shared" si="5"/>
        <v>0</v>
      </c>
      <c r="O13" s="316">
        <f t="shared" si="8"/>
        <v>0</v>
      </c>
      <c r="P13" s="316">
        <f t="shared" si="6"/>
        <v>0.2</v>
      </c>
      <c r="Q13" s="316">
        <f t="shared" si="7"/>
        <v>50</v>
      </c>
      <c r="R13" s="316">
        <v>10</v>
      </c>
      <c r="S13" s="316">
        <f>IF(AND(_Pat_Gewicht&gt;0,Q13&gt;0),ROUND(1000*1000*R13/10*(P13/Q13)/(_Pat_Gewicht/10)/60,3),0)</f>
        <v>0</v>
      </c>
      <c r="T13" s="316">
        <v>0.5</v>
      </c>
      <c r="U13" s="316">
        <v>50</v>
      </c>
      <c r="V13" s="316">
        <v>50</v>
      </c>
      <c r="W13" s="316">
        <v>2</v>
      </c>
    </row>
    <row r="14" spans="1:25" x14ac:dyDescent="0.2">
      <c r="A14" s="316">
        <v>12</v>
      </c>
      <c r="B14" s="316" t="s">
        <v>143</v>
      </c>
      <c r="C14" s="148" t="s">
        <v>361</v>
      </c>
      <c r="D14" s="148" t="str">
        <f t="shared" ref="D14:D33" si="9">CONCATENATE(T14,"-",U14," ",C14)</f>
        <v>0,5-1 mg/kg/uur</v>
      </c>
      <c r="E14" s="148" t="s">
        <v>162</v>
      </c>
      <c r="F14" s="316">
        <v>100</v>
      </c>
      <c r="G14" s="148">
        <v>50</v>
      </c>
      <c r="H14" s="316">
        <v>250</v>
      </c>
      <c r="I14" s="316">
        <v>50</v>
      </c>
      <c r="J14" s="416">
        <v>250</v>
      </c>
      <c r="K14" s="416">
        <v>50</v>
      </c>
      <c r="L14" s="316">
        <f t="shared" si="0"/>
        <v>100</v>
      </c>
      <c r="M14" s="316">
        <f t="shared" si="1"/>
        <v>50</v>
      </c>
      <c r="N14" s="316">
        <f t="shared" si="5"/>
        <v>0</v>
      </c>
      <c r="O14" s="316">
        <f t="shared" si="8"/>
        <v>0</v>
      </c>
      <c r="P14" s="316">
        <f t="shared" si="6"/>
        <v>100</v>
      </c>
      <c r="Q14" s="316">
        <f t="shared" si="7"/>
        <v>50</v>
      </c>
      <c r="R14" s="316">
        <v>10</v>
      </c>
      <c r="S14" s="316">
        <f>IF(AND(_Pat_Gewicht&gt;0,Q14&gt;0),ROUND(R14/10*(P14/Q14)/(_Pat_Gewicht/10),3),0)</f>
        <v>0</v>
      </c>
      <c r="T14" s="316">
        <v>0.5</v>
      </c>
      <c r="U14" s="316">
        <v>1</v>
      </c>
      <c r="V14" s="316">
        <v>2</v>
      </c>
      <c r="W14" s="316">
        <v>1</v>
      </c>
    </row>
    <row r="15" spans="1:25" x14ac:dyDescent="0.2">
      <c r="A15" s="316">
        <v>13</v>
      </c>
      <c r="B15" s="316" t="s">
        <v>473</v>
      </c>
      <c r="C15" s="148" t="s">
        <v>486</v>
      </c>
      <c r="D15" s="148" t="str">
        <f t="shared" si="9"/>
        <v>0,1-1 mg/kg/min</v>
      </c>
      <c r="E15" s="148" t="s">
        <v>162</v>
      </c>
      <c r="F15" s="316">
        <v>500</v>
      </c>
      <c r="G15" s="316">
        <v>50</v>
      </c>
      <c r="H15" s="316">
        <v>500</v>
      </c>
      <c r="I15" s="316">
        <v>50</v>
      </c>
      <c r="J15" s="416">
        <v>500</v>
      </c>
      <c r="K15" s="416">
        <v>50</v>
      </c>
      <c r="L15" s="316">
        <f t="shared" si="0"/>
        <v>500</v>
      </c>
      <c r="M15" s="316">
        <f t="shared" si="1"/>
        <v>50</v>
      </c>
      <c r="N15" s="316">
        <f t="shared" si="5"/>
        <v>0</v>
      </c>
      <c r="O15" s="316">
        <f t="shared" si="8"/>
        <v>0</v>
      </c>
      <c r="P15" s="316">
        <f t="shared" si="6"/>
        <v>500</v>
      </c>
      <c r="Q15" s="316">
        <f t="shared" si="7"/>
        <v>50</v>
      </c>
      <c r="R15" s="316">
        <v>10</v>
      </c>
      <c r="S15" s="316">
        <f>IF(AND(_Pat_Gewicht&gt;0,Q15&gt;0),ROUND(R15/10*(P15/Q15)/(_Pat_Gewicht/10)/60,3),0)</f>
        <v>0</v>
      </c>
      <c r="T15" s="316">
        <v>0.1</v>
      </c>
      <c r="U15" s="316">
        <v>1</v>
      </c>
      <c r="V15" s="316">
        <v>2</v>
      </c>
      <c r="W15" s="316">
        <v>1</v>
      </c>
    </row>
    <row r="16" spans="1:25" x14ac:dyDescent="0.2">
      <c r="A16" s="316">
        <v>14</v>
      </c>
      <c r="B16" s="316" t="s">
        <v>495</v>
      </c>
      <c r="C16" s="148" t="s">
        <v>191</v>
      </c>
      <c r="D16" s="148" t="str">
        <f t="shared" si="9"/>
        <v>1-5 mcg/kg/uur</v>
      </c>
      <c r="E16" s="148" t="s">
        <v>162</v>
      </c>
      <c r="F16" s="316">
        <v>0.5</v>
      </c>
      <c r="G16" s="316">
        <v>50</v>
      </c>
      <c r="H16" s="316">
        <v>1</v>
      </c>
      <c r="I16" s="316">
        <v>50</v>
      </c>
      <c r="J16" s="416">
        <v>5</v>
      </c>
      <c r="K16" s="416">
        <v>50</v>
      </c>
      <c r="L16" s="316">
        <f t="shared" si="0"/>
        <v>0.5</v>
      </c>
      <c r="M16" s="316">
        <f t="shared" si="1"/>
        <v>50</v>
      </c>
      <c r="N16" s="316">
        <f>INDEX(tblBerMedContIV,IFERROR(VLOOKUP(A16,tblBerMedContIV,2,FALSE),1),3)</f>
        <v>0</v>
      </c>
      <c r="O16" s="316">
        <f>INDEX(tblBerMedContIV,IFERROR(VLOOKUP(A16,tblBerMedContIV,2,FALSE),1),4)</f>
        <v>0</v>
      </c>
      <c r="P16" s="316">
        <f>IF(N16&gt;0,N16,L16)</f>
        <v>0.5</v>
      </c>
      <c r="Q16" s="316">
        <f>IF(O16&gt;0,O16,M16)</f>
        <v>50</v>
      </c>
      <c r="R16" s="316">
        <v>10</v>
      </c>
      <c r="S16" s="316">
        <f>IF(AND(_Pat_Gewicht&gt;0,Q16&gt;0),ROUND(1000*R16/10*(P16/Q16)/(_Pat_Gewicht/10),3),0)</f>
        <v>0</v>
      </c>
      <c r="T16" s="316">
        <v>1</v>
      </c>
      <c r="U16" s="316">
        <v>5</v>
      </c>
      <c r="V16" s="316">
        <v>10</v>
      </c>
      <c r="W16" s="316">
        <v>1</v>
      </c>
    </row>
    <row r="17" spans="1:23" x14ac:dyDescent="0.2">
      <c r="A17" s="316">
        <v>15</v>
      </c>
      <c r="B17" s="316" t="s">
        <v>474</v>
      </c>
      <c r="C17" s="148" t="s">
        <v>421</v>
      </c>
      <c r="D17" s="148" t="str">
        <f t="shared" si="9"/>
        <v>0,05-5 mcg/kg/min</v>
      </c>
      <c r="E17" s="148" t="s">
        <v>162</v>
      </c>
      <c r="F17" s="316">
        <v>0.2</v>
      </c>
      <c r="G17" s="316">
        <v>20</v>
      </c>
      <c r="H17" s="316">
        <v>0.4</v>
      </c>
      <c r="I17" s="316">
        <v>20</v>
      </c>
      <c r="J17" s="416">
        <v>0.8</v>
      </c>
      <c r="K17" s="416">
        <v>20</v>
      </c>
      <c r="L17" s="316">
        <f t="shared" si="0"/>
        <v>0.2</v>
      </c>
      <c r="M17" s="316">
        <f t="shared" si="1"/>
        <v>20</v>
      </c>
      <c r="N17" s="316">
        <f t="shared" si="5"/>
        <v>0</v>
      </c>
      <c r="O17" s="316">
        <f t="shared" si="8"/>
        <v>0</v>
      </c>
      <c r="P17" s="316">
        <f t="shared" si="6"/>
        <v>0.2</v>
      </c>
      <c r="Q17" s="316">
        <f t="shared" si="7"/>
        <v>20</v>
      </c>
      <c r="R17" s="316">
        <v>10</v>
      </c>
      <c r="S17" s="316">
        <f>IF(AND(_Pat_Gewicht&gt;0,Q17&gt;0),ROUND(1000*R17/10*(P17/Q17)/(_Pat_Gewicht/10)/60,3),0)</f>
        <v>0</v>
      </c>
      <c r="T17" s="316">
        <v>0.05</v>
      </c>
      <c r="U17" s="316">
        <v>5</v>
      </c>
      <c r="V17" s="316">
        <v>10</v>
      </c>
      <c r="W17" s="316">
        <v>1</v>
      </c>
    </row>
    <row r="18" spans="1:23" x14ac:dyDescent="0.2">
      <c r="A18" s="316">
        <v>16</v>
      </c>
      <c r="B18" s="316" t="s">
        <v>171</v>
      </c>
      <c r="C18" s="148" t="s">
        <v>362</v>
      </c>
      <c r="D18" s="148" t="str">
        <f t="shared" si="9"/>
        <v>1-4 mg/kg/dag</v>
      </c>
      <c r="E18" s="148" t="s">
        <v>162</v>
      </c>
      <c r="F18" s="316">
        <v>10</v>
      </c>
      <c r="G18" s="316">
        <v>50</v>
      </c>
      <c r="H18" s="316">
        <v>20</v>
      </c>
      <c r="I18" s="316">
        <v>50</v>
      </c>
      <c r="J18" s="416">
        <v>40</v>
      </c>
      <c r="K18" s="416">
        <v>50</v>
      </c>
      <c r="L18" s="316">
        <f t="shared" si="0"/>
        <v>10</v>
      </c>
      <c r="M18" s="316">
        <f t="shared" si="1"/>
        <v>50</v>
      </c>
      <c r="N18" s="316">
        <f t="shared" si="5"/>
        <v>0</v>
      </c>
      <c r="O18" s="316">
        <f t="shared" si="8"/>
        <v>0</v>
      </c>
      <c r="P18" s="316">
        <f t="shared" si="6"/>
        <v>10</v>
      </c>
      <c r="Q18" s="316">
        <f t="shared" si="7"/>
        <v>50</v>
      </c>
      <c r="R18" s="316">
        <v>10</v>
      </c>
      <c r="S18" s="316">
        <f>IF(AND(_Pat_Gewicht&gt;0,Q18&gt;0),ROUND(24*R18/10*(P18/Q18)/(_Pat_Gewicht/10),3),0)</f>
        <v>0</v>
      </c>
      <c r="T18" s="316">
        <v>1</v>
      </c>
      <c r="U18" s="316">
        <v>4</v>
      </c>
      <c r="V18" s="316">
        <v>6</v>
      </c>
      <c r="W18" s="316">
        <v>1</v>
      </c>
    </row>
    <row r="19" spans="1:23" x14ac:dyDescent="0.2">
      <c r="A19" s="316">
        <v>17</v>
      </c>
      <c r="B19" s="316" t="s">
        <v>189</v>
      </c>
      <c r="C19" s="148" t="s">
        <v>190</v>
      </c>
      <c r="D19" s="148" t="str">
        <f t="shared" si="9"/>
        <v>10-20 IE/kg/uur</v>
      </c>
      <c r="E19" s="148" t="s">
        <v>475</v>
      </c>
      <c r="F19" s="316">
        <v>5000</v>
      </c>
      <c r="G19" s="316">
        <v>50</v>
      </c>
      <c r="H19" s="316">
        <v>10000</v>
      </c>
      <c r="I19" s="316">
        <v>50</v>
      </c>
      <c r="J19" s="416">
        <v>20000</v>
      </c>
      <c r="K19" s="416">
        <v>50</v>
      </c>
      <c r="L19" s="316">
        <f t="shared" si="0"/>
        <v>5000</v>
      </c>
      <c r="M19" s="316">
        <f t="shared" si="1"/>
        <v>50</v>
      </c>
      <c r="N19" s="316">
        <f t="shared" si="5"/>
        <v>0</v>
      </c>
      <c r="O19" s="316">
        <f t="shared" si="8"/>
        <v>0</v>
      </c>
      <c r="P19" s="316">
        <f t="shared" si="6"/>
        <v>5000</v>
      </c>
      <c r="Q19" s="316">
        <f t="shared" si="7"/>
        <v>50</v>
      </c>
      <c r="R19" s="316">
        <v>10</v>
      </c>
      <c r="S19" s="316">
        <f>IF(AND(_Pat_Gewicht&gt;0,Q19&gt;0),ROUND(R19/10*(P19/Q19)/(_Pat_Gewicht/10),3),0)</f>
        <v>0</v>
      </c>
      <c r="T19" s="316">
        <v>10</v>
      </c>
      <c r="U19" s="316">
        <v>20</v>
      </c>
      <c r="V19" s="316">
        <v>50</v>
      </c>
      <c r="W19" s="316">
        <v>1</v>
      </c>
    </row>
    <row r="20" spans="1:23" x14ac:dyDescent="0.2">
      <c r="A20" s="316">
        <v>18</v>
      </c>
      <c r="B20" s="316" t="s">
        <v>476</v>
      </c>
      <c r="C20" s="148" t="s">
        <v>66</v>
      </c>
      <c r="D20" s="148" t="str">
        <f t="shared" si="9"/>
        <v>0,02-0,125 E/kg/uur</v>
      </c>
      <c r="E20" s="148" t="s">
        <v>475</v>
      </c>
      <c r="F20" s="316">
        <v>10</v>
      </c>
      <c r="G20" s="316">
        <v>50</v>
      </c>
      <c r="H20" s="316">
        <v>10</v>
      </c>
      <c r="I20" s="316">
        <v>50</v>
      </c>
      <c r="J20" s="416">
        <v>50</v>
      </c>
      <c r="K20" s="416">
        <v>50</v>
      </c>
      <c r="L20" s="316">
        <f t="shared" si="0"/>
        <v>10</v>
      </c>
      <c r="M20" s="316">
        <f t="shared" si="1"/>
        <v>50</v>
      </c>
      <c r="N20" s="316">
        <f t="shared" si="5"/>
        <v>0</v>
      </c>
      <c r="O20" s="316">
        <f t="shared" si="8"/>
        <v>0</v>
      </c>
      <c r="P20" s="316">
        <f t="shared" si="6"/>
        <v>10</v>
      </c>
      <c r="Q20" s="316">
        <f t="shared" si="7"/>
        <v>50</v>
      </c>
      <c r="R20" s="316">
        <v>10</v>
      </c>
      <c r="S20" s="316">
        <f>IF(AND(_Pat_Gewicht&gt;0,Q20&gt;0),ROUND(R20/10*(P20/Q20)/(_Pat_Gewicht/10),3),0)</f>
        <v>0</v>
      </c>
      <c r="T20" s="316">
        <v>0.02</v>
      </c>
      <c r="U20" s="316">
        <v>0.125</v>
      </c>
      <c r="V20" s="316">
        <v>2</v>
      </c>
      <c r="W20" s="316">
        <v>1</v>
      </c>
    </row>
    <row r="21" spans="1:23" x14ac:dyDescent="0.2">
      <c r="A21" s="316">
        <v>19</v>
      </c>
      <c r="B21" s="316" t="s">
        <v>392</v>
      </c>
      <c r="C21" s="148" t="s">
        <v>421</v>
      </c>
      <c r="D21" s="148" t="str">
        <f t="shared" si="9"/>
        <v>0,01-1,5 mcg/kg/min</v>
      </c>
      <c r="E21" s="148" t="s">
        <v>162</v>
      </c>
      <c r="F21" s="316">
        <v>2</v>
      </c>
      <c r="G21" s="316">
        <v>50</v>
      </c>
      <c r="H21" s="316">
        <v>2</v>
      </c>
      <c r="I21" s="316">
        <v>50</v>
      </c>
      <c r="J21" s="416">
        <v>2</v>
      </c>
      <c r="K21" s="416">
        <v>50</v>
      </c>
      <c r="L21" s="316">
        <f t="shared" si="0"/>
        <v>2</v>
      </c>
      <c r="M21" s="316">
        <f t="shared" si="1"/>
        <v>50</v>
      </c>
      <c r="N21" s="316">
        <f t="shared" si="5"/>
        <v>0</v>
      </c>
      <c r="O21" s="316">
        <f t="shared" si="8"/>
        <v>0</v>
      </c>
      <c r="P21" s="316">
        <f t="shared" si="6"/>
        <v>2</v>
      </c>
      <c r="Q21" s="316">
        <f t="shared" si="7"/>
        <v>50</v>
      </c>
      <c r="R21" s="316">
        <v>10</v>
      </c>
      <c r="S21" s="316">
        <f>IF(AND(_Pat_Gewicht&gt;0,Q21&gt;0),ROUND(1000*R21/10*(P21/Q21)/(_Pat_Gewicht/10)/60,3),0)</f>
        <v>0</v>
      </c>
      <c r="T21" s="316">
        <v>0.01</v>
      </c>
      <c r="U21" s="316">
        <v>1.5</v>
      </c>
      <c r="V21" s="316">
        <v>3</v>
      </c>
      <c r="W21" s="316">
        <v>1</v>
      </c>
    </row>
    <row r="22" spans="1:23" x14ac:dyDescent="0.2">
      <c r="A22" s="316">
        <v>20</v>
      </c>
      <c r="B22" s="316" t="s">
        <v>477</v>
      </c>
      <c r="C22" s="148" t="s">
        <v>361</v>
      </c>
      <c r="D22" s="148" t="str">
        <f t="shared" si="9"/>
        <v>0,25-3 mg/kg/uur</v>
      </c>
      <c r="E22" s="148" t="s">
        <v>162</v>
      </c>
      <c r="F22" s="316">
        <v>250</v>
      </c>
      <c r="G22" s="316">
        <v>50</v>
      </c>
      <c r="H22" s="316">
        <v>250</v>
      </c>
      <c r="I22" s="316">
        <v>50</v>
      </c>
      <c r="J22" s="416">
        <v>250</v>
      </c>
      <c r="K22" s="416">
        <v>50</v>
      </c>
      <c r="L22" s="316">
        <f t="shared" si="0"/>
        <v>250</v>
      </c>
      <c r="M22" s="316">
        <f t="shared" si="1"/>
        <v>50</v>
      </c>
      <c r="N22" s="316">
        <f t="shared" si="5"/>
        <v>0</v>
      </c>
      <c r="O22" s="316">
        <f t="shared" si="8"/>
        <v>0</v>
      </c>
      <c r="P22" s="316">
        <f t="shared" si="6"/>
        <v>250</v>
      </c>
      <c r="Q22" s="316">
        <f t="shared" si="7"/>
        <v>50</v>
      </c>
      <c r="R22" s="316">
        <v>10</v>
      </c>
      <c r="S22" s="316">
        <f>IF(AND(_Pat_Gewicht&gt;0,Q22&gt;0),ROUND(R22/10*(P22/Q22)/(_Pat_Gewicht/10),3),0)</f>
        <v>0</v>
      </c>
      <c r="T22" s="316">
        <v>0.25</v>
      </c>
      <c r="U22" s="316">
        <v>3</v>
      </c>
      <c r="V22" s="316">
        <v>4</v>
      </c>
      <c r="W22" s="316">
        <v>1</v>
      </c>
    </row>
    <row r="23" spans="1:23" x14ac:dyDescent="0.2">
      <c r="A23" s="316">
        <v>21</v>
      </c>
      <c r="B23" s="316" t="s">
        <v>478</v>
      </c>
      <c r="C23" s="148" t="s">
        <v>361</v>
      </c>
      <c r="D23" s="148" t="s">
        <v>493</v>
      </c>
      <c r="E23" s="148" t="s">
        <v>162</v>
      </c>
      <c r="F23" s="316">
        <v>500</v>
      </c>
      <c r="G23" s="316">
        <v>50</v>
      </c>
      <c r="H23" s="316">
        <v>1000</v>
      </c>
      <c r="I23" s="316">
        <v>50</v>
      </c>
      <c r="J23" s="416">
        <v>2000</v>
      </c>
      <c r="K23" s="416">
        <v>50</v>
      </c>
      <c r="L23" s="316">
        <f t="shared" si="0"/>
        <v>500</v>
      </c>
      <c r="M23" s="316">
        <f t="shared" si="1"/>
        <v>50</v>
      </c>
      <c r="N23" s="316">
        <f t="shared" si="5"/>
        <v>0</v>
      </c>
      <c r="O23" s="316">
        <f t="shared" si="8"/>
        <v>0</v>
      </c>
      <c r="P23" s="316">
        <f t="shared" si="6"/>
        <v>500</v>
      </c>
      <c r="Q23" s="316">
        <f t="shared" si="7"/>
        <v>50</v>
      </c>
      <c r="R23" s="316">
        <v>10</v>
      </c>
      <c r="S23" s="316">
        <f>IF(AND(_Pat_Gewicht&gt;0,Q23&gt;0),ROUND(R23/10*(P23/Q23)/(_Pat_Gewicht/10),3),0)</f>
        <v>0</v>
      </c>
      <c r="T23" s="316">
        <v>3</v>
      </c>
      <c r="U23" s="316">
        <v>20</v>
      </c>
      <c r="V23" s="316">
        <v>25</v>
      </c>
      <c r="W23" s="316">
        <v>1</v>
      </c>
    </row>
    <row r="24" spans="1:23" x14ac:dyDescent="0.2">
      <c r="A24" s="316">
        <v>22</v>
      </c>
      <c r="B24" s="316" t="s">
        <v>356</v>
      </c>
      <c r="C24" s="148" t="s">
        <v>361</v>
      </c>
      <c r="D24" s="148" t="str">
        <f t="shared" si="9"/>
        <v>0,05-0,5 mg/kg/uur</v>
      </c>
      <c r="E24" s="148" t="s">
        <v>162</v>
      </c>
      <c r="F24" s="316">
        <v>25</v>
      </c>
      <c r="G24" s="148">
        <v>50</v>
      </c>
      <c r="H24" s="316">
        <v>50</v>
      </c>
      <c r="I24" s="316">
        <v>50</v>
      </c>
      <c r="J24" s="416">
        <v>50</v>
      </c>
      <c r="K24" s="416">
        <v>50</v>
      </c>
      <c r="L24" s="316">
        <f t="shared" si="0"/>
        <v>25</v>
      </c>
      <c r="M24" s="316">
        <f t="shared" si="1"/>
        <v>50</v>
      </c>
      <c r="N24" s="316">
        <f t="shared" si="5"/>
        <v>0</v>
      </c>
      <c r="O24" s="316">
        <f t="shared" si="8"/>
        <v>0</v>
      </c>
      <c r="P24" s="316">
        <f t="shared" si="6"/>
        <v>25</v>
      </c>
      <c r="Q24" s="316">
        <f t="shared" si="7"/>
        <v>50</v>
      </c>
      <c r="R24" s="316">
        <v>10</v>
      </c>
      <c r="S24" s="316">
        <f>IF(AND(_Pat_Gewicht&gt;0,Q24&gt;0),ROUND(R24/10*(P24/Q24)/(_Pat_Gewicht/10),3),0)</f>
        <v>0</v>
      </c>
      <c r="T24" s="316">
        <v>0.05</v>
      </c>
      <c r="U24" s="316">
        <v>0.5</v>
      </c>
      <c r="V24" s="316">
        <v>1</v>
      </c>
      <c r="W24" s="316">
        <v>1</v>
      </c>
    </row>
    <row r="25" spans="1:23" x14ac:dyDescent="0.2">
      <c r="A25" s="316">
        <v>23</v>
      </c>
      <c r="B25" s="316" t="s">
        <v>479</v>
      </c>
      <c r="C25" s="148" t="s">
        <v>421</v>
      </c>
      <c r="D25" s="148" t="str">
        <f t="shared" si="9"/>
        <v>0,15-0,5 mcg/kg/min</v>
      </c>
      <c r="E25" s="148" t="s">
        <v>162</v>
      </c>
      <c r="F25" s="316">
        <v>5</v>
      </c>
      <c r="G25" s="316">
        <v>50</v>
      </c>
      <c r="H25" s="316">
        <v>10</v>
      </c>
      <c r="I25" s="316">
        <v>50</v>
      </c>
      <c r="J25" s="416">
        <v>20</v>
      </c>
      <c r="K25" s="416">
        <v>50</v>
      </c>
      <c r="L25" s="316">
        <f t="shared" si="0"/>
        <v>5</v>
      </c>
      <c r="M25" s="316">
        <f t="shared" si="1"/>
        <v>50</v>
      </c>
      <c r="N25" s="316">
        <f t="shared" si="5"/>
        <v>0</v>
      </c>
      <c r="O25" s="316">
        <f t="shared" si="8"/>
        <v>0</v>
      </c>
      <c r="P25" s="316">
        <f t="shared" si="6"/>
        <v>5</v>
      </c>
      <c r="Q25" s="316">
        <f t="shared" si="7"/>
        <v>50</v>
      </c>
      <c r="R25" s="316">
        <v>10</v>
      </c>
      <c r="S25" s="316">
        <f>IF(AND(_Pat_Gewicht&gt;0,Q25&gt;0),ROUND(1000*R25/10*(P25/Q25)/(_Pat_Gewicht/10)/60,3),0)</f>
        <v>0</v>
      </c>
      <c r="T25" s="316">
        <v>0.15</v>
      </c>
      <c r="U25" s="316">
        <v>0.5</v>
      </c>
      <c r="V25" s="316">
        <v>0.75</v>
      </c>
      <c r="W25" s="316">
        <v>1</v>
      </c>
    </row>
    <row r="26" spans="1:23" x14ac:dyDescent="0.2">
      <c r="A26" s="316">
        <v>24</v>
      </c>
      <c r="B26" s="316" t="s">
        <v>118</v>
      </c>
      <c r="C26" s="148" t="s">
        <v>362</v>
      </c>
      <c r="D26" s="148" t="str">
        <f t="shared" si="9"/>
        <v>0,1-0,5 mg/kg/dag</v>
      </c>
      <c r="E26" s="148" t="s">
        <v>162</v>
      </c>
      <c r="F26" s="316">
        <v>2</v>
      </c>
      <c r="G26" s="148">
        <v>50</v>
      </c>
      <c r="H26" s="316">
        <v>5</v>
      </c>
      <c r="I26" s="316">
        <v>50</v>
      </c>
      <c r="J26" s="416">
        <v>10</v>
      </c>
      <c r="K26" s="416">
        <v>50</v>
      </c>
      <c r="L26" s="316">
        <f t="shared" si="0"/>
        <v>2</v>
      </c>
      <c r="M26" s="316">
        <f t="shared" si="1"/>
        <v>50</v>
      </c>
      <c r="N26" s="316">
        <f t="shared" si="5"/>
        <v>0</v>
      </c>
      <c r="O26" s="316">
        <f t="shared" si="8"/>
        <v>0</v>
      </c>
      <c r="P26" s="316">
        <f>IF(N26&gt;0,N26,L26)</f>
        <v>2</v>
      </c>
      <c r="Q26" s="316">
        <f t="shared" si="7"/>
        <v>50</v>
      </c>
      <c r="R26" s="316">
        <v>10</v>
      </c>
      <c r="S26" s="316">
        <f>IF(AND(_Pat_Gewicht&gt;0,Q26&gt;0),ROUND(24*(R26/10)*(P26/Q26)/(_Pat_Gewicht/10),3),0)</f>
        <v>0</v>
      </c>
      <c r="T26" s="316">
        <v>0.1</v>
      </c>
      <c r="U26" s="316">
        <v>0.5</v>
      </c>
      <c r="V26" s="316">
        <v>1</v>
      </c>
      <c r="W26" s="316">
        <v>1</v>
      </c>
    </row>
    <row r="27" spans="1:23" x14ac:dyDescent="0.2">
      <c r="A27" s="316">
        <v>25</v>
      </c>
      <c r="B27" s="148" t="s">
        <v>335</v>
      </c>
      <c r="C27" s="148" t="s">
        <v>390</v>
      </c>
      <c r="D27" s="148" t="str">
        <f t="shared" si="9"/>
        <v>2-4 mmol/kg/dag</v>
      </c>
      <c r="E27" s="148" t="s">
        <v>494</v>
      </c>
      <c r="F27" s="316">
        <v>25</v>
      </c>
      <c r="G27" s="148">
        <v>50</v>
      </c>
      <c r="H27" s="316">
        <v>25</v>
      </c>
      <c r="I27" s="316">
        <v>50</v>
      </c>
      <c r="J27" s="416">
        <v>25</v>
      </c>
      <c r="K27" s="416">
        <v>50</v>
      </c>
      <c r="L27" s="316">
        <f t="shared" si="0"/>
        <v>25</v>
      </c>
      <c r="M27" s="316">
        <f t="shared" si="1"/>
        <v>50</v>
      </c>
      <c r="N27" s="316">
        <f t="shared" si="5"/>
        <v>0</v>
      </c>
      <c r="O27" s="316">
        <f t="shared" si="8"/>
        <v>0</v>
      </c>
      <c r="P27" s="316">
        <f t="shared" si="6"/>
        <v>25</v>
      </c>
      <c r="Q27" s="316">
        <f t="shared" si="7"/>
        <v>50</v>
      </c>
      <c r="R27" s="316">
        <v>10</v>
      </c>
      <c r="S27" s="316">
        <f>IF(AND(_Pat_Gewicht&gt;0,Q27&gt;0),ROUND(24*(R27/10)*(P27/Q27)/(_Pat_Gewicht/10),3),0)</f>
        <v>0</v>
      </c>
      <c r="T27" s="316">
        <v>2</v>
      </c>
      <c r="U27" s="316">
        <v>4</v>
      </c>
      <c r="V27" s="316">
        <v>6</v>
      </c>
      <c r="W27" s="316">
        <v>1</v>
      </c>
    </row>
    <row r="28" spans="1:23" x14ac:dyDescent="0.2">
      <c r="A28" s="316">
        <v>26</v>
      </c>
      <c r="B28" s="316" t="s">
        <v>57</v>
      </c>
      <c r="C28" s="148" t="s">
        <v>421</v>
      </c>
      <c r="D28" s="148" t="str">
        <f t="shared" si="9"/>
        <v>0,5-8 mcg/kg/min</v>
      </c>
      <c r="E28" s="148" t="s">
        <v>162</v>
      </c>
      <c r="F28" s="316">
        <v>10</v>
      </c>
      <c r="G28" s="316">
        <v>50</v>
      </c>
      <c r="H28" s="316">
        <v>20</v>
      </c>
      <c r="I28" s="316">
        <v>50</v>
      </c>
      <c r="J28" s="416">
        <v>40</v>
      </c>
      <c r="K28" s="416">
        <v>50</v>
      </c>
      <c r="L28" s="316">
        <f t="shared" si="0"/>
        <v>10</v>
      </c>
      <c r="M28" s="316">
        <f t="shared" si="1"/>
        <v>50</v>
      </c>
      <c r="N28" s="316">
        <f t="shared" si="5"/>
        <v>0</v>
      </c>
      <c r="O28" s="316">
        <f t="shared" si="8"/>
        <v>0</v>
      </c>
      <c r="P28" s="316">
        <f t="shared" si="6"/>
        <v>10</v>
      </c>
      <c r="Q28" s="316">
        <f t="shared" si="7"/>
        <v>50</v>
      </c>
      <c r="R28" s="316">
        <v>10</v>
      </c>
      <c r="S28" s="316">
        <f>IF(AND(_Pat_Gewicht&gt;0,Q28&gt;0),ROUND(1000*R28/10*(P28/Q28)/(_Pat_Gewicht/10)/60,3),0)</f>
        <v>0</v>
      </c>
      <c r="T28" s="316">
        <v>0.5</v>
      </c>
      <c r="U28" s="316">
        <v>8</v>
      </c>
      <c r="V28" s="316">
        <v>10</v>
      </c>
      <c r="W28" s="316">
        <v>1</v>
      </c>
    </row>
    <row r="29" spans="1:23" x14ac:dyDescent="0.2">
      <c r="A29" s="316">
        <v>27</v>
      </c>
      <c r="B29" s="316" t="s">
        <v>388</v>
      </c>
      <c r="C29" s="148" t="s">
        <v>421</v>
      </c>
      <c r="D29" s="148" t="str">
        <f t="shared" si="9"/>
        <v>0,05-0,5 mcg/kg/min</v>
      </c>
      <c r="E29" s="148" t="s">
        <v>162</v>
      </c>
      <c r="F29" s="316">
        <v>1</v>
      </c>
      <c r="G29" s="316">
        <v>50</v>
      </c>
      <c r="H29" s="316">
        <v>2</v>
      </c>
      <c r="I29" s="316">
        <v>50</v>
      </c>
      <c r="J29" s="416">
        <v>5</v>
      </c>
      <c r="K29" s="416">
        <v>50</v>
      </c>
      <c r="L29" s="316">
        <f t="shared" si="0"/>
        <v>1</v>
      </c>
      <c r="M29" s="316">
        <f t="shared" si="1"/>
        <v>50</v>
      </c>
      <c r="N29" s="316">
        <f t="shared" si="5"/>
        <v>0</v>
      </c>
      <c r="O29" s="316">
        <f t="shared" si="8"/>
        <v>0</v>
      </c>
      <c r="P29" s="316">
        <f t="shared" si="6"/>
        <v>1</v>
      </c>
      <c r="Q29" s="316">
        <f t="shared" si="7"/>
        <v>50</v>
      </c>
      <c r="R29" s="316">
        <v>10</v>
      </c>
      <c r="S29" s="316">
        <f>IF(AND(_Pat_Gewicht&gt;0,Q29&gt;0),ROUND(1000*R29/10*(P29/Q29)/(_Pat_Gewicht/10)/60,3),0)</f>
        <v>0</v>
      </c>
      <c r="T29" s="316">
        <v>0.05</v>
      </c>
      <c r="U29" s="316">
        <v>0.5</v>
      </c>
      <c r="V29" s="316">
        <v>1</v>
      </c>
      <c r="W29" s="316">
        <v>1</v>
      </c>
    </row>
    <row r="30" spans="1:23" x14ac:dyDescent="0.2">
      <c r="A30" s="316">
        <v>28</v>
      </c>
      <c r="B30" s="148" t="s">
        <v>326</v>
      </c>
      <c r="C30" s="148" t="s">
        <v>361</v>
      </c>
      <c r="D30" s="148" t="str">
        <f t="shared" si="9"/>
        <v>1-4 mg/kg/uur</v>
      </c>
      <c r="E30" s="148" t="s">
        <v>162</v>
      </c>
      <c r="F30" s="316">
        <v>10</v>
      </c>
      <c r="G30" s="316">
        <v>1</v>
      </c>
      <c r="H30" s="316">
        <v>10</v>
      </c>
      <c r="I30" s="316">
        <v>1</v>
      </c>
      <c r="J30" s="416">
        <v>10</v>
      </c>
      <c r="K30" s="416">
        <v>1</v>
      </c>
      <c r="L30" s="316">
        <f t="shared" si="0"/>
        <v>10</v>
      </c>
      <c r="M30" s="316">
        <f t="shared" si="1"/>
        <v>1</v>
      </c>
      <c r="N30" s="316">
        <f t="shared" si="5"/>
        <v>0</v>
      </c>
      <c r="O30" s="316">
        <f t="shared" si="8"/>
        <v>0</v>
      </c>
      <c r="P30" s="316">
        <f t="shared" si="6"/>
        <v>10</v>
      </c>
      <c r="Q30" s="316">
        <f t="shared" si="7"/>
        <v>1</v>
      </c>
      <c r="R30" s="316">
        <v>10</v>
      </c>
      <c r="S30" s="316">
        <f>IF(AND(_Pat_Gewicht&gt;0,Q30&gt;0),ROUND(R30/10*(P30/Q30)/(_Pat_Gewicht/10),3),0)</f>
        <v>0</v>
      </c>
      <c r="T30" s="316">
        <v>1</v>
      </c>
      <c r="U30" s="316">
        <v>4</v>
      </c>
      <c r="V30" s="316">
        <v>4</v>
      </c>
      <c r="W30" s="316">
        <v>1</v>
      </c>
    </row>
    <row r="31" spans="1:23" x14ac:dyDescent="0.2">
      <c r="A31" s="316">
        <v>29</v>
      </c>
      <c r="B31" s="148" t="s">
        <v>327</v>
      </c>
      <c r="C31" s="148" t="s">
        <v>361</v>
      </c>
      <c r="D31" s="148" t="str">
        <f t="shared" si="9"/>
        <v>1-4 mg/kg/uur</v>
      </c>
      <c r="E31" s="148" t="s">
        <v>162</v>
      </c>
      <c r="F31" s="316">
        <v>20</v>
      </c>
      <c r="G31" s="316">
        <v>1</v>
      </c>
      <c r="H31" s="316">
        <v>20</v>
      </c>
      <c r="I31" s="316">
        <v>1</v>
      </c>
      <c r="J31" s="416">
        <v>20</v>
      </c>
      <c r="K31" s="416">
        <v>1</v>
      </c>
      <c r="L31" s="316">
        <f t="shared" si="0"/>
        <v>20</v>
      </c>
      <c r="M31" s="316">
        <f t="shared" si="1"/>
        <v>1</v>
      </c>
      <c r="N31" s="316">
        <f t="shared" si="5"/>
        <v>0</v>
      </c>
      <c r="O31" s="316">
        <f t="shared" si="8"/>
        <v>0</v>
      </c>
      <c r="P31" s="316">
        <f t="shared" si="6"/>
        <v>20</v>
      </c>
      <c r="Q31" s="316">
        <f t="shared" si="7"/>
        <v>1</v>
      </c>
      <c r="R31" s="316">
        <v>10</v>
      </c>
      <c r="S31" s="316">
        <f>IF(AND(_Pat_Gewicht&gt;0,Q31&gt;0),ROUND(R31/10*(P31/Q31)/(_Pat_Gewicht/10),3),0)</f>
        <v>0</v>
      </c>
      <c r="T31" s="316">
        <v>1</v>
      </c>
      <c r="U31" s="316">
        <v>4</v>
      </c>
      <c r="V31" s="316">
        <v>4</v>
      </c>
      <c r="W31" s="316">
        <v>1</v>
      </c>
    </row>
    <row r="32" spans="1:23" x14ac:dyDescent="0.2">
      <c r="A32" s="316">
        <v>30</v>
      </c>
      <c r="B32" s="316" t="s">
        <v>273</v>
      </c>
      <c r="C32" s="148" t="s">
        <v>361</v>
      </c>
      <c r="D32" s="148" t="str">
        <f t="shared" si="9"/>
        <v>0,6-1,2 mg/kg/uur</v>
      </c>
      <c r="E32" s="148" t="s">
        <v>162</v>
      </c>
      <c r="F32" s="316">
        <v>50</v>
      </c>
      <c r="G32" s="316">
        <v>50</v>
      </c>
      <c r="H32" s="316">
        <v>100</v>
      </c>
      <c r="I32" s="316">
        <v>50</v>
      </c>
      <c r="J32" s="416">
        <v>200</v>
      </c>
      <c r="K32" s="416">
        <v>50</v>
      </c>
      <c r="L32" s="316">
        <f t="shared" si="0"/>
        <v>50</v>
      </c>
      <c r="M32" s="316">
        <f t="shared" si="1"/>
        <v>50</v>
      </c>
      <c r="N32" s="316">
        <f t="shared" si="5"/>
        <v>0</v>
      </c>
      <c r="O32" s="316">
        <f t="shared" si="8"/>
        <v>0</v>
      </c>
      <c r="P32" s="316">
        <f t="shared" si="6"/>
        <v>50</v>
      </c>
      <c r="Q32" s="316">
        <f t="shared" si="7"/>
        <v>50</v>
      </c>
      <c r="R32" s="316">
        <v>10</v>
      </c>
      <c r="S32" s="316">
        <f>IF(AND(_Pat_Gewicht&gt;0,Q32&gt;0),ROUND(R32/10*(P32/Q32)/(_Pat_Gewicht/10),3),0)</f>
        <v>0</v>
      </c>
      <c r="T32" s="316">
        <v>0.6</v>
      </c>
      <c r="U32" s="316">
        <v>1.2</v>
      </c>
      <c r="V32" s="316">
        <v>2</v>
      </c>
      <c r="W32" s="316">
        <v>1</v>
      </c>
    </row>
    <row r="33" spans="1:23" x14ac:dyDescent="0.2">
      <c r="A33" s="316">
        <v>31</v>
      </c>
      <c r="B33" s="316" t="s">
        <v>27</v>
      </c>
      <c r="C33" s="148" t="s">
        <v>421</v>
      </c>
      <c r="D33" s="148" t="str">
        <f t="shared" si="9"/>
        <v>0,1-10 mcg/kg/min</v>
      </c>
      <c r="E33" s="148" t="s">
        <v>162</v>
      </c>
      <c r="F33" s="316">
        <v>5</v>
      </c>
      <c r="G33" s="316">
        <v>50</v>
      </c>
      <c r="H33" s="316">
        <v>10</v>
      </c>
      <c r="I33" s="316">
        <v>50</v>
      </c>
      <c r="J33" s="416">
        <v>20</v>
      </c>
      <c r="K33" s="416">
        <v>50</v>
      </c>
      <c r="L33" s="316">
        <f t="shared" si="0"/>
        <v>5</v>
      </c>
      <c r="M33" s="316">
        <f t="shared" si="1"/>
        <v>50</v>
      </c>
      <c r="N33" s="316">
        <f t="shared" si="5"/>
        <v>0</v>
      </c>
      <c r="O33" s="316">
        <f t="shared" si="8"/>
        <v>0</v>
      </c>
      <c r="P33" s="316">
        <f t="shared" si="6"/>
        <v>5</v>
      </c>
      <c r="Q33" s="316">
        <f t="shared" si="7"/>
        <v>50</v>
      </c>
      <c r="R33" s="316">
        <v>10</v>
      </c>
      <c r="S33" s="316">
        <f>IF(AND(_Pat_Gewicht&gt;0,Q33&gt;0),ROUND(1000*R33/10*(P33/Q33)/(_Pat_Gewicht/10)/60,3),0)</f>
        <v>0</v>
      </c>
      <c r="T33" s="316">
        <v>0.1</v>
      </c>
      <c r="U33" s="316">
        <v>10</v>
      </c>
      <c r="V33" s="316">
        <v>15</v>
      </c>
      <c r="W33" s="316">
        <v>1</v>
      </c>
    </row>
    <row r="34" spans="1:23" x14ac:dyDescent="0.2">
      <c r="A34" s="316">
        <v>32</v>
      </c>
      <c r="B34" s="316" t="s">
        <v>354</v>
      </c>
      <c r="C34" s="148" t="s">
        <v>361</v>
      </c>
      <c r="D34" s="148" t="s">
        <v>442</v>
      </c>
      <c r="E34" s="148" t="s">
        <v>162</v>
      </c>
      <c r="F34" s="316">
        <v>1000</v>
      </c>
      <c r="G34" s="316">
        <v>50</v>
      </c>
      <c r="H34" s="316">
        <v>2000</v>
      </c>
      <c r="I34" s="316">
        <v>50</v>
      </c>
      <c r="J34" s="416">
        <v>4000</v>
      </c>
      <c r="K34" s="416">
        <v>50</v>
      </c>
      <c r="L34" s="316">
        <f t="shared" si="0"/>
        <v>1000</v>
      </c>
      <c r="M34" s="316">
        <f t="shared" si="1"/>
        <v>50</v>
      </c>
      <c r="N34" s="316">
        <f t="shared" si="5"/>
        <v>0</v>
      </c>
      <c r="O34" s="316">
        <f t="shared" si="8"/>
        <v>0</v>
      </c>
      <c r="P34" s="316">
        <f t="shared" si="6"/>
        <v>1000</v>
      </c>
      <c r="Q34" s="316">
        <f t="shared" si="7"/>
        <v>50</v>
      </c>
      <c r="R34" s="316">
        <v>10</v>
      </c>
      <c r="S34" s="316">
        <f>IF(AND(_Pat_Gewicht&gt;0,Q34&gt;0),ROUND(R34/10*(P34/Q34)/(_Pat_Gewicht/10),3),0)</f>
        <v>0</v>
      </c>
      <c r="T34" s="316">
        <v>5</v>
      </c>
      <c r="U34" s="316">
        <v>10</v>
      </c>
      <c r="V34" s="316">
        <v>20</v>
      </c>
      <c r="W34" s="316">
        <v>1</v>
      </c>
    </row>
    <row r="35" spans="1:23" x14ac:dyDescent="0.2">
      <c r="A35" s="316" t="s">
        <v>492</v>
      </c>
      <c r="B35" s="316">
        <v>1</v>
      </c>
      <c r="C35" s="316">
        <v>2</v>
      </c>
      <c r="D35" s="316">
        <v>3</v>
      </c>
      <c r="E35" s="316">
        <v>4</v>
      </c>
      <c r="F35" s="316">
        <v>5</v>
      </c>
      <c r="G35" s="316">
        <v>6</v>
      </c>
      <c r="H35" s="316">
        <v>7</v>
      </c>
      <c r="I35" s="316">
        <v>8</v>
      </c>
      <c r="J35" s="316">
        <v>9</v>
      </c>
      <c r="K35" s="316">
        <v>10</v>
      </c>
      <c r="L35" s="316">
        <v>11</v>
      </c>
      <c r="M35" s="316">
        <v>12</v>
      </c>
      <c r="N35" s="316">
        <v>13</v>
      </c>
      <c r="O35" s="316">
        <v>14</v>
      </c>
      <c r="P35" s="316">
        <v>15</v>
      </c>
      <c r="Q35" s="316">
        <v>16</v>
      </c>
      <c r="R35" s="316">
        <v>17</v>
      </c>
      <c r="S35" s="316">
        <v>18</v>
      </c>
      <c r="T35" s="316">
        <v>19</v>
      </c>
      <c r="U35" s="316">
        <v>20</v>
      </c>
      <c r="V35" s="316">
        <v>21</v>
      </c>
      <c r="W35" s="316">
        <v>22</v>
      </c>
    </row>
  </sheetData>
  <customSheetViews>
    <customSheetView guid="{33CCADFA-0D48-46A6-8927-2B2144029216}" showGridLines="0" showRowCol="0" outlineSymbols="0" zeroValues="0">
      <pane xSplit="2" ySplit="2" topLeftCell="C3" activePane="bottomRight" state="frozen"/>
      <selection pane="bottomRight" activeCell="Q41" sqref="Q4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Disc">
    <tabColor rgb="FFFFC000"/>
  </sheetPr>
  <dimension ref="A1:E14"/>
  <sheetViews>
    <sheetView workbookViewId="0">
      <selection activeCell="A2" sqref="A2"/>
    </sheetView>
  </sheetViews>
  <sheetFormatPr defaultRowHeight="12.75" x14ac:dyDescent="0.2"/>
  <cols>
    <col min="1" max="5" width="21.140625" customWidth="1"/>
  </cols>
  <sheetData>
    <row r="1" spans="1:5" s="1" customFormat="1" x14ac:dyDescent="0.2">
      <c r="A1" s="1" t="s">
        <v>1043</v>
      </c>
      <c r="B1" s="1" t="s">
        <v>1044</v>
      </c>
      <c r="C1" s="413" t="s">
        <v>1045</v>
      </c>
      <c r="D1" s="413" t="s">
        <v>1046</v>
      </c>
      <c r="E1" s="1" t="s">
        <v>1047</v>
      </c>
    </row>
    <row r="2" spans="1:5" x14ac:dyDescent="0.2">
      <c r="A2" s="315"/>
      <c r="B2" s="315"/>
      <c r="C2" s="315"/>
      <c r="D2" s="315"/>
      <c r="E2" s="315"/>
    </row>
    <row r="3" spans="1:5" x14ac:dyDescent="0.2">
      <c r="A3" s="315" t="s">
        <v>91</v>
      </c>
      <c r="B3" s="315" t="s">
        <v>1063</v>
      </c>
      <c r="C3" s="315">
        <v>0</v>
      </c>
      <c r="D3" s="315" t="s">
        <v>444</v>
      </c>
      <c r="E3" s="315" t="s">
        <v>164</v>
      </c>
    </row>
    <row r="4" spans="1:5" x14ac:dyDescent="0.2">
      <c r="A4" s="315" t="s">
        <v>90</v>
      </c>
      <c r="B4" s="315" t="s">
        <v>281</v>
      </c>
      <c r="C4" s="315">
        <v>1</v>
      </c>
      <c r="D4" s="315" t="s">
        <v>374</v>
      </c>
      <c r="E4" s="315" t="s">
        <v>162</v>
      </c>
    </row>
    <row r="5" spans="1:5" x14ac:dyDescent="0.2">
      <c r="A5" s="315" t="s">
        <v>38</v>
      </c>
      <c r="B5" s="315" t="s">
        <v>282</v>
      </c>
      <c r="C5" s="315">
        <v>0</v>
      </c>
      <c r="D5" s="316" t="s">
        <v>1036</v>
      </c>
      <c r="E5" s="315" t="s">
        <v>31</v>
      </c>
    </row>
    <row r="6" spans="1:5" x14ac:dyDescent="0.2">
      <c r="A6" s="315" t="s">
        <v>307</v>
      </c>
      <c r="B6" s="315"/>
      <c r="C6" s="315">
        <v>1</v>
      </c>
      <c r="D6" s="315" t="s">
        <v>394</v>
      </c>
      <c r="E6" s="315" t="s">
        <v>67</v>
      </c>
    </row>
    <row r="7" spans="1:5" x14ac:dyDescent="0.2">
      <c r="A7" s="315" t="s">
        <v>39</v>
      </c>
      <c r="B7" s="315"/>
      <c r="C7" s="315">
        <v>2</v>
      </c>
      <c r="D7" s="315" t="s">
        <v>395</v>
      </c>
      <c r="E7" s="315" t="s">
        <v>163</v>
      </c>
    </row>
    <row r="8" spans="1:5" x14ac:dyDescent="0.2">
      <c r="A8" s="315" t="s">
        <v>207</v>
      </c>
      <c r="B8" s="315"/>
      <c r="C8" s="315">
        <v>3</v>
      </c>
      <c r="D8" s="315" t="s">
        <v>396</v>
      </c>
      <c r="E8" s="315"/>
    </row>
    <row r="9" spans="1:5" x14ac:dyDescent="0.2">
      <c r="A9" s="315" t="s">
        <v>365</v>
      </c>
      <c r="B9" s="315"/>
      <c r="C9" s="315">
        <v>4</v>
      </c>
      <c r="D9" s="315" t="s">
        <v>397</v>
      </c>
      <c r="E9" s="315"/>
    </row>
    <row r="10" spans="1:5" x14ac:dyDescent="0.2">
      <c r="A10" s="315" t="s">
        <v>366</v>
      </c>
      <c r="B10" s="315"/>
      <c r="C10" s="315">
        <v>5</v>
      </c>
      <c r="D10" s="315" t="s">
        <v>443</v>
      </c>
      <c r="E10" s="315"/>
    </row>
    <row r="11" spans="1:5" x14ac:dyDescent="0.2">
      <c r="A11" s="315" t="s">
        <v>367</v>
      </c>
      <c r="B11" s="315"/>
      <c r="C11" s="315">
        <v>6</v>
      </c>
      <c r="D11" s="315" t="s">
        <v>182</v>
      </c>
      <c r="E11" s="315"/>
    </row>
    <row r="12" spans="1:5" x14ac:dyDescent="0.2">
      <c r="A12" s="315" t="s">
        <v>50</v>
      </c>
      <c r="B12" s="315"/>
      <c r="C12" s="315">
        <v>8</v>
      </c>
      <c r="D12" s="315" t="s">
        <v>183</v>
      </c>
      <c r="E12" s="315"/>
    </row>
    <row r="13" spans="1:5" x14ac:dyDescent="0.2">
      <c r="A13" s="315" t="s">
        <v>151</v>
      </c>
      <c r="B13" s="315"/>
      <c r="C13" s="315">
        <v>12</v>
      </c>
      <c r="D13" s="315" t="s">
        <v>184</v>
      </c>
      <c r="E13" s="315"/>
    </row>
    <row r="14" spans="1:5" x14ac:dyDescent="0.2">
      <c r="A14" s="315"/>
      <c r="B14" s="315"/>
      <c r="C14" s="315">
        <v>24</v>
      </c>
      <c r="D14" s="315" t="s">
        <v>26</v>
      </c>
      <c r="E14" s="315"/>
    </row>
  </sheetData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ijnPM">
    <tabColor rgb="FF7030A0"/>
    <pageSetUpPr autoPageBreaks="0"/>
  </sheetPr>
  <dimension ref="B1:N32"/>
  <sheetViews>
    <sheetView zoomScaleNormal="100" workbookViewId="0">
      <pane ySplit="5" topLeftCell="A6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686" customWidth="1"/>
    <col min="2" max="2" width="6" style="686" customWidth="1"/>
    <col min="3" max="3" width="3" style="686" customWidth="1"/>
    <col min="4" max="4" width="16.5703125" style="686" customWidth="1"/>
    <col min="5" max="5" width="17.28515625" style="686" customWidth="1"/>
    <col min="6" max="6" width="17.5703125" style="686" customWidth="1"/>
    <col min="7" max="7" width="18.5703125" style="686" customWidth="1"/>
    <col min="8" max="8" width="18.28515625" style="686" customWidth="1"/>
    <col min="9" max="9" width="9.7109375" style="686" customWidth="1"/>
    <col min="10" max="10" width="9.140625" style="686"/>
    <col min="11" max="11" width="9.42578125" style="686" bestFit="1" customWidth="1"/>
    <col min="12" max="12" width="9.28515625" style="686" bestFit="1" customWidth="1"/>
    <col min="13" max="16384" width="9.140625" style="686"/>
  </cols>
  <sheetData>
    <row r="1" spans="2:14" s="672" customFormat="1" ht="17.25" customHeight="1" x14ac:dyDescent="0.2">
      <c r="B1" s="594"/>
      <c r="C1" s="820"/>
      <c r="D1" s="594"/>
      <c r="E1" s="594"/>
      <c r="F1" s="594"/>
      <c r="G1" s="594"/>
      <c r="H1" s="594"/>
      <c r="I1" s="594"/>
      <c r="J1" s="594"/>
      <c r="K1" s="594"/>
    </row>
    <row r="2" spans="2:14" s="672" customFormat="1" ht="17.25" customHeight="1" x14ac:dyDescent="0.2">
      <c r="B2" s="594"/>
      <c r="C2" s="594"/>
      <c r="D2" s="626" t="s">
        <v>304</v>
      </c>
      <c r="E2" s="627">
        <f ca="1">Var_AfspraakDatum</f>
        <v>42750</v>
      </c>
      <c r="F2" s="626" t="s">
        <v>305</v>
      </c>
      <c r="G2" s="821" t="str">
        <f>PatDetails!B13</f>
        <v/>
      </c>
      <c r="H2" s="630" t="str">
        <f>PatDetails!B21</f>
        <v>Gewicht:</v>
      </c>
      <c r="I2" s="630"/>
      <c r="J2" s="824" t="s">
        <v>519</v>
      </c>
      <c r="K2" s="822">
        <f>__1_Bed</f>
        <v>0</v>
      </c>
    </row>
    <row r="3" spans="2:14" s="672" customFormat="1" ht="17.25" customHeight="1" x14ac:dyDescent="0.2">
      <c r="B3" s="594"/>
      <c r="C3" s="594"/>
      <c r="D3" s="626" t="s">
        <v>28</v>
      </c>
      <c r="E3" s="631" t="str">
        <f>PatDetails!B19</f>
        <v/>
      </c>
      <c r="F3" s="626" t="s">
        <v>312</v>
      </c>
      <c r="G3" s="823" t="str">
        <f ca="1">PatDetails!B14</f>
        <v/>
      </c>
      <c r="H3" s="630" t="str">
        <f>PatDetails!B22</f>
        <v>Lengte:</v>
      </c>
      <c r="I3" s="630"/>
      <c r="J3" s="626"/>
      <c r="K3" s="626"/>
      <c r="L3" s="682"/>
    </row>
    <row r="4" spans="2:14" s="672" customFormat="1" ht="17.25" customHeight="1" x14ac:dyDescent="0.2">
      <c r="B4" s="594"/>
      <c r="C4" s="661"/>
      <c r="D4" s="632" t="s">
        <v>4671</v>
      </c>
      <c r="E4" s="626" t="str">
        <f>PatDetails!B15</f>
        <v/>
      </c>
      <c r="F4" s="626" t="s">
        <v>275</v>
      </c>
      <c r="G4" s="661" t="str">
        <f ca="1">PatDetails!B18</f>
        <v/>
      </c>
      <c r="H4" s="630" t="str">
        <f>PatDetails!B23</f>
        <v>Lichamelijk oppervlak:</v>
      </c>
      <c r="I4" s="630"/>
      <c r="J4" s="626"/>
      <c r="K4" s="626"/>
      <c r="L4" s="682"/>
    </row>
    <row r="5" spans="2:14" s="672" customFormat="1" ht="8.1" customHeight="1" x14ac:dyDescent="0.2">
      <c r="B5" s="594"/>
      <c r="C5" s="661"/>
      <c r="D5" s="626"/>
      <c r="E5" s="626"/>
      <c r="F5" s="628"/>
      <c r="G5" s="626"/>
      <c r="H5" s="635"/>
      <c r="I5" s="626"/>
      <c r="J5" s="626"/>
      <c r="K5" s="626"/>
      <c r="L5" s="682"/>
    </row>
    <row r="6" spans="2:14" ht="12.75" customHeight="1" x14ac:dyDescent="0.2"/>
    <row r="7" spans="2:14" ht="20.100000000000001" customHeight="1" x14ac:dyDescent="0.2">
      <c r="B7" s="595" t="s">
        <v>4468</v>
      </c>
      <c r="C7" s="840"/>
      <c r="D7" s="841" t="s">
        <v>25</v>
      </c>
      <c r="E7" s="595"/>
      <c r="F7" s="595"/>
      <c r="G7" s="595"/>
      <c r="H7" s="595"/>
      <c r="I7" s="595"/>
      <c r="J7" s="595"/>
      <c r="K7" s="595"/>
      <c r="L7" s="672"/>
      <c r="M7" s="687"/>
      <c r="N7" s="687"/>
    </row>
    <row r="8" spans="2:14" ht="9" customHeight="1" x14ac:dyDescent="0.2">
      <c r="B8" s="688"/>
      <c r="J8" s="672"/>
      <c r="K8" s="689"/>
      <c r="L8" s="689"/>
      <c r="M8" s="687"/>
      <c r="N8" s="687"/>
    </row>
    <row r="9" spans="2:14" ht="20.100000000000001" customHeight="1" x14ac:dyDescent="0.2">
      <c r="B9" s="690" t="str">
        <f>PedBerIVenPM!D2</f>
        <v/>
      </c>
      <c r="C9" s="593">
        <v>1</v>
      </c>
      <c r="E9" s="691"/>
      <c r="G9" s="692"/>
      <c r="H9" s="693" t="str">
        <f>PedBerIVenPM!C2</f>
        <v/>
      </c>
      <c r="J9" s="672"/>
      <c r="K9" s="694"/>
      <c r="L9" s="695"/>
      <c r="M9" s="687"/>
      <c r="N9" s="687"/>
    </row>
    <row r="10" spans="2:14" ht="20.100000000000001" customHeight="1" x14ac:dyDescent="0.2">
      <c r="B10" s="690" t="str">
        <f>PedBerIVenPM!D3</f>
        <v/>
      </c>
      <c r="C10" s="593">
        <v>2</v>
      </c>
      <c r="G10" s="692"/>
      <c r="H10" s="693" t="str">
        <f>PedBerIVenPM!C3</f>
        <v/>
      </c>
      <c r="J10" s="672"/>
      <c r="K10" s="695"/>
      <c r="L10" s="695"/>
      <c r="M10" s="687"/>
      <c r="N10" s="687"/>
    </row>
    <row r="11" spans="2:14" ht="20.100000000000001" customHeight="1" x14ac:dyDescent="0.2">
      <c r="B11" s="690" t="str">
        <f>PedBerIVenPM!D4</f>
        <v/>
      </c>
      <c r="C11" s="593">
        <v>3</v>
      </c>
      <c r="G11" s="692"/>
      <c r="H11" s="693" t="str">
        <f>PedBerIVenPM!C4</f>
        <v/>
      </c>
      <c r="J11" s="672"/>
      <c r="M11" s="687"/>
      <c r="N11" s="687"/>
    </row>
    <row r="12" spans="2:14" ht="20.100000000000001" customHeight="1" x14ac:dyDescent="0.2">
      <c r="B12" s="690" t="str">
        <f>PedBerIVenPM!D5</f>
        <v/>
      </c>
      <c r="C12" s="593">
        <v>4</v>
      </c>
      <c r="G12" s="692"/>
      <c r="H12" s="693" t="str">
        <f>PedBerIVenPM!C5</f>
        <v/>
      </c>
      <c r="J12" s="672"/>
      <c r="M12" s="687"/>
      <c r="N12" s="687"/>
    </row>
    <row r="13" spans="2:14" ht="20.100000000000001" customHeight="1" x14ac:dyDescent="0.2">
      <c r="B13" s="690" t="str">
        <f>PedBerIVenPM!D6</f>
        <v/>
      </c>
      <c r="C13" s="593">
        <v>5</v>
      </c>
      <c r="G13" s="692"/>
      <c r="H13" s="693" t="str">
        <f>PedBerIVenPM!C6</f>
        <v/>
      </c>
      <c r="J13" s="672"/>
      <c r="M13" s="687"/>
      <c r="N13" s="687"/>
    </row>
    <row r="14" spans="2:14" ht="20.100000000000001" customHeight="1" x14ac:dyDescent="0.2">
      <c r="B14" s="690" t="str">
        <f>PedBerIVenPM!D7</f>
        <v/>
      </c>
      <c r="C14" s="593">
        <v>6</v>
      </c>
      <c r="D14" s="672"/>
      <c r="E14" s="672"/>
      <c r="F14" s="672"/>
      <c r="G14" s="672"/>
      <c r="H14" s="672" t="str">
        <f>PedBerIVenPM!C7</f>
        <v/>
      </c>
      <c r="J14" s="672"/>
      <c r="M14" s="687"/>
      <c r="N14" s="687"/>
    </row>
    <row r="15" spans="2:14" ht="17.25" customHeight="1" x14ac:dyDescent="0.2">
      <c r="B15" s="688"/>
      <c r="J15" s="672"/>
      <c r="M15" s="687"/>
      <c r="N15" s="687"/>
    </row>
    <row r="16" spans="2:14" ht="20.100000000000001" customHeight="1" x14ac:dyDescent="0.2">
      <c r="B16" s="690" t="str">
        <f>PedBerIVenPM!D9</f>
        <v/>
      </c>
      <c r="C16" s="593"/>
      <c r="D16" s="623" t="s">
        <v>292</v>
      </c>
      <c r="E16" s="871">
        <f>_Ped_IVLijn_Opm</f>
        <v>0</v>
      </c>
      <c r="F16" s="872"/>
      <c r="G16" s="872"/>
      <c r="H16" s="872"/>
      <c r="I16" s="696"/>
      <c r="J16" s="697"/>
      <c r="M16" s="687"/>
      <c r="N16" s="687"/>
    </row>
    <row r="17" spans="2:14" ht="17.25" customHeight="1" x14ac:dyDescent="0.2">
      <c r="B17" s="688"/>
      <c r="D17" s="692"/>
      <c r="E17" s="692"/>
      <c r="F17" s="692"/>
      <c r="G17" s="692"/>
      <c r="H17" s="692"/>
      <c r="I17" s="692"/>
      <c r="J17" s="689"/>
      <c r="M17" s="687"/>
      <c r="N17" s="687"/>
    </row>
    <row r="18" spans="2:14" ht="20.100000000000001" customHeight="1" x14ac:dyDescent="0.2">
      <c r="B18" s="688"/>
      <c r="D18" s="659"/>
      <c r="E18" s="695"/>
      <c r="F18" s="695"/>
      <c r="G18" s="695"/>
      <c r="H18" s="695"/>
      <c r="I18" s="695"/>
      <c r="J18" s="694"/>
    </row>
    <row r="19" spans="2:14" ht="20.100000000000001" customHeight="1" x14ac:dyDescent="0.2">
      <c r="B19" s="841" t="str">
        <f>PedBerIVenPM!M2</f>
        <v/>
      </c>
      <c r="C19" s="595"/>
      <c r="D19" s="595" t="s">
        <v>20</v>
      </c>
      <c r="E19" s="842"/>
      <c r="F19" s="595"/>
      <c r="G19" s="595"/>
      <c r="H19" s="595"/>
      <c r="I19" s="595"/>
      <c r="J19" s="843"/>
      <c r="K19" s="595"/>
    </row>
    <row r="20" spans="2:14" ht="8.1" customHeight="1" x14ac:dyDescent="0.2">
      <c r="B20" s="698"/>
    </row>
    <row r="21" spans="2:14" ht="20.100000000000001" customHeight="1" x14ac:dyDescent="0.2">
      <c r="B21" s="698"/>
      <c r="D21" s="593" t="s">
        <v>266</v>
      </c>
      <c r="G21" s="593" t="s">
        <v>60</v>
      </c>
    </row>
    <row r="22" spans="2:14" ht="8.1" customHeight="1" x14ac:dyDescent="0.2">
      <c r="B22" s="698"/>
    </row>
    <row r="23" spans="2:14" ht="20.100000000000001" customHeight="1" x14ac:dyDescent="0.2">
      <c r="B23" s="690" t="str">
        <f>PedBerIVenPM!M3</f>
        <v/>
      </c>
      <c r="D23" s="593" t="s">
        <v>295</v>
      </c>
      <c r="E23" s="769" t="str">
        <f>IF(PedBerIVenPM!H1&gt;1,PedBerIVenPM!K1&amp;" /min","")</f>
        <v>30 /min</v>
      </c>
    </row>
    <row r="24" spans="2:14" ht="8.1" customHeight="1" x14ac:dyDescent="0.2">
      <c r="B24" s="700"/>
      <c r="D24" s="698"/>
      <c r="E24" s="699"/>
    </row>
    <row r="25" spans="2:14" ht="20.100000000000001" customHeight="1" x14ac:dyDescent="0.2">
      <c r="B25" s="700"/>
      <c r="D25" s="593" t="s">
        <v>61</v>
      </c>
      <c r="E25" s="770" t="str">
        <f>IF(PedBerIVenPM!H1&gt;1,(PedBerIVenPM!K2/10)&amp;" V","")</f>
        <v>0,1 V</v>
      </c>
    </row>
    <row r="26" spans="2:14" ht="20.100000000000001" customHeight="1" thickBot="1" x14ac:dyDescent="0.25">
      <c r="B26" s="700"/>
      <c r="D26" s="593" t="s">
        <v>4479</v>
      </c>
      <c r="E26" s="771" t="str">
        <f>IF(PedBerIVenPM!H1&gt;1,(PedBerIVenPM!K3/10)&amp;" V","")</f>
        <v>0,1 V</v>
      </c>
    </row>
    <row r="27" spans="2:14" ht="8.1" customHeight="1" thickTop="1" thickBot="1" x14ac:dyDescent="0.25">
      <c r="B27" s="700"/>
      <c r="D27" s="698"/>
      <c r="E27" s="701"/>
    </row>
    <row r="28" spans="2:14" ht="20.100000000000001" customHeight="1" thickTop="1" thickBot="1" x14ac:dyDescent="0.25">
      <c r="B28" s="700"/>
      <c r="D28" s="593" t="s">
        <v>62</v>
      </c>
      <c r="E28" s="768" t="str">
        <f>IF(PedBerIVenPM!H1&gt;1,PedBerIVenPM!K4&amp;" msec","")</f>
        <v>20 msec</v>
      </c>
    </row>
    <row r="29" spans="2:14" ht="8.1" customHeight="1" thickTop="1" thickBot="1" x14ac:dyDescent="0.25">
      <c r="B29" s="700"/>
      <c r="D29" s="698"/>
      <c r="E29" s="701"/>
    </row>
    <row r="30" spans="2:14" ht="20.100000000000001" customHeight="1" thickTop="1" x14ac:dyDescent="0.2">
      <c r="B30" s="700"/>
      <c r="D30" s="593" t="s">
        <v>63</v>
      </c>
      <c r="E30" s="772" t="str">
        <f>IF(PedBerIVenPM!H1&gt;1,PedBerIVenPM!K5/10&amp;" mV","")</f>
        <v>0,2 mV</v>
      </c>
    </row>
    <row r="31" spans="2:14" ht="20.100000000000001" customHeight="1" thickBot="1" x14ac:dyDescent="0.25">
      <c r="B31" s="700"/>
      <c r="D31" s="593" t="s">
        <v>4480</v>
      </c>
      <c r="E31" s="771" t="str">
        <f>IF(PedBerIVenPM!H1&gt;1,(PedBerIVenPM!K6/10)&amp;" mV","")</f>
        <v>1 mV</v>
      </c>
    </row>
    <row r="32" spans="2:14" ht="17.25" customHeight="1" thickTop="1" x14ac:dyDescent="0.2"/>
  </sheetData>
  <customSheetViews>
    <customSheetView guid="{33CCADFA-0D48-46A6-8927-2B2144029216}">
      <pane ySplit="4" topLeftCell="A14" activePane="bottomLeft" state="frozen"/>
      <selection pane="bottomLeft" activeCell="B25" sqref="B25:F27"/>
      <pageMargins left="0.75" right="0.75" top="1" bottom="1" header="0.5" footer="0.5"/>
      <pageSetup paperSize="9" orientation="portrait" r:id="rId1"/>
      <headerFooter alignWithMargins="0"/>
    </customSheetView>
  </customSheetViews>
  <mergeCells count="1">
    <mergeCell ref="E16:H16"/>
  </mergeCells>
  <phoneticPr fontId="28" type="noConversion"/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3</xdr:col>
                    <xdr:colOff>9525</xdr:colOff>
                    <xdr:row>8</xdr:row>
                    <xdr:rowOff>19050</xdr:rowOff>
                  </from>
                  <to>
                    <xdr:col>6</xdr:col>
                    <xdr:colOff>904875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Drop Down 4">
              <controlPr defaultSize="0" autoLine="0" autoPict="0">
                <anchor moveWithCells="1">
                  <from>
                    <xdr:col>3</xdr:col>
                    <xdr:colOff>9525</xdr:colOff>
                    <xdr:row>9</xdr:row>
                    <xdr:rowOff>19050</xdr:rowOff>
                  </from>
                  <to>
                    <xdr:col>6</xdr:col>
                    <xdr:colOff>904875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3</xdr:col>
                    <xdr:colOff>9525</xdr:colOff>
                    <xdr:row>10</xdr:row>
                    <xdr:rowOff>19050</xdr:rowOff>
                  </from>
                  <to>
                    <xdr:col>6</xdr:col>
                    <xdr:colOff>904875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Drop Down 6">
              <controlPr defaultSize="0" autoLine="0" autoPict="0">
                <anchor moveWithCells="1">
                  <from>
                    <xdr:col>3</xdr:col>
                    <xdr:colOff>9525</xdr:colOff>
                    <xdr:row>11</xdr:row>
                    <xdr:rowOff>19050</xdr:rowOff>
                  </from>
                  <to>
                    <xdr:col>6</xdr:col>
                    <xdr:colOff>904875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Drop Down 7">
              <controlPr defaultSize="0" autoLine="0" autoPict="0">
                <anchor moveWithCells="1">
                  <from>
                    <xdr:col>3</xdr:col>
                    <xdr:colOff>9525</xdr:colOff>
                    <xdr:row>12</xdr:row>
                    <xdr:rowOff>19050</xdr:rowOff>
                  </from>
                  <to>
                    <xdr:col>6</xdr:col>
                    <xdr:colOff>904875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Drop Down 8">
              <controlPr defaultSize="0" autoLine="0" autoPict="0">
                <anchor moveWithCells="1">
                  <from>
                    <xdr:col>3</xdr:col>
                    <xdr:colOff>9525</xdr:colOff>
                    <xdr:row>13</xdr:row>
                    <xdr:rowOff>19050</xdr:rowOff>
                  </from>
                  <to>
                    <xdr:col>6</xdr:col>
                    <xdr:colOff>904875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1" name="Drop Down 56">
              <controlPr defaultSize="0" autoLine="0" autoPict="0">
                <anchor moveWithCells="1">
                  <from>
                    <xdr:col>4</xdr:col>
                    <xdr:colOff>9525</xdr:colOff>
                    <xdr:row>20</xdr:row>
                    <xdr:rowOff>19050</xdr:rowOff>
                  </from>
                  <to>
                    <xdr:col>5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2" name="Drop Down 57">
              <controlPr defaultSize="0" autoLine="0" autoPict="0">
                <anchor moveWithCells="1">
                  <from>
                    <xdr:col>7</xdr:col>
                    <xdr:colOff>9525</xdr:colOff>
                    <xdr:row>20</xdr:row>
                    <xdr:rowOff>19050</xdr:rowOff>
                  </from>
                  <to>
                    <xdr:col>8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3" name="Spinner 64">
              <controlPr defaultSize="0" autoPict="0">
                <anchor moveWithCells="1" sizeWithCells="1">
                  <from>
                    <xdr:col>4</xdr:col>
                    <xdr:colOff>1019175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4" name="Spinner 65">
              <controlPr defaultSize="0" autoPict="0">
                <anchor moveWithCells="1" sizeWithCells="1">
                  <from>
                    <xdr:col>4</xdr:col>
                    <xdr:colOff>1019175</xdr:colOff>
                    <xdr:row>24</xdr:row>
                    <xdr:rowOff>9525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15" name="Spinner 66">
              <controlPr defaultSize="0" autoPict="0">
                <anchor moveWithCells="1" sizeWithCells="1">
                  <from>
                    <xdr:col>4</xdr:col>
                    <xdr:colOff>1019175</xdr:colOff>
                    <xdr:row>25</xdr:row>
                    <xdr:rowOff>19050</xdr:rowOff>
                  </from>
                  <to>
                    <xdr:col>5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16" name="Spinner 67">
              <controlPr defaultSize="0" autoPict="0">
                <anchor moveWithCells="1" sizeWithCells="1">
                  <from>
                    <xdr:col>4</xdr:col>
                    <xdr:colOff>1019175</xdr:colOff>
                    <xdr:row>27</xdr:row>
                    <xdr:rowOff>0</xdr:rowOff>
                  </from>
                  <to>
                    <xdr:col>5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17" name="Spinner 68">
              <controlPr defaultSize="0" autoPict="0">
                <anchor moveWithCells="1" sizeWithCells="1">
                  <from>
                    <xdr:col>4</xdr:col>
                    <xdr:colOff>1019175</xdr:colOff>
                    <xdr:row>29</xdr:row>
                    <xdr:rowOff>19050</xdr:rowOff>
                  </from>
                  <to>
                    <xdr:col>5</xdr:col>
                    <xdr:colOff>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18" name="Spinner 69">
              <controlPr defaultSize="0" autoPict="0">
                <anchor moveWithCells="1" sizeWithCells="1">
                  <from>
                    <xdr:col>4</xdr:col>
                    <xdr:colOff>1019175</xdr:colOff>
                    <xdr:row>30</xdr:row>
                    <xdr:rowOff>19050</xdr:rowOff>
                  </from>
                  <to>
                    <xdr:col>5</xdr:col>
                    <xdr:colOff>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IVenPM">
    <tabColor rgb="FF92D050"/>
  </sheetPr>
  <dimension ref="A1:M33"/>
  <sheetViews>
    <sheetView workbookViewId="0">
      <selection activeCell="N30" sqref="N30"/>
    </sheetView>
  </sheetViews>
  <sheetFormatPr defaultRowHeight="12.75" x14ac:dyDescent="0.2"/>
  <cols>
    <col min="1" max="2" width="15.42578125" customWidth="1"/>
    <col min="3" max="6" width="15.42578125" style="315" customWidth="1"/>
  </cols>
  <sheetData>
    <row r="1" spans="1:13" x14ac:dyDescent="0.2">
      <c r="A1" s="1" t="s">
        <v>1050</v>
      </c>
      <c r="B1" s="1" t="s">
        <v>1051</v>
      </c>
      <c r="C1" s="1" t="s">
        <v>188</v>
      </c>
      <c r="D1" s="1" t="s">
        <v>4468</v>
      </c>
      <c r="E1" s="1" t="s">
        <v>122</v>
      </c>
      <c r="F1" s="1" t="s">
        <v>337</v>
      </c>
      <c r="H1" s="1" t="s">
        <v>265</v>
      </c>
      <c r="I1" s="1" t="s">
        <v>64</v>
      </c>
      <c r="J1" s="1" t="s">
        <v>210</v>
      </c>
      <c r="K1">
        <v>30</v>
      </c>
      <c r="L1">
        <v>70</v>
      </c>
      <c r="M1" s="1" t="s">
        <v>4468</v>
      </c>
    </row>
    <row r="2" spans="1:13" x14ac:dyDescent="0.2">
      <c r="A2" s="6">
        <v>1</v>
      </c>
      <c r="B2" s="6">
        <v>1</v>
      </c>
      <c r="C2" s="6" t="str">
        <f t="shared" ref="C2:C7" si="0">IF(INDEX(tblInfusenBer,B2,2)=0,"",INDEX(tblInfusenBer,B2,2)&amp;" ml")</f>
        <v/>
      </c>
      <c r="D2" s="6" t="str">
        <f>IF(B2&gt;1,"verw","")</f>
        <v/>
      </c>
      <c r="E2" s="6" t="b">
        <f t="shared" ref="E2:E7" si="1">IF(INDEX(tblInfusenBer,B2,2)&lt;&gt;0,INDEX(tblInfusenBer,B2,3))</f>
        <v>0</v>
      </c>
      <c r="F2" s="6">
        <f t="shared" ref="F2:F7" si="2">IF(INDEX(tblInfusenBer,B2,2)&lt;&gt;0,INDEX(tblInfusenBer,B2,2),0)</f>
        <v>0</v>
      </c>
      <c r="H2">
        <v>1</v>
      </c>
      <c r="I2">
        <v>1</v>
      </c>
      <c r="J2" s="1" t="s">
        <v>261</v>
      </c>
      <c r="K2">
        <v>1</v>
      </c>
      <c r="L2">
        <v>10</v>
      </c>
      <c r="M2" t="str">
        <f>IF(_Ped_PM_Actief&gt;1,"verw","")</f>
        <v/>
      </c>
    </row>
    <row r="3" spans="1:13" x14ac:dyDescent="0.2">
      <c r="A3" s="6">
        <v>2</v>
      </c>
      <c r="B3" s="6">
        <v>1</v>
      </c>
      <c r="C3" s="6" t="str">
        <f t="shared" si="0"/>
        <v/>
      </c>
      <c r="D3" s="6" t="str">
        <f t="shared" ref="D3:D7" si="3">IF(B3&gt;1,"verw","")</f>
        <v/>
      </c>
      <c r="E3" s="6" t="b">
        <f t="shared" si="1"/>
        <v>0</v>
      </c>
      <c r="F3" s="6">
        <f t="shared" si="2"/>
        <v>0</v>
      </c>
      <c r="J3" s="1" t="s">
        <v>262</v>
      </c>
      <c r="K3">
        <v>1</v>
      </c>
      <c r="L3">
        <v>10</v>
      </c>
      <c r="M3" t="str">
        <f>IF(_Ped_PM_Actief&gt;1,"stand","")</f>
        <v/>
      </c>
    </row>
    <row r="4" spans="1:13" x14ac:dyDescent="0.2">
      <c r="A4" s="6">
        <v>3</v>
      </c>
      <c r="B4" s="6">
        <v>1</v>
      </c>
      <c r="C4" s="6" t="str">
        <f t="shared" si="0"/>
        <v/>
      </c>
      <c r="D4" s="6" t="str">
        <f t="shared" si="3"/>
        <v/>
      </c>
      <c r="E4" s="6" t="b">
        <f t="shared" si="1"/>
        <v>0</v>
      </c>
      <c r="F4" s="6">
        <f t="shared" si="2"/>
        <v>0</v>
      </c>
      <c r="J4" s="1" t="s">
        <v>263</v>
      </c>
      <c r="K4">
        <v>20</v>
      </c>
      <c r="L4">
        <v>170</v>
      </c>
    </row>
    <row r="5" spans="1:13" x14ac:dyDescent="0.2">
      <c r="A5" s="6">
        <v>4</v>
      </c>
      <c r="B5" s="6">
        <v>1</v>
      </c>
      <c r="C5" s="6" t="str">
        <f t="shared" si="0"/>
        <v/>
      </c>
      <c r="D5" s="6" t="str">
        <f t="shared" si="3"/>
        <v/>
      </c>
      <c r="E5" s="6" t="b">
        <f t="shared" si="1"/>
        <v>0</v>
      </c>
      <c r="F5" s="6">
        <f t="shared" si="2"/>
        <v>0</v>
      </c>
      <c r="G5" s="387"/>
      <c r="J5" s="1" t="s">
        <v>264</v>
      </c>
      <c r="K5">
        <v>2</v>
      </c>
      <c r="L5">
        <v>20</v>
      </c>
    </row>
    <row r="6" spans="1:13" x14ac:dyDescent="0.2">
      <c r="A6" s="6">
        <v>5</v>
      </c>
      <c r="B6" s="6">
        <v>1</v>
      </c>
      <c r="C6" s="6" t="str">
        <f t="shared" si="0"/>
        <v/>
      </c>
      <c r="D6" s="6" t="str">
        <f t="shared" si="3"/>
        <v/>
      </c>
      <c r="E6" s="6" t="b">
        <f t="shared" si="1"/>
        <v>0</v>
      </c>
      <c r="F6" s="6">
        <f t="shared" si="2"/>
        <v>0</v>
      </c>
      <c r="G6" s="387"/>
      <c r="J6" s="1" t="s">
        <v>298</v>
      </c>
      <c r="K6">
        <v>10</v>
      </c>
      <c r="L6">
        <v>20</v>
      </c>
    </row>
    <row r="7" spans="1:13" x14ac:dyDescent="0.2">
      <c r="A7" s="6">
        <v>6</v>
      </c>
      <c r="B7" s="6">
        <v>1</v>
      </c>
      <c r="C7" s="6" t="str">
        <f t="shared" si="0"/>
        <v/>
      </c>
      <c r="D7" s="6" t="str">
        <f t="shared" si="3"/>
        <v/>
      </c>
      <c r="E7" s="6" t="b">
        <f t="shared" si="1"/>
        <v>0</v>
      </c>
      <c r="F7" s="6">
        <f t="shared" si="2"/>
        <v>0</v>
      </c>
      <c r="G7" s="387"/>
    </row>
    <row r="8" spans="1:13" x14ac:dyDescent="0.2">
      <c r="A8" s="387"/>
      <c r="B8" s="387"/>
      <c r="C8" s="387"/>
      <c r="D8" s="387"/>
      <c r="E8" s="387"/>
      <c r="F8" s="387"/>
      <c r="G8" s="387"/>
    </row>
    <row r="9" spans="1:13" x14ac:dyDescent="0.2">
      <c r="A9" s="387" t="s">
        <v>244</v>
      </c>
      <c r="B9" s="387"/>
      <c r="C9" s="387"/>
      <c r="D9" s="387" t="str">
        <f>IF(_Ped_IVLijn_Opm="","","verw")</f>
        <v/>
      </c>
      <c r="E9" s="387">
        <f>SUM(E2:E8)</f>
        <v>0</v>
      </c>
      <c r="F9" s="387">
        <f>SUM(F2:F8)</f>
        <v>0</v>
      </c>
      <c r="G9" s="387"/>
    </row>
    <row r="10" spans="1:13" x14ac:dyDescent="0.2">
      <c r="A10" s="387"/>
      <c r="B10" s="387"/>
      <c r="C10" s="387"/>
      <c r="D10" s="387"/>
      <c r="E10" s="387"/>
      <c r="F10" s="387"/>
      <c r="G10" s="387"/>
    </row>
    <row r="11" spans="1:13" x14ac:dyDescent="0.2">
      <c r="A11" s="387"/>
      <c r="B11" s="387"/>
      <c r="C11" s="387"/>
      <c r="D11" s="387"/>
      <c r="E11" s="387"/>
      <c r="F11" s="387"/>
      <c r="G11" s="387"/>
    </row>
    <row r="12" spans="1:13" x14ac:dyDescent="0.2">
      <c r="A12" s="387"/>
      <c r="B12" s="387"/>
      <c r="C12" s="387"/>
      <c r="D12" s="387"/>
      <c r="E12" s="387"/>
      <c r="F12" s="387"/>
      <c r="G12" s="387"/>
    </row>
    <row r="13" spans="1:13" x14ac:dyDescent="0.2">
      <c r="A13" s="387"/>
      <c r="B13" s="387"/>
      <c r="C13" s="387"/>
      <c r="D13" s="387"/>
      <c r="E13" s="387"/>
      <c r="F13" s="387"/>
      <c r="G13" s="387"/>
    </row>
    <row r="14" spans="1:13" x14ac:dyDescent="0.2">
      <c r="A14" s="387"/>
      <c r="B14" s="387"/>
      <c r="C14" s="387"/>
      <c r="D14" s="387"/>
      <c r="E14" s="387"/>
      <c r="F14" s="387"/>
      <c r="G14" s="387"/>
    </row>
    <row r="15" spans="1:13" x14ac:dyDescent="0.2">
      <c r="A15" s="387"/>
      <c r="B15" s="387"/>
      <c r="C15" s="387"/>
      <c r="D15" s="387"/>
      <c r="E15" s="387"/>
      <c r="F15" s="387"/>
      <c r="G15" s="387"/>
    </row>
    <row r="16" spans="1:13" x14ac:dyDescent="0.2">
      <c r="A16" s="387"/>
      <c r="B16" s="387"/>
      <c r="C16" s="387"/>
      <c r="D16" s="387"/>
      <c r="E16" s="387"/>
      <c r="F16" s="387"/>
      <c r="G16" s="387"/>
    </row>
    <row r="17" spans="1:7" x14ac:dyDescent="0.2">
      <c r="A17" s="387"/>
      <c r="B17" s="387"/>
      <c r="C17" s="387"/>
      <c r="D17" s="387"/>
      <c r="E17" s="387"/>
      <c r="F17" s="387"/>
      <c r="G17" s="387"/>
    </row>
    <row r="18" spans="1:7" x14ac:dyDescent="0.2">
      <c r="A18" s="387"/>
      <c r="B18" s="387"/>
      <c r="C18" s="387"/>
      <c r="D18" s="387"/>
      <c r="E18" s="387"/>
      <c r="F18" s="387"/>
      <c r="G18" s="387"/>
    </row>
    <row r="19" spans="1:7" x14ac:dyDescent="0.2">
      <c r="A19" s="387"/>
      <c r="B19" s="387"/>
      <c r="C19" s="387"/>
      <c r="D19" s="387"/>
      <c r="E19" s="387"/>
      <c r="F19" s="387"/>
      <c r="G19" s="387"/>
    </row>
    <row r="20" spans="1:7" x14ac:dyDescent="0.2">
      <c r="A20" s="387"/>
      <c r="B20" s="387"/>
      <c r="C20" s="387"/>
      <c r="D20" s="387"/>
      <c r="E20" s="387"/>
      <c r="F20" s="387"/>
      <c r="G20" s="387"/>
    </row>
    <row r="21" spans="1:7" x14ac:dyDescent="0.2">
      <c r="A21" s="387"/>
      <c r="B21" s="387"/>
      <c r="C21" s="387"/>
      <c r="D21" s="387"/>
      <c r="E21" s="387"/>
      <c r="F21" s="387"/>
      <c r="G21" s="387"/>
    </row>
    <row r="22" spans="1:7" x14ac:dyDescent="0.2">
      <c r="A22" s="387"/>
      <c r="B22" s="387"/>
      <c r="C22" s="387"/>
      <c r="D22" s="387"/>
      <c r="E22" s="387"/>
      <c r="F22" s="387"/>
      <c r="G22" s="387"/>
    </row>
    <row r="23" spans="1:7" x14ac:dyDescent="0.2">
      <c r="A23" s="387"/>
      <c r="B23" s="387"/>
      <c r="C23" s="387"/>
      <c r="D23" s="387"/>
      <c r="E23" s="387"/>
      <c r="F23" s="387"/>
      <c r="G23" s="387"/>
    </row>
    <row r="24" spans="1:7" x14ac:dyDescent="0.2">
      <c r="A24" s="387"/>
      <c r="B24" s="387"/>
      <c r="C24" s="387"/>
      <c r="D24" s="387"/>
      <c r="E24" s="387"/>
      <c r="F24" s="387"/>
      <c r="G24" s="387"/>
    </row>
    <row r="25" spans="1:7" x14ac:dyDescent="0.2">
      <c r="A25" s="387"/>
      <c r="B25" s="387"/>
      <c r="C25" s="387"/>
      <c r="D25" s="387"/>
      <c r="E25" s="387"/>
      <c r="F25" s="387"/>
      <c r="G25" s="387"/>
    </row>
    <row r="26" spans="1:7" x14ac:dyDescent="0.2">
      <c r="A26" s="387"/>
      <c r="B26" s="387"/>
      <c r="C26" s="387"/>
      <c r="D26" s="387"/>
      <c r="E26" s="387"/>
      <c r="F26" s="387"/>
      <c r="G26" s="387"/>
    </row>
    <row r="27" spans="1:7" x14ac:dyDescent="0.2">
      <c r="A27" s="387"/>
      <c r="B27" s="387"/>
      <c r="C27" s="387"/>
      <c r="D27" s="387"/>
      <c r="E27" s="387"/>
      <c r="F27" s="387"/>
      <c r="G27" s="387"/>
    </row>
    <row r="28" spans="1:7" x14ac:dyDescent="0.2">
      <c r="A28" s="387"/>
      <c r="B28" s="387"/>
      <c r="C28" s="387"/>
      <c r="D28" s="387"/>
      <c r="E28" s="387"/>
      <c r="F28" s="387"/>
      <c r="G28" s="387"/>
    </row>
    <row r="29" spans="1:7" x14ac:dyDescent="0.2">
      <c r="A29" s="387"/>
      <c r="B29" s="387"/>
      <c r="C29" s="387"/>
      <c r="D29" s="387"/>
      <c r="E29" s="387"/>
      <c r="F29" s="387"/>
      <c r="G29" s="387"/>
    </row>
    <row r="30" spans="1:7" x14ac:dyDescent="0.2">
      <c r="A30" s="387"/>
      <c r="B30" s="387"/>
      <c r="C30" s="387"/>
      <c r="D30" s="387"/>
      <c r="E30" s="387"/>
      <c r="F30" s="387"/>
      <c r="G30" s="387"/>
    </row>
    <row r="31" spans="1:7" x14ac:dyDescent="0.2">
      <c r="A31" s="387"/>
      <c r="B31" s="387"/>
      <c r="C31" s="387"/>
      <c r="D31" s="387"/>
      <c r="E31" s="387"/>
      <c r="F31" s="387"/>
      <c r="G31" s="387"/>
    </row>
    <row r="32" spans="1:7" x14ac:dyDescent="0.2">
      <c r="A32" s="387"/>
      <c r="B32" s="387"/>
      <c r="C32" s="387"/>
      <c r="D32" s="387"/>
      <c r="E32" s="387"/>
      <c r="F32" s="387"/>
      <c r="G32" s="387"/>
    </row>
    <row r="33" spans="1:7" x14ac:dyDescent="0.2">
      <c r="A33" s="387"/>
      <c r="B33" s="387"/>
      <c r="C33" s="387"/>
      <c r="D33" s="387"/>
      <c r="E33" s="387"/>
      <c r="F33" s="387"/>
      <c r="G33" s="387"/>
    </row>
  </sheetData>
  <customSheetViews>
    <customSheetView guid="{33CCADFA-0D48-46A6-8927-2B2144029216}" state="veryHidden" topLeftCell="H1">
      <selection activeCell="R1" sqref="R1:R6"/>
      <pageMargins left="0.75" right="0.75" top="1" bottom="1" header="0.5" footer="0.5"/>
      <headerFooter alignWithMargins="0"/>
    </customSheetView>
  </customSheetViews>
  <phoneticPr fontId="28" type="noConversion"/>
  <pageMargins left="0.75" right="0.75" top="1" bottom="1" header="0.5" footer="0.5"/>
  <pageSetup paperSize="9" orientation="portrait" r:id="rId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IV">
    <tabColor rgb="FFFFC000"/>
  </sheetPr>
  <dimension ref="A1:F34"/>
  <sheetViews>
    <sheetView workbookViewId="0">
      <selection activeCell="A2" sqref="A2:C34"/>
    </sheetView>
  </sheetViews>
  <sheetFormatPr defaultRowHeight="12.75" x14ac:dyDescent="0.2"/>
  <cols>
    <col min="1" max="1" width="59.42578125" customWidth="1"/>
    <col min="5" max="6" width="18.7109375" customWidth="1"/>
  </cols>
  <sheetData>
    <row r="1" spans="1:6" s="1" customFormat="1" x14ac:dyDescent="0.2">
      <c r="A1" s="1" t="s">
        <v>1048</v>
      </c>
      <c r="B1" s="1" t="s">
        <v>276</v>
      </c>
      <c r="C1" s="1" t="s">
        <v>1049</v>
      </c>
      <c r="E1" s="1" t="s">
        <v>1052</v>
      </c>
      <c r="F1" s="1" t="s">
        <v>1053</v>
      </c>
    </row>
    <row r="2" spans="1:6" x14ac:dyDescent="0.2">
      <c r="A2" s="366"/>
      <c r="B2" s="315"/>
      <c r="C2" s="315"/>
      <c r="E2" s="315"/>
      <c r="F2" s="315"/>
    </row>
    <row r="3" spans="1:6" x14ac:dyDescent="0.2">
      <c r="A3" s="6" t="s">
        <v>155</v>
      </c>
      <c r="B3" s="315"/>
      <c r="C3" s="315"/>
      <c r="E3" s="315" t="s">
        <v>364</v>
      </c>
      <c r="F3" s="315" t="s">
        <v>258</v>
      </c>
    </row>
    <row r="4" spans="1:6" x14ac:dyDescent="0.2">
      <c r="A4" s="385" t="s">
        <v>1064</v>
      </c>
      <c r="B4" s="386">
        <v>48</v>
      </c>
      <c r="C4" s="386">
        <v>7.44</v>
      </c>
      <c r="E4" s="315" t="s">
        <v>256</v>
      </c>
      <c r="F4" s="315" t="s">
        <v>259</v>
      </c>
    </row>
    <row r="5" spans="1:6" x14ac:dyDescent="0.2">
      <c r="A5" s="385" t="s">
        <v>1065</v>
      </c>
      <c r="B5" s="386">
        <v>72</v>
      </c>
      <c r="C5" s="386">
        <v>11.16</v>
      </c>
      <c r="E5" s="315" t="s">
        <v>257</v>
      </c>
      <c r="F5" s="315" t="s">
        <v>260</v>
      </c>
    </row>
    <row r="6" spans="1:6" x14ac:dyDescent="0.2">
      <c r="A6" s="385" t="s">
        <v>1017</v>
      </c>
      <c r="B6" s="387"/>
      <c r="C6" s="387"/>
    </row>
    <row r="7" spans="1:6" x14ac:dyDescent="0.2">
      <c r="A7" s="385" t="s">
        <v>1066</v>
      </c>
      <c r="B7" s="386">
        <v>48</v>
      </c>
      <c r="C7" s="386">
        <v>7.44</v>
      </c>
    </row>
    <row r="8" spans="1:6" x14ac:dyDescent="0.2">
      <c r="A8" s="385" t="s">
        <v>1067</v>
      </c>
      <c r="B8" s="386">
        <v>72</v>
      </c>
      <c r="C8" s="386">
        <v>11.16</v>
      </c>
    </row>
    <row r="9" spans="1:6" x14ac:dyDescent="0.2">
      <c r="A9" s="385" t="s">
        <v>82</v>
      </c>
      <c r="B9" s="387"/>
      <c r="C9" s="387"/>
    </row>
    <row r="10" spans="1:6" x14ac:dyDescent="0.2">
      <c r="A10" s="385" t="s">
        <v>402</v>
      </c>
      <c r="B10" s="387"/>
      <c r="C10" s="387"/>
    </row>
    <row r="11" spans="1:6" x14ac:dyDescent="0.2">
      <c r="A11" s="385" t="s">
        <v>403</v>
      </c>
      <c r="B11" s="387"/>
      <c r="C11" s="387"/>
    </row>
    <row r="12" spans="1:6" x14ac:dyDescent="0.2">
      <c r="A12" s="385" t="s">
        <v>342</v>
      </c>
      <c r="B12" s="387"/>
      <c r="C12" s="387"/>
    </row>
    <row r="13" spans="1:6" x14ac:dyDescent="0.2">
      <c r="A13" s="385" t="s">
        <v>343</v>
      </c>
      <c r="B13" s="387"/>
      <c r="C13" s="387"/>
    </row>
    <row r="14" spans="1:6" x14ac:dyDescent="0.2">
      <c r="A14" s="385" t="s">
        <v>121</v>
      </c>
      <c r="B14" s="387"/>
      <c r="C14" s="387"/>
    </row>
    <row r="15" spans="1:6" x14ac:dyDescent="0.2">
      <c r="A15" s="385" t="s">
        <v>1068</v>
      </c>
      <c r="B15" s="386">
        <v>48</v>
      </c>
      <c r="C15" s="386">
        <v>7.44</v>
      </c>
    </row>
    <row r="16" spans="1:6" x14ac:dyDescent="0.2">
      <c r="A16" s="385" t="s">
        <v>1069</v>
      </c>
      <c r="B16" s="386">
        <v>72</v>
      </c>
      <c r="C16" s="386">
        <v>11.16</v>
      </c>
    </row>
    <row r="17" spans="1:1" x14ac:dyDescent="0.2">
      <c r="A17" s="385" t="s">
        <v>187</v>
      </c>
    </row>
    <row r="18" spans="1:1" x14ac:dyDescent="0.2">
      <c r="A18" s="385" t="s">
        <v>402</v>
      </c>
    </row>
    <row r="19" spans="1:1" x14ac:dyDescent="0.2">
      <c r="A19" s="385" t="s">
        <v>403</v>
      </c>
    </row>
    <row r="20" spans="1:1" x14ac:dyDescent="0.2">
      <c r="A20" s="385" t="s">
        <v>344</v>
      </c>
    </row>
    <row r="21" spans="1:1" x14ac:dyDescent="0.2">
      <c r="A21" s="385" t="s">
        <v>319</v>
      </c>
    </row>
    <row r="22" spans="1:1" x14ac:dyDescent="0.2">
      <c r="A22" s="385" t="s">
        <v>154</v>
      </c>
    </row>
    <row r="23" spans="1:1" x14ac:dyDescent="0.2">
      <c r="A23" s="385" t="s">
        <v>320</v>
      </c>
    </row>
    <row r="24" spans="1:1" x14ac:dyDescent="0.2">
      <c r="A24" s="385" t="s">
        <v>306</v>
      </c>
    </row>
    <row r="25" spans="1:1" x14ac:dyDescent="0.2">
      <c r="A25" s="385" t="s">
        <v>1070</v>
      </c>
    </row>
    <row r="26" spans="1:1" x14ac:dyDescent="0.2">
      <c r="A26" s="385" t="s">
        <v>383</v>
      </c>
    </row>
    <row r="27" spans="1:1" x14ac:dyDescent="0.2">
      <c r="A27" s="385" t="s">
        <v>381</v>
      </c>
    </row>
    <row r="28" spans="1:1" x14ac:dyDescent="0.2">
      <c r="A28" s="385" t="s">
        <v>382</v>
      </c>
    </row>
    <row r="29" spans="1:1" x14ac:dyDescent="0.2">
      <c r="A29" s="385" t="s">
        <v>1071</v>
      </c>
    </row>
    <row r="30" spans="1:1" x14ac:dyDescent="0.2">
      <c r="A30" s="385" t="s">
        <v>1072</v>
      </c>
    </row>
    <row r="31" spans="1:1" x14ac:dyDescent="0.2">
      <c r="A31" s="385" t="s">
        <v>425</v>
      </c>
    </row>
    <row r="32" spans="1:1" x14ac:dyDescent="0.2">
      <c r="A32" s="385" t="s">
        <v>426</v>
      </c>
    </row>
    <row r="33" spans="1:3" x14ac:dyDescent="0.2">
      <c r="A33" s="385" t="s">
        <v>1112</v>
      </c>
      <c r="B33" s="386"/>
      <c r="C33" s="386"/>
    </row>
    <row r="34" spans="1:3" x14ac:dyDescent="0.2">
      <c r="A34" s="385" t="s">
        <v>1104</v>
      </c>
      <c r="B34" s="386">
        <v>48</v>
      </c>
      <c r="C34" s="386">
        <v>7.44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EntTPN">
    <tabColor rgb="FF7030A0"/>
    <pageSetUpPr autoPageBreaks="0"/>
  </sheetPr>
  <dimension ref="B1:W45"/>
  <sheetViews>
    <sheetView zoomScaleNormal="100" workbookViewId="0">
      <pane ySplit="5" topLeftCell="A15" activePane="bottomLeft" state="frozen"/>
      <selection activeCell="A6" sqref="A6"/>
      <selection pane="bottomLeft" activeCell="I33" sqref="I33"/>
    </sheetView>
  </sheetViews>
  <sheetFormatPr defaultColWidth="9.140625" defaultRowHeight="12.75" x14ac:dyDescent="0.2"/>
  <cols>
    <col min="1" max="1" width="4.7109375" style="692" customWidth="1"/>
    <col min="2" max="2" width="6" style="692" customWidth="1"/>
    <col min="3" max="3" width="3.140625" style="692" customWidth="1"/>
    <col min="4" max="4" width="14.28515625" style="692" customWidth="1"/>
    <col min="5" max="5" width="14.42578125" style="692" customWidth="1"/>
    <col min="6" max="6" width="12.140625" style="692" customWidth="1"/>
    <col min="7" max="7" width="26.42578125" style="692" customWidth="1"/>
    <col min="8" max="8" width="13.85546875" style="692" customWidth="1"/>
    <col min="9" max="9" width="15.28515625" style="692" customWidth="1"/>
    <col min="10" max="10" width="15.140625" style="692" customWidth="1"/>
    <col min="11" max="11" width="9.140625" style="692"/>
    <col min="12" max="12" width="10" style="692" customWidth="1"/>
    <col min="13" max="13" width="9.140625" style="692"/>
    <col min="14" max="14" width="10.42578125" style="692" customWidth="1"/>
    <col min="15" max="16" width="9.140625" style="692"/>
    <col min="17" max="17" width="10.7109375" style="692" bestFit="1" customWidth="1"/>
    <col min="18" max="19" width="9.140625" style="692"/>
    <col min="20" max="20" width="10.7109375" style="692" bestFit="1" customWidth="1"/>
    <col min="21" max="16384" width="9.140625" style="692"/>
  </cols>
  <sheetData>
    <row r="1" spans="2:23" s="675" customFormat="1" ht="17.25" customHeight="1" x14ac:dyDescent="0.2">
      <c r="B1" s="825"/>
      <c r="C1" s="661"/>
      <c r="D1" s="661"/>
      <c r="E1" s="661"/>
      <c r="F1" s="661"/>
      <c r="G1" s="661"/>
      <c r="H1" s="661"/>
      <c r="I1" s="661"/>
      <c r="J1" s="661"/>
      <c r="K1" s="661"/>
      <c r="L1" s="661"/>
    </row>
    <row r="2" spans="2:23" s="675" customFormat="1" ht="17.25" customHeight="1" x14ac:dyDescent="0.2">
      <c r="B2" s="661"/>
      <c r="C2" s="626"/>
      <c r="D2" s="661" t="s">
        <v>304</v>
      </c>
      <c r="E2" s="627">
        <f ca="1">Var_AfspraakDatum</f>
        <v>42750</v>
      </c>
      <c r="F2" s="628"/>
      <c r="G2" s="626" t="s">
        <v>4677</v>
      </c>
      <c r="H2" s="630" t="str">
        <f>PatDetails!B13</f>
        <v/>
      </c>
      <c r="I2" s="626" t="str">
        <f>PatDetails!B21</f>
        <v>Gewicht:</v>
      </c>
      <c r="J2" s="661"/>
      <c r="K2" s="661" t="s">
        <v>519</v>
      </c>
      <c r="L2" s="626">
        <f>__1_Bed</f>
        <v>0</v>
      </c>
    </row>
    <row r="3" spans="2:23" s="675" customFormat="1" ht="17.25" customHeight="1" x14ac:dyDescent="0.2">
      <c r="B3" s="661"/>
      <c r="C3" s="626"/>
      <c r="D3" s="661" t="s">
        <v>28</v>
      </c>
      <c r="E3" s="631" t="str">
        <f>PatDetails!B19</f>
        <v/>
      </c>
      <c r="F3" s="631"/>
      <c r="G3" s="626" t="s">
        <v>4678</v>
      </c>
      <c r="H3" s="630" t="str">
        <f ca="1">PatDetails!B14</f>
        <v/>
      </c>
      <c r="I3" s="626" t="str">
        <f>PatDetails!B22</f>
        <v>Lengte:</v>
      </c>
      <c r="J3" s="661"/>
      <c r="K3" s="876"/>
      <c r="L3" s="876"/>
      <c r="N3" s="702"/>
    </row>
    <row r="4" spans="2:23" s="675" customFormat="1" ht="17.25" customHeight="1" x14ac:dyDescent="0.2">
      <c r="B4" s="661"/>
      <c r="C4" s="626"/>
      <c r="D4" s="826" t="s">
        <v>4671</v>
      </c>
      <c r="E4" s="626" t="str">
        <f>PatDetails!B15</f>
        <v/>
      </c>
      <c r="F4" s="628"/>
      <c r="G4" s="626" t="s">
        <v>275</v>
      </c>
      <c r="H4" s="635" t="str">
        <f ca="1">PatDetails!B18</f>
        <v/>
      </c>
      <c r="I4" s="626" t="str">
        <f>PatDetails!B23</f>
        <v>Lichamelijk oppervlak:</v>
      </c>
      <c r="J4" s="661"/>
      <c r="K4" s="876"/>
      <c r="L4" s="876"/>
    </row>
    <row r="5" spans="2:23" s="675" customFormat="1" ht="8.1" customHeight="1" x14ac:dyDescent="0.2">
      <c r="B5" s="661"/>
      <c r="C5" s="626"/>
      <c r="D5" s="661"/>
      <c r="E5" s="661"/>
      <c r="F5" s="628"/>
      <c r="G5" s="626"/>
      <c r="H5" s="635"/>
      <c r="I5" s="626"/>
      <c r="J5" s="661"/>
      <c r="K5" s="876"/>
      <c r="L5" s="876"/>
    </row>
    <row r="6" spans="2:23" s="675" customFormat="1" ht="8.1" customHeight="1" x14ac:dyDescent="0.2">
      <c r="C6" s="673"/>
      <c r="E6" s="673"/>
      <c r="F6" s="674"/>
      <c r="G6" s="673"/>
      <c r="H6" s="685"/>
      <c r="I6" s="673"/>
    </row>
    <row r="7" spans="2:23" s="675" customFormat="1" ht="20.100000000000001" customHeight="1" x14ac:dyDescent="0.2">
      <c r="B7" s="662" t="s">
        <v>4468</v>
      </c>
      <c r="C7" s="844"/>
      <c r="D7" s="662" t="s">
        <v>4672</v>
      </c>
      <c r="E7" s="844"/>
      <c r="F7" s="845"/>
      <c r="G7" s="844"/>
      <c r="H7" s="846"/>
      <c r="I7" s="844"/>
      <c r="J7" s="662"/>
      <c r="K7" s="662"/>
      <c r="L7" s="662"/>
    </row>
    <row r="8" spans="2:23" ht="8.1" customHeight="1" x14ac:dyDescent="0.2">
      <c r="B8" s="703"/>
      <c r="D8" s="704"/>
      <c r="E8" s="646"/>
      <c r="F8" s="647"/>
      <c r="G8" s="645"/>
      <c r="H8" s="648"/>
      <c r="I8" s="645"/>
      <c r="J8" s="645"/>
      <c r="K8" s="645"/>
      <c r="L8" s="645"/>
    </row>
    <row r="9" spans="2:23" ht="20.100000000000001" customHeight="1" x14ac:dyDescent="0.2">
      <c r="B9" s="705" t="str">
        <f>PedBerEnt!I3</f>
        <v/>
      </c>
      <c r="C9" s="623"/>
      <c r="D9" s="623" t="s">
        <v>157</v>
      </c>
      <c r="G9" s="623"/>
      <c r="H9" s="703"/>
      <c r="I9" s="703"/>
      <c r="J9" s="623" t="s">
        <v>4673</v>
      </c>
      <c r="K9" s="623"/>
      <c r="L9" s="623"/>
      <c r="O9" s="706"/>
    </row>
    <row r="10" spans="2:23" ht="20.100000000000001" customHeight="1" x14ac:dyDescent="0.2">
      <c r="B10" s="705"/>
      <c r="D10" s="703"/>
      <c r="H10" s="703"/>
      <c r="I10" s="703"/>
      <c r="J10" s="810" t="s">
        <v>167</v>
      </c>
      <c r="K10" s="776">
        <f>PedBerEnt!B11</f>
        <v>0</v>
      </c>
      <c r="L10" s="703"/>
      <c r="M10" s="707"/>
      <c r="O10" s="706"/>
    </row>
    <row r="11" spans="2:23" ht="20.100000000000001" customHeight="1" x14ac:dyDescent="0.2">
      <c r="B11" s="705"/>
      <c r="C11" s="623"/>
      <c r="D11" s="809" t="s">
        <v>284</v>
      </c>
      <c r="E11" s="623"/>
      <c r="F11" s="623"/>
      <c r="G11" s="623"/>
      <c r="H11" s="703"/>
      <c r="I11" s="703"/>
      <c r="J11" s="810" t="s">
        <v>223</v>
      </c>
      <c r="K11" s="777">
        <f>PedBerEnt!B12</f>
        <v>0</v>
      </c>
      <c r="L11" s="708" t="s">
        <v>31</v>
      </c>
    </row>
    <row r="12" spans="2:23" ht="20.100000000000001" customHeight="1" x14ac:dyDescent="0.2">
      <c r="B12" s="705" t="str">
        <f>PedBerEnt!H3</f>
        <v>verw</v>
      </c>
      <c r="C12" s="623"/>
      <c r="D12" s="780" t="str">
        <f>PedBerEnt!J3</f>
        <v>1 dd</v>
      </c>
      <c r="E12" s="781" t="str">
        <f>IF(PedBerEnt!E3&lt;&gt;0,PedBerEnt!D3&amp;" ml","")</f>
        <v>1 ml</v>
      </c>
      <c r="H12" s="709" t="str">
        <f>PedBerEnt!L3</f>
        <v>1 mL/dag</v>
      </c>
      <c r="I12" s="703"/>
      <c r="J12" s="810" t="s">
        <v>168</v>
      </c>
      <c r="K12" s="777">
        <f>PedBerEnt!B13</f>
        <v>0</v>
      </c>
      <c r="L12" s="708" t="s">
        <v>31</v>
      </c>
      <c r="Q12" s="710"/>
      <c r="R12" s="710"/>
      <c r="S12" s="710"/>
      <c r="T12" s="710"/>
      <c r="U12" s="710"/>
      <c r="V12" s="710"/>
      <c r="W12" s="710"/>
    </row>
    <row r="13" spans="2:23" ht="20.100000000000001" customHeight="1" x14ac:dyDescent="0.2">
      <c r="B13" s="705"/>
      <c r="C13" s="623"/>
      <c r="D13" s="623" t="s">
        <v>1011</v>
      </c>
      <c r="E13" s="808"/>
      <c r="F13" s="623"/>
      <c r="G13" s="623"/>
      <c r="H13" s="709"/>
      <c r="I13" s="703"/>
      <c r="J13" s="811" t="s">
        <v>224</v>
      </c>
      <c r="K13" s="777">
        <f>PedBerEnt!B14</f>
        <v>0</v>
      </c>
      <c r="L13" s="708" t="s">
        <v>31</v>
      </c>
      <c r="Q13" s="710"/>
      <c r="R13" s="710"/>
      <c r="S13" s="710"/>
      <c r="T13" s="710"/>
      <c r="U13" s="710"/>
      <c r="V13" s="710"/>
      <c r="W13" s="710"/>
    </row>
    <row r="14" spans="2:23" ht="20.100000000000001" customHeight="1" thickBot="1" x14ac:dyDescent="0.25">
      <c r="B14" s="705" t="str">
        <f>PedBerEnt!H4</f>
        <v>verw</v>
      </c>
      <c r="C14" s="623"/>
      <c r="D14" s="782" t="str">
        <f>PedBerEnt!J4</f>
        <v>1 dd</v>
      </c>
      <c r="E14" s="783" t="str">
        <f>IF(PedBerEnt!F4&gt;1,PedBerEnt!D4&amp;" gram","")</f>
        <v>1 gram</v>
      </c>
      <c r="F14" s="711"/>
      <c r="G14" s="712"/>
      <c r="H14" s="709" t="str">
        <f>PedBerEnt!L4</f>
        <v>1 gram/dag</v>
      </c>
      <c r="I14" s="703"/>
      <c r="J14" s="811" t="s">
        <v>169</v>
      </c>
      <c r="K14" s="777">
        <f>PedBerEnt!B15</f>
        <v>0</v>
      </c>
      <c r="L14" s="708" t="s">
        <v>162</v>
      </c>
      <c r="Q14" s="710"/>
      <c r="R14" s="710"/>
      <c r="S14" s="710"/>
      <c r="T14" s="710"/>
      <c r="U14" s="710"/>
      <c r="V14" s="710"/>
      <c r="W14" s="710"/>
    </row>
    <row r="15" spans="2:23" ht="20.100000000000001" customHeight="1" thickTop="1" thickBot="1" x14ac:dyDescent="0.25">
      <c r="B15" s="705" t="str">
        <f>PedBerEnt!H5</f>
        <v>verw</v>
      </c>
      <c r="C15" s="623"/>
      <c r="D15" s="784" t="str">
        <f>PedBerEnt!J5</f>
        <v>1 dd</v>
      </c>
      <c r="E15" s="785" t="str">
        <f>IF(PedBerEnt!F5&gt;1,PedBerEnt!D5&amp;" gram","")</f>
        <v>1 gram</v>
      </c>
      <c r="F15" s="713"/>
      <c r="G15" s="714"/>
      <c r="H15" s="709" t="str">
        <f>PedBerEnt!L5</f>
        <v>1 gram/dag</v>
      </c>
      <c r="I15" s="703"/>
      <c r="J15" s="811" t="s">
        <v>279</v>
      </c>
      <c r="K15" s="777">
        <f>PedBerEnt!B16</f>
        <v>0</v>
      </c>
      <c r="L15" s="708" t="s">
        <v>162</v>
      </c>
      <c r="Q15" s="710"/>
      <c r="R15" s="710"/>
      <c r="S15" s="710"/>
      <c r="T15" s="710"/>
      <c r="U15" s="710"/>
      <c r="V15" s="710"/>
      <c r="W15" s="710"/>
    </row>
    <row r="16" spans="2:23" ht="20.100000000000001" customHeight="1" thickTop="1" thickBot="1" x14ac:dyDescent="0.25">
      <c r="B16" s="705" t="str">
        <f>PedBerEnt!H6</f>
        <v>verw</v>
      </c>
      <c r="C16" s="623"/>
      <c r="D16" s="786" t="str">
        <f>PedBerEnt!J6</f>
        <v>1 dd</v>
      </c>
      <c r="E16" s="787" t="str">
        <f>IF(PedBerEnt!F6&gt;1,PedBerEnt!D6&amp;" gram","")</f>
        <v>1 gram</v>
      </c>
      <c r="F16" s="713"/>
      <c r="G16" s="714"/>
      <c r="H16" s="709" t="str">
        <f>PedBerEnt!L6</f>
        <v>1 gram/dag</v>
      </c>
      <c r="I16" s="703"/>
      <c r="J16" s="811" t="s">
        <v>225</v>
      </c>
      <c r="K16" s="777">
        <f>PedBerEnt!B17</f>
        <v>0</v>
      </c>
      <c r="L16" s="708" t="s">
        <v>162</v>
      </c>
      <c r="Q16" s="710"/>
      <c r="R16" s="710"/>
      <c r="S16" s="710"/>
      <c r="T16" s="710"/>
      <c r="U16" s="710"/>
      <c r="V16" s="710"/>
      <c r="W16" s="710"/>
    </row>
    <row r="17" spans="2:23" ht="20.100000000000001" customHeight="1" thickTop="1" x14ac:dyDescent="0.2">
      <c r="D17" s="659"/>
      <c r="E17" s="645"/>
      <c r="I17" s="703"/>
      <c r="J17" s="810" t="s">
        <v>170</v>
      </c>
      <c r="K17" s="777">
        <f>PedBerEnt!B18</f>
        <v>0</v>
      </c>
      <c r="L17" s="708" t="s">
        <v>162</v>
      </c>
      <c r="M17" s="710"/>
      <c r="Q17" s="710"/>
      <c r="R17" s="710"/>
      <c r="S17" s="710"/>
      <c r="T17" s="710"/>
      <c r="U17" s="710"/>
      <c r="V17" s="710"/>
      <c r="W17" s="710"/>
    </row>
    <row r="18" spans="2:23" ht="20.100000000000001" customHeight="1" thickBot="1" x14ac:dyDescent="0.25">
      <c r="B18" s="705" t="e">
        <f>PedBerEnt!#REF!</f>
        <v>#REF!</v>
      </c>
      <c r="C18" s="623"/>
      <c r="D18" s="810" t="s">
        <v>292</v>
      </c>
      <c r="E18" s="874">
        <f>_Ped_Ent_Opm</f>
        <v>0</v>
      </c>
      <c r="F18" s="875"/>
      <c r="G18" s="875"/>
      <c r="H18" s="875"/>
      <c r="I18" s="703"/>
      <c r="J18" s="811" t="s">
        <v>316</v>
      </c>
      <c r="K18" s="778">
        <f>PedBerEnt!B19</f>
        <v>0</v>
      </c>
      <c r="L18" s="708" t="s">
        <v>162</v>
      </c>
      <c r="M18" s="710"/>
      <c r="Q18" s="710"/>
      <c r="R18" s="710"/>
      <c r="S18" s="710"/>
      <c r="T18" s="710"/>
      <c r="U18" s="710"/>
      <c r="V18" s="710"/>
      <c r="W18" s="710"/>
    </row>
    <row r="19" spans="2:23" ht="8.1" customHeight="1" thickTop="1" x14ac:dyDescent="0.2">
      <c r="D19" s="715"/>
      <c r="E19" s="645"/>
      <c r="I19" s="703"/>
      <c r="J19" s="716"/>
      <c r="L19" s="710"/>
      <c r="M19" s="710"/>
      <c r="Q19" s="710"/>
      <c r="R19" s="710"/>
      <c r="S19" s="710"/>
      <c r="T19" s="710"/>
      <c r="U19" s="710"/>
      <c r="V19" s="710"/>
      <c r="W19" s="710"/>
    </row>
    <row r="20" spans="2:23" ht="20.100000000000001" customHeight="1" x14ac:dyDescent="0.2">
      <c r="B20" s="662" t="s">
        <v>4468</v>
      </c>
      <c r="C20" s="662"/>
      <c r="D20" s="662" t="s">
        <v>557</v>
      </c>
      <c r="E20" s="662"/>
      <c r="F20" s="662"/>
      <c r="G20" s="662"/>
      <c r="H20" s="662"/>
      <c r="I20" s="842"/>
      <c r="J20" s="662"/>
      <c r="K20" s="847"/>
      <c r="L20" s="847"/>
      <c r="M20" s="710"/>
      <c r="Q20" s="710"/>
      <c r="R20" s="710"/>
      <c r="S20" s="710"/>
      <c r="T20" s="710"/>
      <c r="U20" s="710"/>
      <c r="V20" s="710"/>
      <c r="W20" s="710"/>
    </row>
    <row r="21" spans="2:23" ht="8.1" customHeight="1" x14ac:dyDescent="0.2">
      <c r="B21" s="676"/>
      <c r="C21" s="676"/>
      <c r="D21" s="675"/>
      <c r="E21" s="676"/>
      <c r="F21" s="676"/>
      <c r="G21" s="676"/>
      <c r="H21" s="676"/>
      <c r="I21" s="717"/>
      <c r="J21" s="676"/>
      <c r="K21" s="718"/>
      <c r="L21" s="718"/>
      <c r="M21" s="710"/>
      <c r="Q21" s="710"/>
      <c r="R21" s="710"/>
      <c r="S21" s="710"/>
      <c r="T21" s="710"/>
      <c r="U21" s="710"/>
      <c r="V21" s="710"/>
      <c r="W21" s="710"/>
    </row>
    <row r="22" spans="2:23" ht="20.100000000000001" customHeight="1" x14ac:dyDescent="0.2">
      <c r="B22" s="705" t="str">
        <f>IF(AND(E22="",J22=""),"","verw")</f>
        <v/>
      </c>
      <c r="C22" s="623"/>
      <c r="D22" s="810" t="s">
        <v>4682</v>
      </c>
      <c r="E22" s="775" t="str">
        <f>IF(PedBerTPN!F3&lt;&gt;0,IF(PedBerTPN!F3/24&gt;=10,ROUND(PedBerTPN!F3/24,1),ROUND(PedBerTPN!F3/24,1))&amp;" ml/uur","")</f>
        <v/>
      </c>
      <c r="F22" s="704"/>
      <c r="G22" s="703"/>
      <c r="H22" s="703" t="str">
        <f>IF(E22&lt;&gt;"",PedBerTPN!F3&amp;" mL/dag","")</f>
        <v/>
      </c>
      <c r="I22" s="810" t="s">
        <v>4693</v>
      </c>
      <c r="J22" s="706" t="str">
        <f>IF(PedBerTPN!D19&lt;&gt;0,PedBerTPN!E19&amp;" ml/uur","")</f>
        <v/>
      </c>
      <c r="K22" s="703"/>
      <c r="L22" s="704" t="str">
        <f>IF(J22&lt;&gt;"",PedBerTPN!F19&amp;" mL/dag","")</f>
        <v/>
      </c>
      <c r="Q22" s="710"/>
      <c r="U22" s="710"/>
      <c r="V22" s="710"/>
      <c r="W22" s="710"/>
    </row>
    <row r="23" spans="2:23" ht="20.100000000000001" customHeight="1" x14ac:dyDescent="0.2">
      <c r="B23" s="705"/>
      <c r="C23" s="623"/>
      <c r="D23" s="623"/>
      <c r="F23" s="776" t="str">
        <f>IF(AND(PedBerTPN!E4&lt;&gt;0,PedBerTPN!E4&lt;&gt;"",PedBerTPN!B4&lt;&gt;1,PedBerTPN!F4&lt;&gt;0),PedBerTPN!F4&amp;" ml","")</f>
        <v/>
      </c>
      <c r="G23" s="704"/>
      <c r="H23" s="703"/>
      <c r="I23" s="623"/>
      <c r="K23" s="708"/>
      <c r="L23" s="708"/>
      <c r="Q23" s="710"/>
      <c r="U23" s="710"/>
      <c r="V23" s="710"/>
      <c r="W23" s="710"/>
    </row>
    <row r="24" spans="2:23" ht="20.100000000000001" customHeight="1" thickBot="1" x14ac:dyDescent="0.25">
      <c r="B24" s="705" t="str">
        <f>IF(E24="","","verw")</f>
        <v/>
      </c>
      <c r="C24" s="623"/>
      <c r="D24" s="810" t="s">
        <v>4683</v>
      </c>
      <c r="E24" s="703" t="str">
        <f>IF(AND(_Pat_Gewicht/10&gt;=16,_Ped_TPN_Keuze=2),ROUND((PedBerTPN!F5+PedBerTPN!F17)/24,1)&amp;" ml/uur","")</f>
        <v/>
      </c>
      <c r="F24" s="778" t="str">
        <f>IF(AND(_Pat_Gewicht/10&gt;=16,_Ped_TPN_Keuze=2),PedBerTPN!F5&amp;" ml","")</f>
        <v/>
      </c>
      <c r="G24" s="704" t="str">
        <f>IF(AND(_Pat_Gewicht/10&gt;=16,_Ped_TPN_Keuze=2)," in 100 ml glucose 10%,","")</f>
        <v/>
      </c>
      <c r="H24" s="703"/>
      <c r="I24" s="623"/>
      <c r="K24" s="708"/>
      <c r="L24" s="708"/>
      <c r="Q24" s="710"/>
      <c r="U24" s="710"/>
      <c r="V24" s="710"/>
      <c r="W24" s="710"/>
    </row>
    <row r="25" spans="2:23" ht="20.100000000000001" customHeight="1" thickTop="1" thickBot="1" x14ac:dyDescent="0.25">
      <c r="B25" s="705"/>
      <c r="C25" s="623"/>
      <c r="D25" s="623"/>
      <c r="F25" s="719" t="str">
        <f>IF(PedBerTPN!F6&lt;&gt;0,ROUND(PedBerTPN!F6,1)&amp;" ml","")</f>
        <v/>
      </c>
      <c r="G25" s="873"/>
      <c r="H25" s="873"/>
      <c r="I25" s="623"/>
      <c r="K25" s="703" t="str">
        <f>IF(PedBerTPN!F20&lt;&gt;0,ROUND(PedBerTPN!F20,1)&amp;" ml","")</f>
        <v/>
      </c>
      <c r="L25" s="703"/>
      <c r="Q25" s="710"/>
      <c r="U25" s="710"/>
      <c r="V25" s="710"/>
      <c r="W25" s="710"/>
    </row>
    <row r="26" spans="2:23" ht="20.100000000000001" customHeight="1" thickTop="1" x14ac:dyDescent="0.2">
      <c r="B26" s="705"/>
      <c r="C26" s="623"/>
      <c r="D26" s="810" t="s">
        <v>4684</v>
      </c>
      <c r="E26" s="703"/>
      <c r="F26" s="779" t="str">
        <f>IF(PedBerTPN!C7,PedBerTPN!F7&amp;" ml","")</f>
        <v/>
      </c>
      <c r="G26" s="703"/>
      <c r="H26" s="703"/>
      <c r="I26" s="810" t="s">
        <v>4684</v>
      </c>
      <c r="J26" s="776" t="str">
        <f>IF(PedBerTPN!C21,PedBerTPN!F21&amp;" ml","")</f>
        <v/>
      </c>
      <c r="K26" s="703"/>
      <c r="L26" s="703"/>
      <c r="Q26" s="710"/>
      <c r="U26" s="710"/>
      <c r="V26" s="710"/>
      <c r="W26" s="710"/>
    </row>
    <row r="27" spans="2:23" ht="20.100000000000001" customHeight="1" thickBot="1" x14ac:dyDescent="0.25">
      <c r="B27" s="705"/>
      <c r="C27" s="623"/>
      <c r="D27" s="810" t="s">
        <v>4685</v>
      </c>
      <c r="E27" s="703"/>
      <c r="F27" s="778" t="str">
        <f>IF(PedBerTPN!C8,PedBerTPN!F8&amp;" ml","")</f>
        <v/>
      </c>
      <c r="G27" s="703"/>
      <c r="H27" s="703"/>
      <c r="I27" s="810" t="s">
        <v>4685</v>
      </c>
      <c r="J27" s="778" t="str">
        <f>IF(PedBerTPN!C22,PedBerTPN!F22&amp;" ml","")</f>
        <v/>
      </c>
      <c r="K27" s="703"/>
      <c r="L27" s="703"/>
      <c r="Q27" s="710"/>
      <c r="U27" s="710"/>
      <c r="V27" s="710"/>
      <c r="W27" s="710"/>
    </row>
    <row r="28" spans="2:23" ht="9.9499999999999993" customHeight="1" thickTop="1" thickBot="1" x14ac:dyDescent="0.25">
      <c r="B28" s="705"/>
      <c r="C28" s="623"/>
      <c r="D28" s="810"/>
      <c r="E28" s="703"/>
      <c r="F28" s="719"/>
      <c r="G28" s="703"/>
      <c r="H28" s="703"/>
      <c r="I28" s="659"/>
      <c r="K28" s="706"/>
      <c r="L28" s="706"/>
      <c r="Q28" s="710"/>
      <c r="U28" s="710"/>
      <c r="V28" s="710"/>
      <c r="W28" s="710"/>
    </row>
    <row r="29" spans="2:23" ht="20.100000000000001" customHeight="1" thickTop="1" x14ac:dyDescent="0.2">
      <c r="B29" s="705" t="str">
        <f>IF(E29="","","verw")</f>
        <v/>
      </c>
      <c r="C29" s="623"/>
      <c r="D29" s="810" t="s">
        <v>4686</v>
      </c>
      <c r="E29" s="703" t="str">
        <f>IF(AND(_Pat_Gewicht/10&lt;=50,_Ped_TPN_SST1Keuze&lt;11,_Ped_TPN_Keuze=2),ROUND((PedBerTPN!F17+PedBerTPN!F10+PedBerTPN!F9)/24,1)&amp;" ml/uur","")</f>
        <v/>
      </c>
      <c r="F29" s="779" t="str">
        <f>IF(PedBerTPN!C9,PedBerTPN!D9&amp;" ml","")</f>
        <v/>
      </c>
      <c r="G29" s="703" t="str">
        <f>IF(AND(_Pat_Gewicht/10&lt;=50,_Ped_TPN_SST1Keuze&lt;11,_Ped_TPN_Keuze=2),"in "&amp;PedBerTPN!F17&amp;" ml glucose 10%","")</f>
        <v/>
      </c>
      <c r="H29" s="703"/>
      <c r="I29" s="659"/>
      <c r="K29" s="710"/>
      <c r="L29" s="710"/>
      <c r="M29" s="710"/>
      <c r="O29" s="710"/>
      <c r="P29" s="710"/>
      <c r="Q29" s="710"/>
      <c r="U29" s="710"/>
      <c r="V29" s="710"/>
      <c r="W29" s="710"/>
    </row>
    <row r="30" spans="2:23" ht="20.100000000000001" customHeight="1" thickBot="1" x14ac:dyDescent="0.25">
      <c r="B30" s="705"/>
      <c r="C30" s="623"/>
      <c r="D30" s="810" t="s">
        <v>4687</v>
      </c>
      <c r="E30" s="703"/>
      <c r="F30" s="778" t="str">
        <f>IF(PedBerTPN!C10,PedBerTPN!D10&amp;" ml","")</f>
        <v/>
      </c>
      <c r="G30" s="703"/>
      <c r="H30" s="720"/>
      <c r="K30" s="710"/>
      <c r="L30" s="710"/>
      <c r="M30" s="710"/>
      <c r="N30" s="710"/>
      <c r="O30" s="710"/>
      <c r="P30" s="710"/>
      <c r="Q30" s="710"/>
      <c r="U30" s="710"/>
      <c r="V30" s="710"/>
      <c r="W30" s="710"/>
    </row>
    <row r="31" spans="2:23" ht="9.9499999999999993" customHeight="1" thickTop="1" thickBot="1" x14ac:dyDescent="0.25">
      <c r="B31" s="705"/>
      <c r="D31" s="702"/>
      <c r="E31" s="703"/>
      <c r="F31" s="719"/>
      <c r="G31" s="703"/>
      <c r="H31" s="703"/>
      <c r="K31" s="710"/>
      <c r="L31" s="710"/>
      <c r="M31" s="710"/>
      <c r="N31" s="710"/>
      <c r="O31" s="710"/>
      <c r="P31" s="710"/>
      <c r="Q31" s="710"/>
      <c r="U31" s="710"/>
      <c r="V31" s="710"/>
      <c r="W31" s="710"/>
    </row>
    <row r="32" spans="2:23" ht="20.100000000000001" customHeight="1" thickTop="1" thickBot="1" x14ac:dyDescent="0.25">
      <c r="B32" s="705" t="str">
        <f>IF(E32="","","verw")</f>
        <v/>
      </c>
      <c r="C32" s="623"/>
      <c r="D32" s="810" t="s">
        <v>315</v>
      </c>
      <c r="E32" s="703" t="str">
        <f>IF(PedBerTPN!F11&gt;0,((ROUND(PedBerTPN!F11*1.5/(_Pat_Gewicht/10)/24/0.01,1)*24-PedBerTPN!F11)+PedBerTPN!F11)/24&amp;" ml/uur","")</f>
        <v/>
      </c>
      <c r="F32" s="774" t="str">
        <f>IF(PedBerTPN!C11,PedBerTPN!F11&amp;" ml","")</f>
        <v/>
      </c>
      <c r="G32" s="703" t="str">
        <f>IF(PedBerTPN!F11&gt;0,"plus "&amp;(ROUND(PedBerTPN!F11*1.5/(_Pat_Gewicht/10)/24/0.01,1)*24-PedBerTPN!F11)&amp;" ml gluc 5%","")</f>
        <v/>
      </c>
      <c r="H32" s="703" t="str">
        <f>IF(PedBerTPN!F11&gt;0,ROUND(PedBerTPN!F11*1.5/(_Pat_Gewicht/10),2)&amp;" mmol/kg","")</f>
        <v/>
      </c>
      <c r="K32" s="710"/>
      <c r="L32" s="710"/>
      <c r="M32" s="710"/>
      <c r="N32" s="710"/>
      <c r="O32" s="710"/>
      <c r="P32" s="710"/>
      <c r="Q32" s="710"/>
      <c r="U32" s="710"/>
      <c r="V32" s="710"/>
      <c r="W32" s="710"/>
    </row>
    <row r="33" spans="2:23" ht="8.1" customHeight="1" thickTop="1" x14ac:dyDescent="0.2">
      <c r="B33" s="705"/>
      <c r="C33" s="676"/>
      <c r="D33" s="702"/>
      <c r="F33" s="706"/>
      <c r="G33" s="703"/>
      <c r="H33" s="703"/>
      <c r="K33" s="710"/>
      <c r="L33" s="710"/>
      <c r="M33" s="710"/>
      <c r="N33" s="710"/>
      <c r="O33" s="710"/>
      <c r="P33" s="710"/>
      <c r="Q33" s="710"/>
      <c r="U33" s="710"/>
      <c r="V33" s="710"/>
      <c r="W33" s="710"/>
    </row>
    <row r="34" spans="2:23" ht="20.100000000000001" customHeight="1" x14ac:dyDescent="0.2">
      <c r="B34" s="705" t="str">
        <f>IF(E34="","","verw")</f>
        <v/>
      </c>
      <c r="C34" s="623"/>
      <c r="D34" s="810" t="s">
        <v>4688</v>
      </c>
      <c r="E34" s="775" t="str">
        <f>IF(PedBerTPN!D12&lt;&gt;0,PedBerTPN!E12&amp;" ml/uur","")</f>
        <v/>
      </c>
      <c r="F34" s="703"/>
      <c r="G34" s="703"/>
      <c r="H34" s="703" t="str">
        <f>IF(PedBerTPN!F12&lt;&gt;0,PedBerTPN!F12&amp;" ml per dag","")</f>
        <v/>
      </c>
      <c r="K34" s="710"/>
      <c r="L34" s="710"/>
      <c r="M34" s="710"/>
      <c r="N34" s="710"/>
      <c r="O34" s="710"/>
      <c r="P34" s="710"/>
      <c r="Q34" s="710"/>
      <c r="U34" s="710"/>
      <c r="V34" s="710"/>
      <c r="W34" s="710"/>
    </row>
    <row r="35" spans="2:23" ht="20.100000000000001" customHeight="1" x14ac:dyDescent="0.2">
      <c r="B35" s="705"/>
      <c r="C35" s="623"/>
      <c r="D35" s="810" t="s">
        <v>4689</v>
      </c>
      <c r="E35" s="703"/>
      <c r="F35" s="706" t="str">
        <f>IF(PedBerTPN!F13&lt;&gt;0,ROUND(PedBerTPN!F13,0)&amp;" ml","")</f>
        <v/>
      </c>
      <c r="G35" s="703"/>
      <c r="H35" s="703"/>
      <c r="K35" s="710"/>
      <c r="L35" s="710"/>
      <c r="M35" s="710"/>
      <c r="N35" s="710"/>
      <c r="O35" s="710"/>
      <c r="P35" s="710"/>
      <c r="Q35" s="710"/>
      <c r="U35" s="710"/>
      <c r="V35" s="710"/>
      <c r="W35" s="710"/>
    </row>
    <row r="36" spans="2:23" ht="20.100000000000001" customHeight="1" x14ac:dyDescent="0.2">
      <c r="B36" s="705"/>
      <c r="C36" s="623"/>
      <c r="D36" s="810" t="s">
        <v>4690</v>
      </c>
      <c r="E36" s="703"/>
      <c r="F36" s="776" t="str">
        <f>IF(PedBerTPN!C14,PedBerTPN!F14&amp;" ml","")</f>
        <v/>
      </c>
      <c r="G36" s="703"/>
      <c r="H36" s="703"/>
      <c r="K36" s="710"/>
      <c r="L36" s="710"/>
      <c r="M36" s="710"/>
      <c r="N36" s="710"/>
      <c r="O36" s="710"/>
      <c r="P36" s="710"/>
      <c r="Q36" s="710"/>
      <c r="R36" s="710"/>
      <c r="S36" s="710"/>
      <c r="T36" s="710"/>
      <c r="U36" s="710"/>
      <c r="V36" s="710"/>
      <c r="W36" s="710"/>
    </row>
    <row r="37" spans="2:23" ht="20.100000000000001" customHeight="1" thickBot="1" x14ac:dyDescent="0.25">
      <c r="B37" s="705"/>
      <c r="C37" s="623"/>
      <c r="D37" s="810" t="s">
        <v>4691</v>
      </c>
      <c r="E37" s="703"/>
      <c r="F37" s="778" t="str">
        <f>IF(PedBerTPN!C15,PedBerTPN!F15&amp;" ml","")</f>
        <v/>
      </c>
      <c r="G37" s="703"/>
      <c r="H37" s="703"/>
      <c r="K37" s="710"/>
      <c r="L37" s="710"/>
      <c r="M37" s="710"/>
      <c r="N37" s="710"/>
      <c r="O37" s="710"/>
      <c r="P37" s="710"/>
      <c r="Q37" s="710"/>
      <c r="R37" s="710"/>
      <c r="S37" s="710"/>
      <c r="T37" s="710"/>
      <c r="U37" s="710"/>
      <c r="V37" s="710"/>
      <c r="W37" s="710"/>
    </row>
    <row r="38" spans="2:23" ht="9.9499999999999993" customHeight="1" thickTop="1" x14ac:dyDescent="0.2">
      <c r="B38" s="705"/>
      <c r="F38" s="706"/>
      <c r="K38" s="710"/>
      <c r="L38" s="710"/>
      <c r="M38" s="710"/>
      <c r="N38" s="710"/>
      <c r="O38" s="710"/>
      <c r="P38" s="710"/>
      <c r="Q38" s="710"/>
      <c r="R38" s="710"/>
      <c r="S38" s="710"/>
      <c r="T38" s="710"/>
      <c r="U38" s="710"/>
      <c r="V38" s="710"/>
      <c r="W38" s="710"/>
    </row>
    <row r="39" spans="2:23" ht="20.100000000000001" customHeight="1" x14ac:dyDescent="0.2">
      <c r="B39" s="705" t="str">
        <f>IF(OR(E39=0,E39=""),"","verw")</f>
        <v/>
      </c>
      <c r="C39" s="623"/>
      <c r="D39" s="810" t="s">
        <v>4692</v>
      </c>
      <c r="E39" s="874">
        <f>GlobBerOpm!B4</f>
        <v>0</v>
      </c>
      <c r="F39" s="875"/>
      <c r="G39" s="875"/>
      <c r="H39" s="875"/>
      <c r="K39" s="710"/>
      <c r="L39" s="710"/>
      <c r="M39" s="710"/>
      <c r="N39" s="710"/>
      <c r="O39" s="710"/>
      <c r="P39" s="710"/>
      <c r="Q39" s="710"/>
      <c r="R39" s="710"/>
      <c r="S39" s="710"/>
      <c r="T39" s="710"/>
      <c r="U39" s="710"/>
      <c r="V39" s="710"/>
      <c r="W39" s="710"/>
    </row>
    <row r="40" spans="2:23" ht="10.5" customHeight="1" x14ac:dyDescent="0.2">
      <c r="D40" s="706"/>
      <c r="F40" s="706"/>
      <c r="K40" s="710"/>
      <c r="L40" s="710"/>
      <c r="M40" s="710"/>
      <c r="N40" s="710"/>
      <c r="O40" s="710"/>
      <c r="P40" s="710"/>
      <c r="Q40" s="710"/>
      <c r="R40" s="710"/>
      <c r="S40" s="710"/>
      <c r="T40" s="710"/>
      <c r="U40" s="710"/>
      <c r="V40" s="710"/>
      <c r="W40" s="710"/>
    </row>
    <row r="41" spans="2:23" x14ac:dyDescent="0.2">
      <c r="B41" s="663"/>
      <c r="C41" s="663" t="s">
        <v>276</v>
      </c>
      <c r="D41" s="663"/>
      <c r="E41" s="663" t="str">
        <f>ROUND(PedBerTot!C2,0)&amp;" ml/kg"</f>
        <v>0 ml/kg</v>
      </c>
      <c r="F41" s="663" t="str">
        <f ca="1">ROUND(GlobBerNorm!$A$18,0)&amp;" ml/kg"</f>
        <v>150 ml/kg</v>
      </c>
      <c r="G41" s="663" t="str">
        <f>"= "&amp;ROUND(PedBerTot!C2*_Pat_Gewicht/10,0)&amp;" ml/dag"</f>
        <v>= 0 ml/dag</v>
      </c>
      <c r="H41" s="663"/>
      <c r="I41" s="663" t="s">
        <v>223</v>
      </c>
      <c r="J41" s="663" t="str">
        <f>ROUND(PedBerTot!$C$9,1)&amp;"  gram/kg"</f>
        <v>0  gram/kg</v>
      </c>
      <c r="K41" s="663" t="str">
        <f>IF(_Pat_Gewicht/10&lt;30,"2-2,5 g/kg","1,5 g/kg")</f>
        <v>2-2,5 g/kg</v>
      </c>
      <c r="L41" s="663"/>
    </row>
    <row r="42" spans="2:23" x14ac:dyDescent="0.2">
      <c r="B42" s="663"/>
      <c r="C42" s="663" t="s">
        <v>277</v>
      </c>
      <c r="D42" s="663"/>
      <c r="E42" s="663" t="str">
        <f>ROUND(PedBerTot!E44,0)&amp;" kCal/kg"</f>
        <v>0 kCal/kg</v>
      </c>
      <c r="F42" s="663" t="str">
        <f ca="1">GlobBerNorm!$A$21&amp;" kCal/kg"</f>
        <v>0 kCal/kg</v>
      </c>
      <c r="G42" s="663"/>
      <c r="H42" s="663"/>
      <c r="I42" s="663" t="s">
        <v>224</v>
      </c>
      <c r="J42" s="663" t="str">
        <f>ROUND(PedBerTot!$C$13,1)&amp;" gram/kg"</f>
        <v>0 gram/kg</v>
      </c>
      <c r="K42" s="663" t="str">
        <f>IF(_Pat_Gewicht/10&lt;30,"4 g/kg","2 g/kg")</f>
        <v>4 g/kg</v>
      </c>
      <c r="L42" s="663"/>
    </row>
    <row r="43" spans="2:23" x14ac:dyDescent="0.2">
      <c r="B43" s="663"/>
      <c r="C43" s="663" t="s">
        <v>239</v>
      </c>
      <c r="D43" s="663"/>
      <c r="E43" s="663" t="str">
        <f>ROUND(PedBerTot!C5,1)&amp;" g/kg"</f>
        <v>0 g/kg</v>
      </c>
      <c r="F43" s="663" t="s">
        <v>353</v>
      </c>
      <c r="G43" s="663" t="str">
        <f>"= "&amp;ROUND(PedBerTot!C5/1.4,1)&amp;" mg/kg/min"</f>
        <v>= 0 mg/kg/min</v>
      </c>
      <c r="H43" s="663"/>
      <c r="I43" s="663" t="s">
        <v>225</v>
      </c>
      <c r="J43" s="663" t="str">
        <f>ROUND(PedBerTot!$C$27,1)&amp;" mmol/kg"</f>
        <v>0 mmol/kg</v>
      </c>
      <c r="K43" s="663" t="s">
        <v>429</v>
      </c>
      <c r="L43" s="663"/>
    </row>
    <row r="44" spans="2:23" x14ac:dyDescent="0.2">
      <c r="B44" s="663"/>
      <c r="C44" s="663" t="s">
        <v>278</v>
      </c>
      <c r="D44" s="663"/>
      <c r="E44" s="663" t="str">
        <f>ROUND(PedBerTot!C17,1)&amp;" mmol/kg"</f>
        <v>0 mmol/kg</v>
      </c>
      <c r="F44" s="663" t="s">
        <v>347</v>
      </c>
      <c r="G44" s="663"/>
      <c r="H44" s="663"/>
      <c r="I44" s="663" t="s">
        <v>316</v>
      </c>
      <c r="J44" s="663" t="str">
        <f>ROUND(PedBerTot!$C$33,1)&amp;" mmol/kg"</f>
        <v>0 mmol/kg</v>
      </c>
      <c r="K44" s="663" t="s">
        <v>352</v>
      </c>
      <c r="L44" s="663"/>
    </row>
    <row r="45" spans="2:23" x14ac:dyDescent="0.2">
      <c r="B45" s="663"/>
      <c r="C45" s="663" t="s">
        <v>279</v>
      </c>
      <c r="D45" s="663"/>
      <c r="E45" s="663" t="str">
        <f>ROUND(PedBerTot!C23,1)&amp;" mmol/kg"</f>
        <v>0 mmol/kg</v>
      </c>
      <c r="F45" s="663" t="s">
        <v>346</v>
      </c>
      <c r="G45" s="663"/>
      <c r="H45" s="663"/>
      <c r="I45" s="663" t="s">
        <v>226</v>
      </c>
      <c r="J45" s="663" t="str">
        <f>ROUND(PedBerTot!$C$30,1)&amp;" mmol/kg"</f>
        <v>0 mmol/kg</v>
      </c>
      <c r="K45" s="663" t="s">
        <v>351</v>
      </c>
      <c r="L45" s="663"/>
    </row>
  </sheetData>
  <customSheetViews>
    <customSheetView guid="{33CCADFA-0D48-46A6-8927-2B2144029216}" scale="91">
      <pane ySplit="4" topLeftCell="A5" activePane="bottomLeft" state="frozen"/>
      <selection pane="bottomLeft" activeCell="C24" sqref="C24"/>
      <pageMargins left="0.75" right="0.75" top="1" bottom="1" header="0.5" footer="0.5"/>
      <pageSetup paperSize="9" orientation="portrait" blackAndWhite="1" horizontalDpi="300" r:id="rId1"/>
      <headerFooter alignWithMargins="0"/>
    </customSheetView>
  </customSheetViews>
  <mergeCells count="4">
    <mergeCell ref="G25:H25"/>
    <mergeCell ref="E39:H39"/>
    <mergeCell ref="E18:H18"/>
    <mergeCell ref="K3:L5"/>
  </mergeCells>
  <phoneticPr fontId="28" type="noConversion"/>
  <conditionalFormatting sqref="K3:L5">
    <cfRule type="expression" dxfId="15" priority="1">
      <formula>NOT(ISBLANK(K3))</formula>
    </cfRule>
  </conditionalFormatting>
  <pageMargins left="0.75" right="0.75" top="1" bottom="1" header="0.5" footer="0.5"/>
  <pageSetup paperSize="9" orientation="portrait" blackAndWhite="1" horizontalDpi="300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5" name="Spinner 2">
              <controlPr defaultSize="0" autoPict="0">
                <anchor moveWithCells="1" sizeWithCells="1">
                  <from>
                    <xdr:col>3</xdr:col>
                    <xdr:colOff>800100</xdr:colOff>
                    <xdr:row>11</xdr:row>
                    <xdr:rowOff>0</xdr:rowOff>
                  </from>
                  <to>
                    <xdr:col>3</xdr:col>
                    <xdr:colOff>942975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pinner 3">
              <controlPr defaultSize="0" autoPict="0">
                <anchor moveWithCells="1" sizeWithCells="1">
                  <from>
                    <xdr:col>4</xdr:col>
                    <xdr:colOff>819150</xdr:colOff>
                    <xdr:row>11</xdr:row>
                    <xdr:rowOff>0</xdr:rowOff>
                  </from>
                  <to>
                    <xdr:col>5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Drop Down 4">
              <controlPr defaultSize="0" print="0" autoLine="0" autoPict="0" macro="[0]!PedEntTPN_ChangeEnt">
                <anchor moveWithCells="1">
                  <from>
                    <xdr:col>5</xdr:col>
                    <xdr:colOff>47625</xdr:colOff>
                    <xdr:row>11</xdr:row>
                    <xdr:rowOff>0</xdr:rowOff>
                  </from>
                  <to>
                    <xdr:col>7</xdr:col>
                    <xdr:colOff>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pinner 6">
              <controlPr defaultSize="0" autoPict="0">
                <anchor moveWithCells="1" sizeWithCells="1">
                  <from>
                    <xdr:col>5</xdr:col>
                    <xdr:colOff>0</xdr:colOff>
                    <xdr:row>21</xdr:row>
                    <xdr:rowOff>0</xdr:rowOff>
                  </from>
                  <to>
                    <xdr:col>5</xdr:col>
                    <xdr:colOff>142875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Spinner 15">
              <controlPr defaultSize="0" autoPict="0" macro="[0]!PedEntTPN_ChangeNaCl1">
                <anchor moveWithCells="1" sizeWithCells="1">
                  <from>
                    <xdr:col>5</xdr:col>
                    <xdr:colOff>638175</xdr:colOff>
                    <xdr:row>24</xdr:row>
                    <xdr:rowOff>238125</xdr:rowOff>
                  </from>
                  <to>
                    <xdr:col>5</xdr:col>
                    <xdr:colOff>781050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Spinner 16">
              <controlPr defaultSize="0" autoPict="0" macro="[0]!PedEntTPN_ChangeKCl1">
                <anchor moveWithCells="1" sizeWithCells="1">
                  <from>
                    <xdr:col>5</xdr:col>
                    <xdr:colOff>638175</xdr:colOff>
                    <xdr:row>25</xdr:row>
                    <xdr:rowOff>238125</xdr:rowOff>
                  </from>
                  <to>
                    <xdr:col>5</xdr:col>
                    <xdr:colOff>781050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1" name="Spinner 17">
              <controlPr defaultSize="0" autoPict="0" macro="[0]!PedEntTPN_ChangeCaGluc">
                <anchor moveWithCells="1" sizeWithCells="1">
                  <from>
                    <xdr:col>5</xdr:col>
                    <xdr:colOff>638175</xdr:colOff>
                    <xdr:row>28</xdr:row>
                    <xdr:rowOff>0</xdr:rowOff>
                  </from>
                  <to>
                    <xdr:col>5</xdr:col>
                    <xdr:colOff>781050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2" name="Check Box 18">
              <controlPr defaultSize="0" autoFill="0" autoLine="0" autoPict="0">
                <anchor moveWithCells="1">
                  <from>
                    <xdr:col>2</xdr:col>
                    <xdr:colOff>19050</xdr:colOff>
                    <xdr:row>25</xdr:row>
                    <xdr:rowOff>19050</xdr:rowOff>
                  </from>
                  <to>
                    <xdr:col>3</xdr:col>
                    <xdr:colOff>114300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3" name="Check Box 19">
              <controlPr defaultSize="0" autoFill="0" autoLine="0" autoPict="0">
                <anchor moveWithCells="1">
                  <from>
                    <xdr:col>2</xdr:col>
                    <xdr:colOff>19050</xdr:colOff>
                    <xdr:row>26</xdr:row>
                    <xdr:rowOff>19050</xdr:rowOff>
                  </from>
                  <to>
                    <xdr:col>3</xdr:col>
                    <xdr:colOff>114300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4" name="Check Box 20">
              <controlPr defaultSize="0" autoFill="0" autoLine="0" autoPict="0">
                <anchor moveWithCells="1">
                  <from>
                    <xdr:col>2</xdr:col>
                    <xdr:colOff>19050</xdr:colOff>
                    <xdr:row>28</xdr:row>
                    <xdr:rowOff>19050</xdr:rowOff>
                  </from>
                  <to>
                    <xdr:col>3</xdr:col>
                    <xdr:colOff>114300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5" name="Spinner 21">
              <controlPr defaultSize="0" autoPict="0">
                <anchor moveWithCells="1" sizeWithCells="1">
                  <from>
                    <xdr:col>5</xdr:col>
                    <xdr:colOff>0</xdr:colOff>
                    <xdr:row>33</xdr:row>
                    <xdr:rowOff>0</xdr:rowOff>
                  </from>
                  <to>
                    <xdr:col>5</xdr:col>
                    <xdr:colOff>142875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6" name="Check Box 23">
              <controlPr defaultSize="0" autoFill="0" autoLine="0" autoPict="0">
                <anchor moveWithCells="1">
                  <from>
                    <xdr:col>2</xdr:col>
                    <xdr:colOff>19050</xdr:colOff>
                    <xdr:row>35</xdr:row>
                    <xdr:rowOff>19050</xdr:rowOff>
                  </from>
                  <to>
                    <xdr:col>3</xdr:col>
                    <xdr:colOff>114300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7" name="Check Box 24">
              <controlPr defaultSize="0" autoFill="0" autoLine="0" autoPict="0">
                <anchor moveWithCells="1">
                  <from>
                    <xdr:col>2</xdr:col>
                    <xdr:colOff>19050</xdr:colOff>
                    <xdr:row>36</xdr:row>
                    <xdr:rowOff>57150</xdr:rowOff>
                  </from>
                  <to>
                    <xdr:col>3</xdr:col>
                    <xdr:colOff>114300</xdr:colOff>
                    <xdr:row>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8" name="Spinner 25">
              <controlPr defaultSize="0" autoPict="0" macro="[0]!PedEntTPN_ChangeVitIntra">
                <anchor moveWithCells="1" sizeWithCells="1">
                  <from>
                    <xdr:col>5</xdr:col>
                    <xdr:colOff>638175</xdr:colOff>
                    <xdr:row>35</xdr:row>
                    <xdr:rowOff>0</xdr:rowOff>
                  </from>
                  <to>
                    <xdr:col>5</xdr:col>
                    <xdr:colOff>781050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9" name="Spinner 26">
              <controlPr defaultSize="0" autoPict="0" macro="[0]!PedEntTPN_ChangeSoluvit">
                <anchor moveWithCells="1" sizeWithCells="1">
                  <from>
                    <xdr:col>5</xdr:col>
                    <xdr:colOff>638175</xdr:colOff>
                    <xdr:row>36</xdr:row>
                    <xdr:rowOff>0</xdr:rowOff>
                  </from>
                  <to>
                    <xdr:col>5</xdr:col>
                    <xdr:colOff>781050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20" name="Drop Down 27">
              <controlPr defaultSize="0" print="0" autoLine="0" autoPict="0">
                <anchor moveWithCells="1">
                  <from>
                    <xdr:col>4</xdr:col>
                    <xdr:colOff>0</xdr:colOff>
                    <xdr:row>8</xdr:row>
                    <xdr:rowOff>9525</xdr:rowOff>
                  </from>
                  <to>
                    <xdr:col>6</xdr:col>
                    <xdr:colOff>19050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1" name="Check Box 38">
              <controlPr defaultSize="0" autoFill="0" autoLine="0" autoPict="0">
                <anchor moveWithCells="1">
                  <from>
                    <xdr:col>2</xdr:col>
                    <xdr:colOff>19050</xdr:colOff>
                    <xdr:row>29</xdr:row>
                    <xdr:rowOff>19050</xdr:rowOff>
                  </from>
                  <to>
                    <xdr:col>3</xdr:col>
                    <xdr:colOff>114300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2" name="Check Box 39">
              <controlPr defaultSize="0" autoFill="0" autoLine="0" autoPict="0">
                <anchor moveWithCells="1">
                  <from>
                    <xdr:col>2</xdr:col>
                    <xdr:colOff>19050</xdr:colOff>
                    <xdr:row>31</xdr:row>
                    <xdr:rowOff>19050</xdr:rowOff>
                  </from>
                  <to>
                    <xdr:col>3</xdr:col>
                    <xdr:colOff>114300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3" name="Spinner 40">
              <controlPr defaultSize="0" autoPict="0" macro="[0]!PedEntTPN_ChangeMgCl">
                <anchor moveWithCells="1" sizeWithCells="1">
                  <from>
                    <xdr:col>5</xdr:col>
                    <xdr:colOff>638175</xdr:colOff>
                    <xdr:row>29</xdr:row>
                    <xdr:rowOff>0</xdr:rowOff>
                  </from>
                  <to>
                    <xdr:col>5</xdr:col>
                    <xdr:colOff>781050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4" name="Spinner 41">
              <controlPr defaultSize="0" autoPict="0" macro="[0]!PedEntTPN_ChangeKNaFosf">
                <anchor moveWithCells="1" sizeWithCells="1">
                  <from>
                    <xdr:col>5</xdr:col>
                    <xdr:colOff>638175</xdr:colOff>
                    <xdr:row>31</xdr:row>
                    <xdr:rowOff>9525</xdr:rowOff>
                  </from>
                  <to>
                    <xdr:col>5</xdr:col>
                    <xdr:colOff>781050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5" name="Drop Down 51">
              <controlPr defaultSize="0" print="0" autoLine="0" autoPict="0">
                <anchor moveWithCells="1">
                  <from>
                    <xdr:col>2</xdr:col>
                    <xdr:colOff>76200</xdr:colOff>
                    <xdr:row>21</xdr:row>
                    <xdr:rowOff>238125</xdr:rowOff>
                  </from>
                  <to>
                    <xdr:col>4</xdr:col>
                    <xdr:colOff>838200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6" name="Drop Down 52">
              <controlPr defaultSize="0" print="0" autoLine="0" autoPict="0">
                <anchor moveWithCells="1">
                  <from>
                    <xdr:col>2</xdr:col>
                    <xdr:colOff>76200</xdr:colOff>
                    <xdr:row>24</xdr:row>
                    <xdr:rowOff>0</xdr:rowOff>
                  </from>
                  <to>
                    <xdr:col>4</xdr:col>
                    <xdr:colOff>838200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7" name="Spinner 53">
              <controlPr defaultSize="0" autoPict="0">
                <anchor moveWithCells="1" sizeWithCells="1">
                  <from>
                    <xdr:col>5</xdr:col>
                    <xdr:colOff>638175</xdr:colOff>
                    <xdr:row>21</xdr:row>
                    <xdr:rowOff>238125</xdr:rowOff>
                  </from>
                  <to>
                    <xdr:col>5</xdr:col>
                    <xdr:colOff>781050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8" name="Spinner 55">
              <controlPr defaultSize="0" autoPict="0">
                <anchor moveWithCells="1" sizeWithCells="1">
                  <from>
                    <xdr:col>3</xdr:col>
                    <xdr:colOff>800100</xdr:colOff>
                    <xdr:row>13</xdr:row>
                    <xdr:rowOff>0</xdr:rowOff>
                  </from>
                  <to>
                    <xdr:col>4</xdr:col>
                    <xdr:colOff>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9" name="Spinner 56">
              <controlPr defaultSize="0" autoPict="0">
                <anchor moveWithCells="1" sizeWithCells="1">
                  <from>
                    <xdr:col>4</xdr:col>
                    <xdr:colOff>819150</xdr:colOff>
                    <xdr:row>13</xdr:row>
                    <xdr:rowOff>0</xdr:rowOff>
                  </from>
                  <to>
                    <xdr:col>5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30" name="Drop Down 57">
              <controlPr defaultSize="0" print="0" autoLine="0" autoPict="0" macro="[0]!PedEntTPN_ChangeEntAdd1">
                <anchor moveWithCells="1">
                  <from>
                    <xdr:col>5</xdr:col>
                    <xdr:colOff>47625</xdr:colOff>
                    <xdr:row>13</xdr:row>
                    <xdr:rowOff>0</xdr:rowOff>
                  </from>
                  <to>
                    <xdr:col>7</xdr:col>
                    <xdr:colOff>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1" name="Spinner 58">
              <controlPr defaultSize="0" autoPict="0">
                <anchor moveWithCells="1" sizeWithCells="1">
                  <from>
                    <xdr:col>5</xdr:col>
                    <xdr:colOff>638175</xdr:colOff>
                    <xdr:row>23</xdr:row>
                    <xdr:rowOff>9525</xdr:rowOff>
                  </from>
                  <to>
                    <xdr:col>5</xdr:col>
                    <xdr:colOff>781050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2" name="Spinner 60">
              <controlPr defaultSize="0" autoPict="0">
                <anchor moveWithCells="1" sizeWithCells="1">
                  <from>
                    <xdr:col>3</xdr:col>
                    <xdr:colOff>800100</xdr:colOff>
                    <xdr:row>14</xdr:row>
                    <xdr:rowOff>0</xdr:rowOff>
                  </from>
                  <to>
                    <xdr:col>4</xdr:col>
                    <xdr:colOff>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3" name="Spinner 61">
              <controlPr defaultSize="0" autoPict="0">
                <anchor moveWithCells="1" sizeWithCells="1">
                  <from>
                    <xdr:col>4</xdr:col>
                    <xdr:colOff>819150</xdr:colOff>
                    <xdr:row>14</xdr:row>
                    <xdr:rowOff>0</xdr:rowOff>
                  </from>
                  <to>
                    <xdr:col>5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4" name="Drop Down 62">
              <controlPr defaultSize="0" print="0" autoLine="0" autoPict="0" macro="[0]!PedEntTPN_ChangeEntAdd2">
                <anchor moveWithCells="1">
                  <from>
                    <xdr:col>5</xdr:col>
                    <xdr:colOff>47625</xdr:colOff>
                    <xdr:row>14</xdr:row>
                    <xdr:rowOff>0</xdr:rowOff>
                  </from>
                  <to>
                    <xdr:col>7</xdr:col>
                    <xdr:colOff>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5" name="Spinner 63">
              <controlPr defaultSize="0" autoPict="0">
                <anchor moveWithCells="1" sizeWithCells="1">
                  <from>
                    <xdr:col>3</xdr:col>
                    <xdr:colOff>800100</xdr:colOff>
                    <xdr:row>15</xdr:row>
                    <xdr:rowOff>0</xdr:rowOff>
                  </from>
                  <to>
                    <xdr:col>4</xdr:col>
                    <xdr:colOff>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6" name="Spinner 64">
              <controlPr defaultSize="0" autoPict="0">
                <anchor moveWithCells="1" sizeWithCells="1">
                  <from>
                    <xdr:col>4</xdr:col>
                    <xdr:colOff>819150</xdr:colOff>
                    <xdr:row>15</xdr:row>
                    <xdr:rowOff>0</xdr:rowOff>
                  </from>
                  <to>
                    <xdr:col>5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7" name="Drop Down 65">
              <controlPr defaultSize="0" print="0" autoLine="0" autoPict="0" macro="[0]!PedEntTPN_ChangeEntAdd3">
                <anchor moveWithCells="1">
                  <from>
                    <xdr:col>5</xdr:col>
                    <xdr:colOff>47625</xdr:colOff>
                    <xdr:row>15</xdr:row>
                    <xdr:rowOff>0</xdr:rowOff>
                  </from>
                  <to>
                    <xdr:col>7</xdr:col>
                    <xdr:colOff>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8" name="Spinner 66">
              <controlPr defaultSize="0" autoPict="0">
                <anchor moveWithCells="1" sizeWithCells="1">
                  <from>
                    <xdr:col>9</xdr:col>
                    <xdr:colOff>828675</xdr:colOff>
                    <xdr:row>21</xdr:row>
                    <xdr:rowOff>0</xdr:rowOff>
                  </from>
                  <to>
                    <xdr:col>9</xdr:col>
                    <xdr:colOff>981075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9" name="Spinner 67">
              <controlPr defaultSize="0" autoPict="0" macro="[0]!PedEntTPN_ChangeNaCl2">
                <anchor moveWithCells="1" sizeWithCells="1">
                  <from>
                    <xdr:col>9</xdr:col>
                    <xdr:colOff>828675</xdr:colOff>
                    <xdr:row>25</xdr:row>
                    <xdr:rowOff>0</xdr:rowOff>
                  </from>
                  <to>
                    <xdr:col>9</xdr:col>
                    <xdr:colOff>981075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40" name="Spinner 68">
              <controlPr defaultSize="0" autoPict="0" macro="[0]!PedEntTPN_ChangeKCl2">
                <anchor moveWithCells="1" sizeWithCells="1">
                  <from>
                    <xdr:col>9</xdr:col>
                    <xdr:colOff>828675</xdr:colOff>
                    <xdr:row>26</xdr:row>
                    <xdr:rowOff>0</xdr:rowOff>
                  </from>
                  <to>
                    <xdr:col>9</xdr:col>
                    <xdr:colOff>981075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1" name="Check Box 69">
              <controlPr defaultSize="0" autoFill="0" autoLine="0" autoPict="0">
                <anchor moveWithCells="1">
                  <from>
                    <xdr:col>8</xdr:col>
                    <xdr:colOff>9525</xdr:colOff>
                    <xdr:row>25</xdr:row>
                    <xdr:rowOff>19050</xdr:rowOff>
                  </from>
                  <to>
                    <xdr:col>8</xdr:col>
                    <xdr:colOff>314325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2" name="Check Box 70">
              <controlPr defaultSize="0" autoFill="0" autoLine="0" autoPict="0">
                <anchor moveWithCells="1">
                  <from>
                    <xdr:col>8</xdr:col>
                    <xdr:colOff>9525</xdr:colOff>
                    <xdr:row>26</xdr:row>
                    <xdr:rowOff>19050</xdr:rowOff>
                  </from>
                  <to>
                    <xdr:col>8</xdr:col>
                    <xdr:colOff>314325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3" name="Drop Down 71">
              <controlPr defaultSize="0" print="0" autoLine="0" autoPict="0">
                <anchor moveWithCells="1">
                  <from>
                    <xdr:col>8</xdr:col>
                    <xdr:colOff>76200</xdr:colOff>
                    <xdr:row>24</xdr:row>
                    <xdr:rowOff>0</xdr:rowOff>
                  </from>
                  <to>
                    <xdr:col>9</xdr:col>
                    <xdr:colOff>981075</xdr:colOff>
                    <xdr:row>24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nt">
    <tabColor rgb="FF92D050"/>
  </sheetPr>
  <dimension ref="A1:Y22"/>
  <sheetViews>
    <sheetView workbookViewId="0">
      <pane xSplit="1" ySplit="2" topLeftCell="B3" activePane="bottomRight" state="frozen"/>
      <selection pane="topRight" activeCell="K1" sqref="K1"/>
      <selection pane="bottomLeft" activeCell="A3" sqref="A3"/>
      <selection pane="bottomRight" activeCell="E15" sqref="E15"/>
    </sheetView>
  </sheetViews>
  <sheetFormatPr defaultRowHeight="12.75" x14ac:dyDescent="0.2"/>
  <cols>
    <col min="1" max="1" width="13.42578125" style="338" customWidth="1"/>
    <col min="2" max="3" width="9.140625" style="338"/>
    <col min="4" max="4" width="9.42578125" style="338" bestFit="1" customWidth="1"/>
    <col min="5" max="7" width="9.140625" style="338"/>
    <col min="8" max="9" width="10.5703125" style="338" customWidth="1"/>
    <col min="10" max="12" width="12.7109375" style="338" customWidth="1"/>
    <col min="13" max="13" width="28.85546875" style="338" customWidth="1"/>
    <col min="14" max="16384" width="9.140625" style="338"/>
  </cols>
  <sheetData>
    <row r="1" spans="1:25" x14ac:dyDescent="0.2">
      <c r="M1" s="338">
        <v>1</v>
      </c>
      <c r="N1" s="338">
        <v>3</v>
      </c>
      <c r="O1" s="338">
        <v>4</v>
      </c>
      <c r="P1" s="338">
        <v>5</v>
      </c>
      <c r="Q1" s="338">
        <v>6</v>
      </c>
      <c r="R1" s="338">
        <v>7</v>
      </c>
      <c r="S1" s="338">
        <v>8</v>
      </c>
      <c r="T1" s="338">
        <v>9</v>
      </c>
      <c r="U1" s="338">
        <v>10</v>
      </c>
      <c r="V1" s="338">
        <v>11</v>
      </c>
      <c r="W1" s="338">
        <v>12</v>
      </c>
      <c r="X1" s="338">
        <v>13</v>
      </c>
      <c r="Y1" s="338">
        <v>14</v>
      </c>
    </row>
    <row r="2" spans="1:25" x14ac:dyDescent="0.2">
      <c r="A2" s="339"/>
      <c r="B2" s="338" t="s">
        <v>113</v>
      </c>
      <c r="C2" s="338" t="s">
        <v>88</v>
      </c>
      <c r="E2" s="338" t="s">
        <v>283</v>
      </c>
      <c r="F2" s="338" t="s">
        <v>241</v>
      </c>
      <c r="G2" s="339" t="s">
        <v>515</v>
      </c>
      <c r="H2" s="339" t="s">
        <v>4674</v>
      </c>
      <c r="I2" s="339" t="s">
        <v>4675</v>
      </c>
      <c r="J2" s="339" t="s">
        <v>4679</v>
      </c>
      <c r="K2" s="339" t="s">
        <v>4680</v>
      </c>
      <c r="L2" s="339" t="s">
        <v>4681</v>
      </c>
      <c r="M2" s="339" t="s">
        <v>284</v>
      </c>
      <c r="N2" s="20" t="s">
        <v>234</v>
      </c>
      <c r="O2" s="20" t="s">
        <v>196</v>
      </c>
      <c r="P2" s="20" t="s">
        <v>235</v>
      </c>
      <c r="Q2" s="20" t="s">
        <v>197</v>
      </c>
      <c r="R2" s="20" t="s">
        <v>229</v>
      </c>
      <c r="S2" s="20" t="s">
        <v>230</v>
      </c>
      <c r="T2" s="20" t="s">
        <v>231</v>
      </c>
      <c r="U2" s="20" t="s">
        <v>236</v>
      </c>
      <c r="V2" s="20" t="s">
        <v>232</v>
      </c>
      <c r="W2" s="150" t="s">
        <v>948</v>
      </c>
      <c r="X2" s="150" t="s">
        <v>949</v>
      </c>
      <c r="Y2" s="150" t="s">
        <v>603</v>
      </c>
    </row>
    <row r="3" spans="1:25" x14ac:dyDescent="0.2">
      <c r="A3" s="150" t="s">
        <v>284</v>
      </c>
      <c r="B3" s="20">
        <v>1</v>
      </c>
      <c r="C3" s="20">
        <v>10</v>
      </c>
      <c r="D3" s="338">
        <f>IF(C3&lt;51,C3/10,IF(C3&lt;66,(C3-49)+4,IF(C3&lt;82,(C3-61)*5,IF(C3&lt;122,(C3-71)*10,(C3-111)*50))))</f>
        <v>1</v>
      </c>
      <c r="E3" s="20">
        <f>IF(F3&gt;1,B3*D3,0)</f>
        <v>1</v>
      </c>
      <c r="F3" s="338">
        <v>25</v>
      </c>
      <c r="G3" s="338">
        <v>1</v>
      </c>
      <c r="H3" s="338" t="str">
        <f>IF(F3&gt;1,"verw","")</f>
        <v>verw</v>
      </c>
      <c r="I3" s="338" t="str">
        <f>IF(G3&gt;1,"verw","")</f>
        <v/>
      </c>
      <c r="J3" s="338" t="str">
        <f>IF(AND(E3&lt;&gt;0,E3&lt;&gt;""),IF(B3=24,"continue drip",B3&amp;" dd"),"")</f>
        <v>1 dd</v>
      </c>
      <c r="K3" s="338" t="str">
        <f>IF(OR(E3=0,E3=""),"",C3&amp;" mL")</f>
        <v>10 mL</v>
      </c>
      <c r="L3" s="338" t="str">
        <f>IF(PedBerEnt!F3&gt;1,PedBerEnt!E3&amp;" mL/dag","")</f>
        <v>1 mL/dag</v>
      </c>
      <c r="M3" s="338" t="str">
        <f>INDEX(Tbl_Ped_Voeding,$F3,M$1)</f>
        <v>Speciale voeding</v>
      </c>
      <c r="N3" s="338">
        <f>INDEX(Tbl_Ped_Voeding,$F3,N$1)</f>
        <v>0</v>
      </c>
      <c r="O3" s="338">
        <f>INDEX(Tbl_Ped_Voeding,$F3,O$1)</f>
        <v>0</v>
      </c>
      <c r="P3" s="338">
        <f>INDEX(Tbl_Ped_Voeding,$F3,P$1)</f>
        <v>0</v>
      </c>
      <c r="Q3" s="338">
        <f>INDEX(Tbl_Ped_Voeding,$F3,Q$1)</f>
        <v>0</v>
      </c>
      <c r="R3" s="338">
        <f>INDEX(Tbl_Ped_Voeding,$F3,R$1)</f>
        <v>0</v>
      </c>
      <c r="S3" s="338">
        <f>INDEX(Tbl_Ped_Voeding,$F3,S$1)</f>
        <v>0</v>
      </c>
      <c r="T3" s="338">
        <f>INDEX(Tbl_Ped_Voeding,$F3,T$1)</f>
        <v>0</v>
      </c>
      <c r="U3" s="338">
        <f>INDEX(Tbl_Ped_Voeding,$F3,U$1)</f>
        <v>0</v>
      </c>
      <c r="V3" s="338">
        <f>INDEX(Tbl_Ped_Voeding,$F3,V$1)</f>
        <v>0</v>
      </c>
      <c r="W3" s="338">
        <f>INDEX(Tbl_Ped_Voeding,$F3,W$1)</f>
        <v>0</v>
      </c>
      <c r="X3" s="338">
        <f>INDEX(Tbl_Ped_Voeding,$F3,X$1)</f>
        <v>0</v>
      </c>
      <c r="Y3" s="338">
        <f>INDEX(Tbl_Ped_Voeding,$F3,Y$1)</f>
        <v>0</v>
      </c>
    </row>
    <row r="4" spans="1:25" x14ac:dyDescent="0.2">
      <c r="A4" s="150" t="s">
        <v>5415</v>
      </c>
      <c r="B4" s="338">
        <v>1</v>
      </c>
      <c r="C4" s="338">
        <v>10</v>
      </c>
      <c r="D4" s="338">
        <f>IF(C4&lt;51,C4/10,IF(C4&lt;66,(C4-49)+4,IF(C4&lt;82,(C4-61)*5,IF(C4&lt;122,(C4-71)*10,(C4-111)*50))))</f>
        <v>1</v>
      </c>
      <c r="E4" s="20">
        <f>IF(F4&gt;1,B4*D4,0)</f>
        <v>1</v>
      </c>
      <c r="F4" s="338">
        <v>8</v>
      </c>
      <c r="H4" s="338" t="str">
        <f t="shared" ref="H4:H6" si="0">IF(F4&gt;1,"verw","")</f>
        <v>verw</v>
      </c>
      <c r="J4" s="338" t="str">
        <f t="shared" ref="J4:J6" si="1">IF(AND(E4&lt;&gt;0,E4&lt;&gt;""),B4&amp;" dd","")</f>
        <v>1 dd</v>
      </c>
      <c r="K4" s="338" t="str">
        <f t="shared" ref="K4:K6" si="2">IF(OR(E4=0,E4=""),"",C4&amp;" mL")</f>
        <v>10 mL</v>
      </c>
      <c r="L4" s="338" t="str">
        <f>IF(PedBerEnt!F4&gt;1,PedBerEnt!E4&amp;" gram/dag","")</f>
        <v>1 gram/dag</v>
      </c>
      <c r="M4" s="338" t="str">
        <f>INDEX(Tbl_Ped_Poeder,$F4,M$1)</f>
        <v>Hero Baby 2 NS Pep</v>
      </c>
      <c r="N4" s="338">
        <f>INDEX(Tbl_Ped_Poeder,$F4,N$1)</f>
        <v>4.93</v>
      </c>
      <c r="O4" s="338">
        <f>INDEX(Tbl_Ped_Poeder,$F4,O$1)</f>
        <v>0.13</v>
      </c>
      <c r="P4" s="338">
        <f>INDEX(Tbl_Ped_Poeder,$F4,P$1)</f>
        <v>0.53</v>
      </c>
      <c r="Q4" s="338">
        <f>INDEX(Tbl_Ped_Poeder,$F4,Q$1)</f>
        <v>0.26</v>
      </c>
      <c r="R4" s="338">
        <f>INDEX(Tbl_Ped_Poeder,$F4,R$1)</f>
        <v>8.8695120000000002E-2</v>
      </c>
      <c r="S4" s="338">
        <f>INDEX(Tbl_Ped_Poeder,$F4,S$1)</f>
        <v>0.1410255</v>
      </c>
      <c r="T4" s="338">
        <f>INDEX(Tbl_Ped_Poeder,$F4,T$1)</f>
        <v>9.9599999999999994E-2</v>
      </c>
      <c r="U4" s="338">
        <f>INDEX(Tbl_Ped_Poeder,$F4,U$1)</f>
        <v>7.4264699999999989E-2</v>
      </c>
      <c r="V4" s="338">
        <f>INDEX(Tbl_Ped_Poeder,$F4,V$1)</f>
        <v>2.0570499999999999E-2</v>
      </c>
      <c r="W4" s="338">
        <f>INDEX(Tbl_Ped_Poeder,$F4,W$1)</f>
        <v>1.2708999999999997E-3</v>
      </c>
      <c r="X4" s="338">
        <f>INDEX(Tbl_Ped_Poeder,$F4,X$1)</f>
        <v>3.12</v>
      </c>
      <c r="Y4" s="338">
        <f>INDEX(Tbl_Ped_Poeder,$F4,Y$1)</f>
        <v>8.8848899999999981E-2</v>
      </c>
    </row>
    <row r="5" spans="1:25" x14ac:dyDescent="0.2">
      <c r="A5" s="150" t="s">
        <v>5416</v>
      </c>
      <c r="B5" s="338">
        <v>1</v>
      </c>
      <c r="C5" s="338">
        <v>10</v>
      </c>
      <c r="D5" s="338">
        <f>IF(C5&lt;51,C5/10,IF(C5&lt;66,(C5-49)+4,IF(C5&lt;82,(C5-61)*5,IF(C5&lt;122,(C5-71)*10,(C5-111)*50))))</f>
        <v>1</v>
      </c>
      <c r="E5" s="20">
        <f>IF(F5&gt;1,B5*D5,0)</f>
        <v>1</v>
      </c>
      <c r="F5" s="338">
        <v>10</v>
      </c>
      <c r="H5" s="338" t="str">
        <f t="shared" si="0"/>
        <v>verw</v>
      </c>
      <c r="J5" s="338" t="str">
        <f t="shared" si="1"/>
        <v>1 dd</v>
      </c>
      <c r="K5" s="338" t="str">
        <f t="shared" si="2"/>
        <v>10 mL</v>
      </c>
      <c r="L5" s="338" t="str">
        <f>IF(PedBerEnt!F5&gt;1,PedBerEnt!E5&amp;" gram/dag","")</f>
        <v>1 gram/dag</v>
      </c>
      <c r="M5" s="338" t="str">
        <f>INDEX(Tbl_Ped_Poeder,$F5,M$1)</f>
        <v>Nutramigen 2 LGG pdr</v>
      </c>
      <c r="N5" s="338">
        <f>INDEX(Tbl_Ped_Poeder,$F5,N$1)</f>
        <v>4.66</v>
      </c>
      <c r="O5" s="338">
        <f>INDEX(Tbl_Ped_Poeder,$F5,O$1)</f>
        <v>0.11599999999999999</v>
      </c>
      <c r="P5" s="338">
        <f>INDEX(Tbl_Ped_Poeder,$F5,P$1)</f>
        <v>0.59</v>
      </c>
      <c r="Q5" s="338">
        <f>INDEX(Tbl_Ped_Poeder,$F5,Q$1)</f>
        <v>0.2</v>
      </c>
      <c r="R5" s="338">
        <f>INDEX(Tbl_Ped_Poeder,$F5,R$1)</f>
        <v>7.478216E-2</v>
      </c>
      <c r="S5" s="338">
        <f>INDEX(Tbl_Ped_Poeder,$F5,S$1)</f>
        <v>0.14564088</v>
      </c>
      <c r="T5" s="338">
        <f>INDEX(Tbl_Ped_Poeder,$F5,T$1)</f>
        <v>0.15886199999999998</v>
      </c>
      <c r="U5" s="338">
        <f>INDEX(Tbl_Ped_Poeder,$F5,U$1)</f>
        <v>0.10849103999999998</v>
      </c>
      <c r="V5" s="338">
        <f>INDEX(Tbl_Ped_Poeder,$F5,V$1)</f>
        <v>1.9336269999999999E-2</v>
      </c>
      <c r="W5" s="338">
        <f>INDEX(Tbl_Ped_Poeder,$F5,W$1)</f>
        <v>1.4678E-3</v>
      </c>
      <c r="X5" s="338">
        <f>INDEX(Tbl_Ped_Poeder,$F5,X$1)</f>
        <v>2.92</v>
      </c>
      <c r="Y5" s="338">
        <f>INDEX(Tbl_Ped_Poeder,$F5,Y$1)</f>
        <v>0.10520837999999999</v>
      </c>
    </row>
    <row r="6" spans="1:25" x14ac:dyDescent="0.2">
      <c r="A6" s="150" t="s">
        <v>5417</v>
      </c>
      <c r="B6" s="338">
        <v>1</v>
      </c>
      <c r="C6" s="338">
        <v>10</v>
      </c>
      <c r="D6" s="338">
        <f>IF(C6&lt;51,C6/10,IF(C6&lt;66,(C6-49)+4,IF(C6&lt;82,(C6-61)*5,IF(C6&lt;122,(C6-71)*10,(C6-111)*50))))</f>
        <v>1</v>
      </c>
      <c r="E6" s="20">
        <f>IF(F6&gt;1,B6*D6,0)</f>
        <v>1</v>
      </c>
      <c r="F6" s="338">
        <v>11</v>
      </c>
      <c r="H6" s="338" t="str">
        <f t="shared" si="0"/>
        <v>verw</v>
      </c>
      <c r="J6" s="338" t="str">
        <f t="shared" si="1"/>
        <v>1 dd</v>
      </c>
      <c r="K6" s="338" t="str">
        <f t="shared" si="2"/>
        <v>10 mL</v>
      </c>
      <c r="L6" s="338" t="str">
        <f>IF(PedBerEnt!F6&gt;1,PedBerEnt!E6&amp;" gram/dag","")</f>
        <v>1 gram/dag</v>
      </c>
      <c r="M6" s="338" t="str">
        <f>INDEX(Tbl_Ped_Poeder,$F6,M$1)</f>
        <v>Nutrison Advanced Peptisorb Powder</v>
      </c>
      <c r="N6" s="338">
        <f>INDEX(Tbl_Ped_Poeder,$F6,N$1)</f>
        <v>4.0199999999999996</v>
      </c>
      <c r="O6" s="338">
        <f>INDEX(Tbl_Ped_Poeder,$F6,O$1)</f>
        <v>0.14699999999999999</v>
      </c>
      <c r="P6" s="338">
        <f>INDEX(Tbl_Ped_Poeder,$F6,P$1)</f>
        <v>0.71</v>
      </c>
      <c r="Q6" s="338">
        <f>INDEX(Tbl_Ped_Poeder,$F6,Q$1)</f>
        <v>6.7000000000000004E-2</v>
      </c>
      <c r="R6" s="338">
        <f>INDEX(Tbl_Ped_Poeder,$F6,R$1)</f>
        <v>0.17478156000000003</v>
      </c>
      <c r="S6" s="338">
        <f>INDEX(Tbl_Ped_Poeder,$F6,S$1)</f>
        <v>0.15461522999999999</v>
      </c>
      <c r="T6" s="338">
        <f>INDEX(Tbl_Ped_Poeder,$F6,T$1)</f>
        <v>8.0177999999999999E-2</v>
      </c>
      <c r="U6" s="338">
        <f>INDEX(Tbl_Ped_Poeder,$F6,U$1)</f>
        <v>8.6211629999999997E-2</v>
      </c>
      <c r="V6" s="338">
        <f>INDEX(Tbl_Ped_Poeder,$F6,V$1)</f>
        <v>3.4558439999999996E-2</v>
      </c>
      <c r="W6" s="338">
        <f>INDEX(Tbl_Ped_Poeder,$F6,W$1)</f>
        <v>1.1455999999999999E-3</v>
      </c>
      <c r="X6" s="338">
        <f>INDEX(Tbl_Ped_Poeder,$F6,X$1)</f>
        <v>1.1200000000000001</v>
      </c>
      <c r="Y6" s="338">
        <f>INDEX(Tbl_Ped_Poeder,$F6,Y$1)</f>
        <v>0.14187617999999999</v>
      </c>
    </row>
    <row r="7" spans="1:25" x14ac:dyDescent="0.2">
      <c r="A7" s="150"/>
    </row>
    <row r="8" spans="1:25" x14ac:dyDescent="0.2">
      <c r="A8" s="150" t="s">
        <v>449</v>
      </c>
    </row>
    <row r="9" spans="1:25" x14ac:dyDescent="0.2">
      <c r="A9" s="20"/>
    </row>
    <row r="10" spans="1:25" x14ac:dyDescent="0.2">
      <c r="A10" s="339" t="s">
        <v>510</v>
      </c>
    </row>
    <row r="11" spans="1:25" x14ac:dyDescent="0.2">
      <c r="A11" s="20" t="s">
        <v>234</v>
      </c>
      <c r="B11" s="338">
        <v>0</v>
      </c>
    </row>
    <row r="12" spans="1:25" x14ac:dyDescent="0.2">
      <c r="A12" s="20" t="s">
        <v>196</v>
      </c>
      <c r="B12" s="338">
        <v>0</v>
      </c>
    </row>
    <row r="13" spans="1:25" x14ac:dyDescent="0.2">
      <c r="A13" s="20" t="s">
        <v>235</v>
      </c>
      <c r="B13" s="338">
        <v>0</v>
      </c>
    </row>
    <row r="14" spans="1:25" x14ac:dyDescent="0.2">
      <c r="A14" s="20" t="s">
        <v>197</v>
      </c>
      <c r="B14" s="338">
        <v>0</v>
      </c>
    </row>
    <row r="15" spans="1:25" x14ac:dyDescent="0.2">
      <c r="A15" s="20" t="s">
        <v>229</v>
      </c>
      <c r="B15" s="338">
        <v>0</v>
      </c>
    </row>
    <row r="16" spans="1:25" x14ac:dyDescent="0.2">
      <c r="A16" s="20" t="s">
        <v>230</v>
      </c>
      <c r="B16" s="338">
        <v>0</v>
      </c>
    </row>
    <row r="17" spans="1:2" x14ac:dyDescent="0.2">
      <c r="A17" s="20" t="s">
        <v>231</v>
      </c>
      <c r="B17" s="338">
        <v>0</v>
      </c>
    </row>
    <row r="18" spans="1:2" x14ac:dyDescent="0.2">
      <c r="A18" s="20" t="s">
        <v>236</v>
      </c>
      <c r="B18" s="338">
        <v>0</v>
      </c>
    </row>
    <row r="19" spans="1:2" x14ac:dyDescent="0.2">
      <c r="A19" s="20" t="s">
        <v>232</v>
      </c>
      <c r="B19" s="338">
        <v>0</v>
      </c>
    </row>
    <row r="20" spans="1:2" x14ac:dyDescent="0.2">
      <c r="A20" s="150" t="s">
        <v>948</v>
      </c>
      <c r="B20" s="338">
        <v>0</v>
      </c>
    </row>
    <row r="21" spans="1:2" x14ac:dyDescent="0.2">
      <c r="A21" s="150" t="s">
        <v>949</v>
      </c>
      <c r="B21" s="338">
        <v>0</v>
      </c>
    </row>
    <row r="22" spans="1:2" x14ac:dyDescent="0.2">
      <c r="A22" s="150" t="s">
        <v>603</v>
      </c>
      <c r="B22" s="338">
        <v>0</v>
      </c>
    </row>
  </sheetData>
  <customSheetViews>
    <customSheetView guid="{33CCADFA-0D48-46A6-8927-2B2144029216}" state="veryHidden">
      <selection activeCell="O3" sqref="O3"/>
      <pageMargins left="0" right="0" top="0" bottom="0" header="0" footer="0"/>
      <pageSetup paperSize="9" orientation="landscape" r:id="rId1"/>
      <headerFooter alignWithMargins="0"/>
    </customSheetView>
  </customSheetViews>
  <phoneticPr fontId="28" type="noConversion"/>
  <pageMargins left="0" right="0" top="0" bottom="0" header="0" footer="0"/>
  <pageSetup paperSize="9" orientation="landscape" r:id="rId2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PN">
    <tabColor rgb="FF92D050"/>
  </sheetPr>
  <dimension ref="A1:AG42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I34" sqref="I34"/>
    </sheetView>
  </sheetViews>
  <sheetFormatPr defaultRowHeight="12.75" x14ac:dyDescent="0.2"/>
  <cols>
    <col min="1" max="1" width="16.42578125" customWidth="1"/>
    <col min="2" max="6" width="9.28515625" customWidth="1"/>
    <col min="7" max="7" width="14.5703125" customWidth="1"/>
    <col min="8" max="18" width="6.85546875" customWidth="1"/>
    <col min="20" max="20" width="5.140625" customWidth="1"/>
    <col min="21" max="32" width="8.140625" customWidth="1"/>
  </cols>
  <sheetData>
    <row r="1" spans="1:33" x14ac:dyDescent="0.2">
      <c r="A1" s="356"/>
      <c r="G1" s="315"/>
      <c r="H1">
        <v>2</v>
      </c>
      <c r="I1">
        <v>3</v>
      </c>
      <c r="J1">
        <v>4</v>
      </c>
      <c r="K1">
        <v>5</v>
      </c>
      <c r="L1">
        <v>6</v>
      </c>
      <c r="M1">
        <v>7</v>
      </c>
      <c r="N1">
        <v>8</v>
      </c>
      <c r="O1">
        <v>9</v>
      </c>
      <c r="P1">
        <v>10</v>
      </c>
      <c r="Q1">
        <v>11</v>
      </c>
      <c r="R1">
        <v>12</v>
      </c>
      <c r="S1">
        <v>13</v>
      </c>
      <c r="U1" s="316" t="s">
        <v>5436</v>
      </c>
    </row>
    <row r="2" spans="1:33" ht="25.5" x14ac:dyDescent="0.2">
      <c r="B2" t="s">
        <v>241</v>
      </c>
      <c r="C2" t="s">
        <v>114</v>
      </c>
      <c r="D2" s="149" t="s">
        <v>4670</v>
      </c>
      <c r="E2" s="19" t="s">
        <v>109</v>
      </c>
      <c r="F2" t="s">
        <v>311</v>
      </c>
      <c r="G2" s="316" t="s">
        <v>462</v>
      </c>
      <c r="H2" t="s">
        <v>234</v>
      </c>
      <c r="I2" t="s">
        <v>196</v>
      </c>
      <c r="J2" t="s">
        <v>235</v>
      </c>
      <c r="K2" t="s">
        <v>197</v>
      </c>
      <c r="L2" t="s">
        <v>229</v>
      </c>
      <c r="M2" t="s">
        <v>230</v>
      </c>
      <c r="N2" t="s">
        <v>231</v>
      </c>
      <c r="O2" t="s">
        <v>236</v>
      </c>
      <c r="P2" t="s">
        <v>232</v>
      </c>
      <c r="Q2" t="s">
        <v>948</v>
      </c>
      <c r="R2" t="s">
        <v>949</v>
      </c>
      <c r="S2" t="s">
        <v>603</v>
      </c>
      <c r="U2" s="316" t="s">
        <v>188</v>
      </c>
      <c r="V2" t="s">
        <v>234</v>
      </c>
      <c r="W2" t="s">
        <v>196</v>
      </c>
      <c r="X2" t="s">
        <v>235</v>
      </c>
      <c r="Y2" t="s">
        <v>197</v>
      </c>
      <c r="Z2" t="s">
        <v>229</v>
      </c>
      <c r="AA2" t="s">
        <v>230</v>
      </c>
      <c r="AB2" t="s">
        <v>231</v>
      </c>
      <c r="AC2" t="s">
        <v>236</v>
      </c>
      <c r="AD2" t="s">
        <v>232</v>
      </c>
      <c r="AE2" t="s">
        <v>948</v>
      </c>
      <c r="AF2" t="s">
        <v>949</v>
      </c>
      <c r="AG2" t="s">
        <v>603</v>
      </c>
    </row>
    <row r="3" spans="1:33" x14ac:dyDescent="0.2">
      <c r="A3" t="s">
        <v>340</v>
      </c>
      <c r="D3">
        <v>0</v>
      </c>
      <c r="E3">
        <f>IF(D3&lt;50,D3/10,IF(D3&lt;146,D3-45,(D3-125)*5))</f>
        <v>0</v>
      </c>
      <c r="F3">
        <f>ROUND(E3*24+ROUND(IF(AND(_Ped_TPN_Keuze=2,_Pat_Gewicht/10&lt;=50,_Ped_TPN_SST1Keuze&lt;11),F4*2+2*(F7+F8),2*(F7+F8)+4*(F9+F10))/24,0)*24,0)</f>
        <v>0</v>
      </c>
      <c r="G3" s="315"/>
      <c r="H3" s="315">
        <f>IF($G3=0,0,VLOOKUP($G3,Tbl_Glob_ParEnt,H$1,FALSE))*$F3</f>
        <v>0</v>
      </c>
      <c r="I3" s="315">
        <f>IF($G3=0,0,VLOOKUP($G3,Tbl_Glob_ParEnt,I$1,FALSE))*$F3</f>
        <v>0</v>
      </c>
      <c r="J3" s="315">
        <f>IF($G3=0,0,VLOOKUP($G3,Tbl_Glob_ParEnt,J$1,FALSE))*$F3</f>
        <v>0</v>
      </c>
      <c r="K3" s="315">
        <f>IF($G3=0,0,VLOOKUP($G3,Tbl_Glob_ParEnt,K$1,FALSE))*$F3</f>
        <v>0</v>
      </c>
      <c r="L3" s="315">
        <f>IF($G3=0,0,VLOOKUP($G3,Tbl_Glob_ParEnt,L$1,FALSE))*$F3</f>
        <v>0</v>
      </c>
      <c r="M3" s="315">
        <f>IF($G3=0,0,VLOOKUP($G3,Tbl_Glob_ParEnt,M$1,FALSE))*$F3</f>
        <v>0</v>
      </c>
      <c r="N3" s="315">
        <f>IF($G3=0,0,VLOOKUP($G3,Tbl_Glob_ParEnt,N$1,FALSE))*$F3</f>
        <v>0</v>
      </c>
      <c r="O3" s="315">
        <f>IF($G3=0,0,VLOOKUP($G3,Tbl_Glob_ParEnt,O$1,FALSE))*$F3</f>
        <v>0</v>
      </c>
      <c r="P3" s="315">
        <f>IF($G3=0,0,VLOOKUP($G3,Tbl_Glob_ParEnt,P$1,FALSE))*$F3</f>
        <v>0</v>
      </c>
      <c r="Q3" s="315">
        <f>IF($G3=0,0,VLOOKUP($G3,Tbl_Glob_ParEnt,Q$1,FALSE))*$F3</f>
        <v>0</v>
      </c>
      <c r="R3" s="315">
        <f>IF($G3=0,0,VLOOKUP($G3,Tbl_Glob_ParEnt,R$1,FALSE))*$F3</f>
        <v>0</v>
      </c>
      <c r="S3" s="315">
        <f>IF($G3=0,0,VLOOKUP($G3,Tbl_Glob_ParEnt,S$1,FALSE))*$F3</f>
        <v>0</v>
      </c>
      <c r="U3" s="315">
        <f>IF(_Pat_Gewicht&gt;0,F3/(_Pat_Gewicht/10),0)</f>
        <v>0</v>
      </c>
      <c r="V3">
        <f>IF(_Pat_Gewicht&gt;0,H3/(_Pat_Gewicht/10),0)</f>
        <v>0</v>
      </c>
      <c r="W3" s="315">
        <f>IF(_Pat_Gewicht&gt;0,I3/(_Pat_Gewicht/10),0)</f>
        <v>0</v>
      </c>
      <c r="X3" s="315">
        <f>IF(_Pat_Gewicht&gt;0,J3/(_Pat_Gewicht/10),0)</f>
        <v>0</v>
      </c>
      <c r="Y3" s="315">
        <f>IF(_Pat_Gewicht&gt;0,K3/(_Pat_Gewicht/10),0)</f>
        <v>0</v>
      </c>
      <c r="Z3" s="315">
        <f>IF(_Pat_Gewicht&gt;0,L3/(_Pat_Gewicht/10),0)</f>
        <v>0</v>
      </c>
      <c r="AA3" s="315">
        <f>IF(_Pat_Gewicht&gt;0,M3/(_Pat_Gewicht/10),0)</f>
        <v>0</v>
      </c>
      <c r="AB3" s="315">
        <f>IF(_Pat_Gewicht&gt;0,N3/(_Pat_Gewicht/10),0)</f>
        <v>0</v>
      </c>
      <c r="AC3" s="315">
        <f>IF(_Pat_Gewicht&gt;0,O3/(_Pat_Gewicht/10),0)</f>
        <v>0</v>
      </c>
      <c r="AD3" s="315">
        <f>IF(_Pat_Gewicht&gt;0,P3/(_Pat_Gewicht/10),0)</f>
        <v>0</v>
      </c>
      <c r="AE3" s="315">
        <f>IF(_Pat_Gewicht&gt;0,Q3/(_Pat_Gewicht/10),0)</f>
        <v>0</v>
      </c>
      <c r="AF3" s="315">
        <f>IF(_Pat_Gewicht&gt;0,R3/(_Pat_Gewicht/10),0)</f>
        <v>0</v>
      </c>
      <c r="AG3" s="315">
        <f>IF(_Pat_Gewicht&gt;0,S3/(_Pat_Gewicht/10),0)</f>
        <v>0</v>
      </c>
    </row>
    <row r="4" spans="1:33" x14ac:dyDescent="0.2">
      <c r="A4" t="s">
        <v>233</v>
      </c>
      <c r="B4">
        <v>1</v>
      </c>
      <c r="D4">
        <f>F4/24</f>
        <v>0</v>
      </c>
      <c r="E4">
        <v>0</v>
      </c>
      <c r="F4">
        <f>IF(AND(OR(_Ped_TPN_SST1Keuze&lt;11,_Pat_Gewicht/10&gt;50),B4&lt;&gt;1),_Ped_TPN_Vol,0)</f>
        <v>0</v>
      </c>
      <c r="G4" s="315">
        <f>INDEX(Tbl_Ped_TPN,B4,1)</f>
        <v>0</v>
      </c>
      <c r="H4" s="315">
        <f>IF($G4=0,0,VLOOKUP($G4,Tbl_Glob_ParEnt,H$1,FALSE))*$F4</f>
        <v>0</v>
      </c>
      <c r="I4" s="315">
        <f>IF($G4=0,0,VLOOKUP($G4,Tbl_Glob_ParEnt,I$1,FALSE))*$F4</f>
        <v>0</v>
      </c>
      <c r="J4" s="315">
        <f>IF($G4=0,0,VLOOKUP($G4,Tbl_Glob_ParEnt,J$1,FALSE))*$F4</f>
        <v>0</v>
      </c>
      <c r="K4" s="315">
        <f>IF($G4=0,0,VLOOKUP($G4,Tbl_Glob_ParEnt,K$1,FALSE))*$F4</f>
        <v>0</v>
      </c>
      <c r="L4" s="315">
        <f>IF($G4=0,0,VLOOKUP($G4,Tbl_Glob_ParEnt,L$1,FALSE))*$F4</f>
        <v>0</v>
      </c>
      <c r="M4" s="315">
        <f>IF($G4=0,0,VLOOKUP($G4,Tbl_Glob_ParEnt,M$1,FALSE))*$F4</f>
        <v>0</v>
      </c>
      <c r="N4" s="315">
        <f>IF($G4=0,0,VLOOKUP($G4,Tbl_Glob_ParEnt,N$1,FALSE))*$F4</f>
        <v>0</v>
      </c>
      <c r="O4" s="315">
        <f>IF($G4=0,0,VLOOKUP($G4,Tbl_Glob_ParEnt,O$1,FALSE))*$F4</f>
        <v>0</v>
      </c>
      <c r="P4" s="315">
        <f>IF($G4=0,0,VLOOKUP($G4,Tbl_Glob_ParEnt,P$1,FALSE))*$F4</f>
        <v>0</v>
      </c>
      <c r="Q4" s="315">
        <f>IF($G4=0,0,VLOOKUP($G4,Tbl_Glob_ParEnt,Q$1,FALSE))*$F4</f>
        <v>0</v>
      </c>
      <c r="R4" s="315">
        <f>IF($G4=0,0,VLOOKUP($G4,Tbl_Glob_ParEnt,R$1,FALSE))*$F4</f>
        <v>0</v>
      </c>
      <c r="S4" s="315">
        <f>IF($G4=0,0,VLOOKUP($G4,Tbl_Glob_ParEnt,S$1,FALSE))*$F4</f>
        <v>0</v>
      </c>
      <c r="U4" s="315">
        <f>IF(_Pat_Gewicht&gt;0,F4/(_Pat_Gewicht/10),0)</f>
        <v>0</v>
      </c>
      <c r="V4" s="315">
        <f>IF(_Pat_Gewicht&gt;0,H4/(_Pat_Gewicht/10),0)</f>
        <v>0</v>
      </c>
      <c r="W4" s="315">
        <f>IF(_Pat_Gewicht&gt;0,I4/(_Pat_Gewicht/10),0)</f>
        <v>0</v>
      </c>
      <c r="X4" s="315">
        <f>IF(_Pat_Gewicht&gt;0,J4/(_Pat_Gewicht/10),0)</f>
        <v>0</v>
      </c>
      <c r="Y4" s="315">
        <f>IF(_Pat_Gewicht&gt;0,K4/(_Pat_Gewicht/10),0)</f>
        <v>0</v>
      </c>
      <c r="Z4" s="315">
        <f>IF(_Pat_Gewicht&gt;0,L4/(_Pat_Gewicht/10),0)</f>
        <v>0</v>
      </c>
      <c r="AA4" s="315">
        <f>IF(_Pat_Gewicht&gt;0,M4/(_Pat_Gewicht/10),0)</f>
        <v>0</v>
      </c>
      <c r="AB4" s="315">
        <f>IF(_Pat_Gewicht&gt;0,N4/(_Pat_Gewicht/10),0)</f>
        <v>0</v>
      </c>
      <c r="AC4" s="315">
        <f>IF(_Pat_Gewicht&gt;0,O4/(_Pat_Gewicht/10),0)</f>
        <v>0</v>
      </c>
      <c r="AD4" s="315">
        <f>IF(_Pat_Gewicht&gt;0,P4/(_Pat_Gewicht/10),0)</f>
        <v>0</v>
      </c>
      <c r="AE4" s="315">
        <f>IF(_Pat_Gewicht&gt;0,Q4/(_Pat_Gewicht/10),0)</f>
        <v>0</v>
      </c>
      <c r="AF4" s="315">
        <f>IF(_Pat_Gewicht&gt;0,R4/(_Pat_Gewicht/10),0)</f>
        <v>0</v>
      </c>
      <c r="AG4" s="315">
        <f>IF(_Pat_Gewicht&gt;0,S4/(_Pat_Gewicht/10),0)</f>
        <v>0</v>
      </c>
    </row>
    <row r="5" spans="1:33" x14ac:dyDescent="0.2">
      <c r="A5" t="s">
        <v>310</v>
      </c>
      <c r="E5">
        <v>0</v>
      </c>
      <c r="F5">
        <f>IF(AND(_Pat_Gewicht/10&gt;=16,_Ped_TPN_Keuze&gt;1,OR(_Ped_TPN_SST1Keuze&lt;11,_Pat_Gewicht/10&gt;50)),E5,0)</f>
        <v>0</v>
      </c>
      <c r="G5" s="315"/>
      <c r="H5" s="315">
        <f>IF($G5=0,0,VLOOKUP($G5,Tbl_Glob_ParEnt,H$1,FALSE))*$F5</f>
        <v>0</v>
      </c>
      <c r="I5" s="315">
        <f>IF($G5=0,0,VLOOKUP($G5,Tbl_Glob_ParEnt,I$1,FALSE))*$F5</f>
        <v>0</v>
      </c>
      <c r="J5" s="315">
        <f>IF($G5=0,0,VLOOKUP($G5,Tbl_Glob_ParEnt,J$1,FALSE))*$F5</f>
        <v>0</v>
      </c>
      <c r="K5" s="315">
        <f>IF($G5=0,0,VLOOKUP($G5,Tbl_Glob_ParEnt,K$1,FALSE))*$F5</f>
        <v>0</v>
      </c>
      <c r="L5" s="315">
        <f>IF($G5=0,0,VLOOKUP($G5,Tbl_Glob_ParEnt,L$1,FALSE))*$F5</f>
        <v>0</v>
      </c>
      <c r="M5" s="315">
        <f>IF($G5=0,0,VLOOKUP($G5,Tbl_Glob_ParEnt,M$1,FALSE))*$F5</f>
        <v>0</v>
      </c>
      <c r="N5" s="315">
        <f>IF($G5=0,0,VLOOKUP($G5,Tbl_Glob_ParEnt,N$1,FALSE))*$F5</f>
        <v>0</v>
      </c>
      <c r="O5" s="315">
        <f>IF($G5=0,0,VLOOKUP($G5,Tbl_Glob_ParEnt,O$1,FALSE))*$F5</f>
        <v>0</v>
      </c>
      <c r="P5" s="315">
        <f>IF($G5=0,0,VLOOKUP($G5,Tbl_Glob_ParEnt,P$1,FALSE))*$F5</f>
        <v>0</v>
      </c>
      <c r="Q5" s="315">
        <f>IF($G5=0,0,VLOOKUP($G5,Tbl_Glob_ParEnt,Q$1,FALSE))*$F5</f>
        <v>0</v>
      </c>
      <c r="R5" s="315">
        <f>IF($G5=0,0,VLOOKUP($G5,Tbl_Glob_ParEnt,R$1,FALSE))*$F5</f>
        <v>0</v>
      </c>
      <c r="S5" s="315">
        <f>IF($G5=0,0,VLOOKUP($G5,Tbl_Glob_ParEnt,S$1,FALSE))*$F5</f>
        <v>0</v>
      </c>
      <c r="U5" s="315">
        <f>IF(_Pat_Gewicht&gt;0,F5/(_Pat_Gewicht/10),0)</f>
        <v>0</v>
      </c>
      <c r="V5" s="315">
        <f>IF(_Pat_Gewicht&gt;0,H5/(_Pat_Gewicht/10),0)</f>
        <v>0</v>
      </c>
      <c r="W5" s="315">
        <f>IF(_Pat_Gewicht&gt;0,I5/(_Pat_Gewicht/10),0)</f>
        <v>0</v>
      </c>
      <c r="X5" s="315">
        <f>IF(_Pat_Gewicht&gt;0,J5/(_Pat_Gewicht/10),0)</f>
        <v>0</v>
      </c>
      <c r="Y5" s="315">
        <f>IF(_Pat_Gewicht&gt;0,K5/(_Pat_Gewicht/10),0)</f>
        <v>0</v>
      </c>
      <c r="Z5" s="315">
        <f>IF(_Pat_Gewicht&gt;0,L5/(_Pat_Gewicht/10),0)</f>
        <v>0</v>
      </c>
      <c r="AA5" s="315">
        <f>IF(_Pat_Gewicht&gt;0,M5/(_Pat_Gewicht/10),0)</f>
        <v>0</v>
      </c>
      <c r="AB5" s="315">
        <f>IF(_Pat_Gewicht&gt;0,N5/(_Pat_Gewicht/10),0)</f>
        <v>0</v>
      </c>
      <c r="AC5" s="315">
        <f>IF(_Pat_Gewicht&gt;0,O5/(_Pat_Gewicht/10),0)</f>
        <v>0</v>
      </c>
      <c r="AD5" s="315">
        <f>IF(_Pat_Gewicht&gt;0,P5/(_Pat_Gewicht/10),0)</f>
        <v>0</v>
      </c>
      <c r="AE5" s="315">
        <f>IF(_Pat_Gewicht&gt;0,Q5/(_Pat_Gewicht/10),0)</f>
        <v>0</v>
      </c>
      <c r="AF5" s="315">
        <f>IF(_Pat_Gewicht&gt;0,R5/(_Pat_Gewicht/10),0)</f>
        <v>0</v>
      </c>
      <c r="AG5" s="315">
        <f>IF(_Pat_Gewicht&gt;0,S5/(_Pat_Gewicht/10),0)</f>
        <v>0</v>
      </c>
    </row>
    <row r="6" spans="1:33" x14ac:dyDescent="0.2">
      <c r="A6" s="356" t="s">
        <v>294</v>
      </c>
      <c r="B6">
        <v>1</v>
      </c>
      <c r="F6">
        <f>IF(_Pat_Gewicht/10&gt;50,F3-F7-F8-F9-F10,IF(OR(_Ped_TPN_Keuze=1,_Ped_TPN_SST1Keuze&gt;=11),F3-F7-F8-F9-F10,F3-F4-F5-F7-F8))</f>
        <v>0</v>
      </c>
      <c r="G6" s="315">
        <f>INDEX(Tbl_Ped_SST,B6,1)</f>
        <v>0</v>
      </c>
      <c r="H6" s="315">
        <f>IF($G6=0,0,VLOOKUP($G6,Tbl_Glob_ParEnt,H$1,FALSE))*$F6</f>
        <v>0</v>
      </c>
      <c r="I6" s="315">
        <f>IF($G6=0,0,VLOOKUP($G6,Tbl_Glob_ParEnt,I$1,FALSE))*$F6</f>
        <v>0</v>
      </c>
      <c r="J6" s="315">
        <f>IF($G6=0,0,VLOOKUP($G6,Tbl_Glob_ParEnt,J$1,FALSE))*$F6</f>
        <v>0</v>
      </c>
      <c r="K6" s="315">
        <f>IF($G6=0,0,VLOOKUP($G6,Tbl_Glob_ParEnt,K$1,FALSE))*$F6</f>
        <v>0</v>
      </c>
      <c r="L6" s="315">
        <f>IF($G6=0,0,VLOOKUP($G6,Tbl_Glob_ParEnt,L$1,FALSE))*$F6</f>
        <v>0</v>
      </c>
      <c r="M6" s="315">
        <f>IF($G6=0,0,VLOOKUP($G6,Tbl_Glob_ParEnt,M$1,FALSE))*$F6</f>
        <v>0</v>
      </c>
      <c r="N6" s="315">
        <f>IF($G6=0,0,VLOOKUP($G6,Tbl_Glob_ParEnt,N$1,FALSE))*$F6</f>
        <v>0</v>
      </c>
      <c r="O6" s="315">
        <f>IF($G6=0,0,VLOOKUP($G6,Tbl_Glob_ParEnt,O$1,FALSE))*$F6</f>
        <v>0</v>
      </c>
      <c r="P6" s="315">
        <f>IF($G6=0,0,VLOOKUP($G6,Tbl_Glob_ParEnt,P$1,FALSE))*$F6</f>
        <v>0</v>
      </c>
      <c r="Q6" s="315">
        <f>IF($G6=0,0,VLOOKUP($G6,Tbl_Glob_ParEnt,Q$1,FALSE))*$F6</f>
        <v>0</v>
      </c>
      <c r="R6" s="315">
        <f>IF($G6=0,0,VLOOKUP($G6,Tbl_Glob_ParEnt,R$1,FALSE))*$F6</f>
        <v>0</v>
      </c>
      <c r="S6" s="315">
        <f>IF($G6=0,0,VLOOKUP($G6,Tbl_Glob_ParEnt,S$1,FALSE))*$F6</f>
        <v>0</v>
      </c>
      <c r="U6" s="315">
        <f>IF(_Pat_Gewicht&gt;0,F6/(_Pat_Gewicht/10),0)</f>
        <v>0</v>
      </c>
      <c r="V6" s="315">
        <f>IF(_Pat_Gewicht&gt;0,H6/(_Pat_Gewicht/10),0)</f>
        <v>0</v>
      </c>
      <c r="W6" s="315">
        <f>IF(_Pat_Gewicht&gt;0,I6/(_Pat_Gewicht/10),0)</f>
        <v>0</v>
      </c>
      <c r="X6" s="315">
        <f>IF(_Pat_Gewicht&gt;0,J6/(_Pat_Gewicht/10),0)</f>
        <v>0</v>
      </c>
      <c r="Y6" s="315">
        <f>IF(_Pat_Gewicht&gt;0,K6/(_Pat_Gewicht/10),0)</f>
        <v>0</v>
      </c>
      <c r="Z6" s="315">
        <f>IF(_Pat_Gewicht&gt;0,L6/(_Pat_Gewicht/10),0)</f>
        <v>0</v>
      </c>
      <c r="AA6" s="315">
        <f>IF(_Pat_Gewicht&gt;0,M6/(_Pat_Gewicht/10),0)</f>
        <v>0</v>
      </c>
      <c r="AB6" s="315">
        <f>IF(_Pat_Gewicht&gt;0,N6/(_Pat_Gewicht/10),0)</f>
        <v>0</v>
      </c>
      <c r="AC6" s="315">
        <f>IF(_Pat_Gewicht&gt;0,O6/(_Pat_Gewicht/10),0)</f>
        <v>0</v>
      </c>
      <c r="AD6" s="315">
        <f>IF(_Pat_Gewicht&gt;0,P6/(_Pat_Gewicht/10),0)</f>
        <v>0</v>
      </c>
      <c r="AE6" s="315">
        <f>IF(_Pat_Gewicht&gt;0,Q6/(_Pat_Gewicht/10),0)</f>
        <v>0</v>
      </c>
      <c r="AF6" s="315">
        <f>IF(_Pat_Gewicht&gt;0,R6/(_Pat_Gewicht/10),0)</f>
        <v>0</v>
      </c>
      <c r="AG6" s="315">
        <f>IF(_Pat_Gewicht&gt;0,S6/(_Pat_Gewicht/10),0)</f>
        <v>0</v>
      </c>
    </row>
    <row r="7" spans="1:33" x14ac:dyDescent="0.2">
      <c r="A7" t="s">
        <v>335</v>
      </c>
      <c r="C7" t="b">
        <v>0</v>
      </c>
      <c r="D7">
        <f>IF(E7&lt;50,E7/10,E7-45)</f>
        <v>0</v>
      </c>
      <c r="E7">
        <v>0</v>
      </c>
      <c r="F7">
        <f>ROUND(IF(C7,E7,0),0)</f>
        <v>0</v>
      </c>
      <c r="G7" s="315" t="str">
        <f>A7</f>
        <v>NaCl 2,9%</v>
      </c>
      <c r="H7" s="315">
        <f>IF($G7=0,0,VLOOKUP($G7,Tbl_Glob_ParEnt,H$1,FALSE))*$F7</f>
        <v>0</v>
      </c>
      <c r="I7" s="315">
        <f>IF($G7=0,0,VLOOKUP($G7,Tbl_Glob_ParEnt,I$1,FALSE))*$F7</f>
        <v>0</v>
      </c>
      <c r="J7" s="315">
        <f>IF($G7=0,0,VLOOKUP($G7,Tbl_Glob_ParEnt,J$1,FALSE))*$F7</f>
        <v>0</v>
      </c>
      <c r="K7" s="315">
        <f>IF($G7=0,0,VLOOKUP($G7,Tbl_Glob_ParEnt,K$1,FALSE))*$F7</f>
        <v>0</v>
      </c>
      <c r="L7" s="315">
        <f>IF($G7=0,0,VLOOKUP($G7,Tbl_Glob_ParEnt,L$1,FALSE))*$F7</f>
        <v>0</v>
      </c>
      <c r="M7" s="315">
        <f>IF($G7=0,0,VLOOKUP($G7,Tbl_Glob_ParEnt,M$1,FALSE))*$F7</f>
        <v>0</v>
      </c>
      <c r="N7" s="315">
        <f>IF($G7=0,0,VLOOKUP($G7,Tbl_Glob_ParEnt,N$1,FALSE))*$F7</f>
        <v>0</v>
      </c>
      <c r="O7" s="315">
        <f>IF($G7=0,0,VLOOKUP($G7,Tbl_Glob_ParEnt,O$1,FALSE))*$F7</f>
        <v>0</v>
      </c>
      <c r="P7" s="315">
        <f>IF($G7=0,0,VLOOKUP($G7,Tbl_Glob_ParEnt,P$1,FALSE))*$F7</f>
        <v>0</v>
      </c>
      <c r="Q7" s="315">
        <f>IF($G7=0,0,VLOOKUP($G7,Tbl_Glob_ParEnt,Q$1,FALSE))*$F7</f>
        <v>0</v>
      </c>
      <c r="R7" s="315">
        <f>IF($G7=0,0,VLOOKUP($G7,Tbl_Glob_ParEnt,R$1,FALSE))*$F7</f>
        <v>0</v>
      </c>
      <c r="S7" s="315">
        <f>IF($G7=0,0,VLOOKUP($G7,Tbl_Glob_ParEnt,S$1,FALSE))*$F7</f>
        <v>0</v>
      </c>
      <c r="U7" s="315">
        <f>IF(_Pat_Gewicht&gt;0,F7/(_Pat_Gewicht/10),0)</f>
        <v>0</v>
      </c>
      <c r="V7" s="315">
        <f>IF(_Pat_Gewicht&gt;0,H7/(_Pat_Gewicht/10),0)</f>
        <v>0</v>
      </c>
      <c r="W7" s="315">
        <f>IF(_Pat_Gewicht&gt;0,I7/(_Pat_Gewicht/10),0)</f>
        <v>0</v>
      </c>
      <c r="X7" s="315">
        <f>IF(_Pat_Gewicht&gt;0,J7/(_Pat_Gewicht/10),0)</f>
        <v>0</v>
      </c>
      <c r="Y7" s="315">
        <f>IF(_Pat_Gewicht&gt;0,K7/(_Pat_Gewicht/10),0)</f>
        <v>0</v>
      </c>
      <c r="Z7" s="315">
        <f>IF(_Pat_Gewicht&gt;0,L7/(_Pat_Gewicht/10),0)</f>
        <v>0</v>
      </c>
      <c r="AA7" s="315">
        <f>IF(_Pat_Gewicht&gt;0,M7/(_Pat_Gewicht/10),0)</f>
        <v>0</v>
      </c>
      <c r="AB7" s="315">
        <f>IF(_Pat_Gewicht&gt;0,N7/(_Pat_Gewicht/10),0)</f>
        <v>0</v>
      </c>
      <c r="AC7" s="315">
        <f>IF(_Pat_Gewicht&gt;0,O7/(_Pat_Gewicht/10),0)</f>
        <v>0</v>
      </c>
      <c r="AD7" s="315">
        <f>IF(_Pat_Gewicht&gt;0,P7/(_Pat_Gewicht/10),0)</f>
        <v>0</v>
      </c>
      <c r="AE7" s="315">
        <f>IF(_Pat_Gewicht&gt;0,Q7/(_Pat_Gewicht/10),0)</f>
        <v>0</v>
      </c>
      <c r="AF7" s="315">
        <f>IF(_Pat_Gewicht&gt;0,R7/(_Pat_Gewicht/10),0)</f>
        <v>0</v>
      </c>
      <c r="AG7" s="315">
        <f>IF(_Pat_Gewicht&gt;0,S7/(_Pat_Gewicht/10),0)</f>
        <v>0</v>
      </c>
    </row>
    <row r="8" spans="1:33" x14ac:dyDescent="0.2">
      <c r="A8" t="s">
        <v>227</v>
      </c>
      <c r="C8" t="b">
        <v>0</v>
      </c>
      <c r="D8">
        <f>IF(E8&lt;50,E8/10,E8-45)</f>
        <v>0</v>
      </c>
      <c r="E8">
        <v>0</v>
      </c>
      <c r="F8">
        <f>ROUND(IF(C8,E8,0),0)</f>
        <v>0</v>
      </c>
      <c r="G8" s="315" t="str">
        <f t="shared" ref="G8:G11" si="0">A8</f>
        <v>KCl 7,4%</v>
      </c>
      <c r="H8" s="315">
        <f>IF($G8=0,0,VLOOKUP($G8,Tbl_Glob_ParEnt,H$1,FALSE))*$F8</f>
        <v>0</v>
      </c>
      <c r="I8" s="315">
        <f>IF($G8=0,0,VLOOKUP($G8,Tbl_Glob_ParEnt,I$1,FALSE))*$F8</f>
        <v>0</v>
      </c>
      <c r="J8" s="315">
        <f>IF($G8=0,0,VLOOKUP($G8,Tbl_Glob_ParEnt,J$1,FALSE))*$F8</f>
        <v>0</v>
      </c>
      <c r="K8" s="315">
        <f>IF($G8=0,0,VLOOKUP($G8,Tbl_Glob_ParEnt,K$1,FALSE))*$F8</f>
        <v>0</v>
      </c>
      <c r="L8" s="315">
        <f>IF($G8=0,0,VLOOKUP($G8,Tbl_Glob_ParEnt,L$1,FALSE))*$F8</f>
        <v>0</v>
      </c>
      <c r="M8" s="315">
        <f>IF($G8=0,0,VLOOKUP($G8,Tbl_Glob_ParEnt,M$1,FALSE))*$F8</f>
        <v>0</v>
      </c>
      <c r="N8" s="315">
        <f>IF($G8=0,0,VLOOKUP($G8,Tbl_Glob_ParEnt,N$1,FALSE))*$F8</f>
        <v>0</v>
      </c>
      <c r="O8" s="315">
        <f>IF($G8=0,0,VLOOKUP($G8,Tbl_Glob_ParEnt,O$1,FALSE))*$F8</f>
        <v>0</v>
      </c>
      <c r="P8" s="315">
        <f>IF($G8=0,0,VLOOKUP($G8,Tbl_Glob_ParEnt,P$1,FALSE))*$F8</f>
        <v>0</v>
      </c>
      <c r="Q8" s="315">
        <f>IF($G8=0,0,VLOOKUP($G8,Tbl_Glob_ParEnt,Q$1,FALSE))*$F8</f>
        <v>0</v>
      </c>
      <c r="R8" s="315">
        <f>IF($G8=0,0,VLOOKUP($G8,Tbl_Glob_ParEnt,R$1,FALSE))*$F8</f>
        <v>0</v>
      </c>
      <c r="S8" s="315">
        <f>IF($G8=0,0,VLOOKUP($G8,Tbl_Glob_ParEnt,S$1,FALSE))*$F8</f>
        <v>0</v>
      </c>
      <c r="U8" s="315">
        <f>IF(_Pat_Gewicht&gt;0,F8/(_Pat_Gewicht/10),0)</f>
        <v>0</v>
      </c>
      <c r="V8" s="315">
        <f>IF(_Pat_Gewicht&gt;0,H8/(_Pat_Gewicht/10),0)</f>
        <v>0</v>
      </c>
      <c r="W8" s="315">
        <f>IF(_Pat_Gewicht&gt;0,I8/(_Pat_Gewicht/10),0)</f>
        <v>0</v>
      </c>
      <c r="X8" s="315">
        <f>IF(_Pat_Gewicht&gt;0,J8/(_Pat_Gewicht/10),0)</f>
        <v>0</v>
      </c>
      <c r="Y8" s="315">
        <f>IF(_Pat_Gewicht&gt;0,K8/(_Pat_Gewicht/10),0)</f>
        <v>0</v>
      </c>
      <c r="Z8" s="315">
        <f>IF(_Pat_Gewicht&gt;0,L8/(_Pat_Gewicht/10),0)</f>
        <v>0</v>
      </c>
      <c r="AA8" s="315">
        <f>IF(_Pat_Gewicht&gt;0,M8/(_Pat_Gewicht/10),0)</f>
        <v>0</v>
      </c>
      <c r="AB8" s="315">
        <f>IF(_Pat_Gewicht&gt;0,N8/(_Pat_Gewicht/10),0)</f>
        <v>0</v>
      </c>
      <c r="AC8" s="315">
        <f>IF(_Pat_Gewicht&gt;0,O8/(_Pat_Gewicht/10),0)</f>
        <v>0</v>
      </c>
      <c r="AD8" s="315">
        <f>IF(_Pat_Gewicht&gt;0,P8/(_Pat_Gewicht/10),0)</f>
        <v>0</v>
      </c>
      <c r="AE8" s="315">
        <f>IF(_Pat_Gewicht&gt;0,Q8/(_Pat_Gewicht/10),0)</f>
        <v>0</v>
      </c>
      <c r="AF8" s="315">
        <f>IF(_Pat_Gewicht&gt;0,R8/(_Pat_Gewicht/10),0)</f>
        <v>0</v>
      </c>
      <c r="AG8" s="315">
        <f>IF(_Pat_Gewicht&gt;0,S8/(_Pat_Gewicht/10),0)</f>
        <v>0</v>
      </c>
    </row>
    <row r="9" spans="1:33" x14ac:dyDescent="0.2">
      <c r="A9" t="s">
        <v>336</v>
      </c>
      <c r="C9" t="b">
        <v>0</v>
      </c>
      <c r="D9">
        <f>_Ped_TPN_CaGlucVol</f>
        <v>0</v>
      </c>
      <c r="E9">
        <v>0</v>
      </c>
      <c r="F9">
        <f>ROUND(IF(C9,D9,0),0)</f>
        <v>0</v>
      </c>
      <c r="G9" s="315" t="str">
        <f t="shared" si="0"/>
        <v>CaGluc 10%</v>
      </c>
      <c r="H9" s="315">
        <f>IF($G9=0,0,VLOOKUP($G9,Tbl_Glob_ParEnt,H$1,FALSE))*$F9</f>
        <v>0</v>
      </c>
      <c r="I9" s="315">
        <f>IF($G9=0,0,VLOOKUP($G9,Tbl_Glob_ParEnt,I$1,FALSE))*$F9</f>
        <v>0</v>
      </c>
      <c r="J9" s="315">
        <f>IF($G9=0,0,VLOOKUP($G9,Tbl_Glob_ParEnt,J$1,FALSE))*$F9</f>
        <v>0</v>
      </c>
      <c r="K9" s="315">
        <f>IF($G9=0,0,VLOOKUP($G9,Tbl_Glob_ParEnt,K$1,FALSE))*$F9</f>
        <v>0</v>
      </c>
      <c r="L9" s="315">
        <f>IF($G9=0,0,VLOOKUP($G9,Tbl_Glob_ParEnt,L$1,FALSE))*$F9</f>
        <v>0</v>
      </c>
      <c r="M9" s="315">
        <f>IF($G9=0,0,VLOOKUP($G9,Tbl_Glob_ParEnt,M$1,FALSE))*$F9</f>
        <v>0</v>
      </c>
      <c r="N9" s="315">
        <f>IF($G9=0,0,VLOOKUP($G9,Tbl_Glob_ParEnt,N$1,FALSE))*$F9</f>
        <v>0</v>
      </c>
      <c r="O9" s="315">
        <f>IF($G9=0,0,VLOOKUP($G9,Tbl_Glob_ParEnt,O$1,FALSE))*$F9</f>
        <v>0</v>
      </c>
      <c r="P9" s="315">
        <f>IF($G9=0,0,VLOOKUP($G9,Tbl_Glob_ParEnt,P$1,FALSE))*$F9</f>
        <v>0</v>
      </c>
      <c r="Q9" s="315">
        <f>IF($G9=0,0,VLOOKUP($G9,Tbl_Glob_ParEnt,Q$1,FALSE))*$F9</f>
        <v>0</v>
      </c>
      <c r="R9" s="315">
        <f>IF($G9=0,0,VLOOKUP($G9,Tbl_Glob_ParEnt,R$1,FALSE))*$F9</f>
        <v>0</v>
      </c>
      <c r="S9" s="315">
        <f>IF($G9=0,0,VLOOKUP($G9,Tbl_Glob_ParEnt,S$1,FALSE))*$F9</f>
        <v>0</v>
      </c>
      <c r="U9" s="315">
        <f>IF(_Pat_Gewicht&gt;0,F9/(_Pat_Gewicht/10),0)</f>
        <v>0</v>
      </c>
      <c r="V9" s="315">
        <f>IF(_Pat_Gewicht&gt;0,H9/(_Pat_Gewicht/10),0)</f>
        <v>0</v>
      </c>
      <c r="W9" s="315">
        <f>IF(_Pat_Gewicht&gt;0,I9/(_Pat_Gewicht/10),0)</f>
        <v>0</v>
      </c>
      <c r="X9" s="315">
        <f>IF(_Pat_Gewicht&gt;0,J9/(_Pat_Gewicht/10),0)</f>
        <v>0</v>
      </c>
      <c r="Y9" s="315">
        <f>IF(_Pat_Gewicht&gt;0,K9/(_Pat_Gewicht/10),0)</f>
        <v>0</v>
      </c>
      <c r="Z9" s="315">
        <f>IF(_Pat_Gewicht&gt;0,L9/(_Pat_Gewicht/10),0)</f>
        <v>0</v>
      </c>
      <c r="AA9" s="315">
        <f>IF(_Pat_Gewicht&gt;0,M9/(_Pat_Gewicht/10),0)</f>
        <v>0</v>
      </c>
      <c r="AB9" s="315">
        <f>IF(_Pat_Gewicht&gt;0,N9/(_Pat_Gewicht/10),0)</f>
        <v>0</v>
      </c>
      <c r="AC9" s="315">
        <f>IF(_Pat_Gewicht&gt;0,O9/(_Pat_Gewicht/10),0)</f>
        <v>0</v>
      </c>
      <c r="AD9" s="315">
        <f>IF(_Pat_Gewicht&gt;0,P9/(_Pat_Gewicht/10),0)</f>
        <v>0</v>
      </c>
      <c r="AE9" s="315">
        <f>IF(_Pat_Gewicht&gt;0,Q9/(_Pat_Gewicht/10),0)</f>
        <v>0</v>
      </c>
      <c r="AF9" s="315">
        <f>IF(_Pat_Gewicht&gt;0,R9/(_Pat_Gewicht/10),0)</f>
        <v>0</v>
      </c>
      <c r="AG9" s="315">
        <f>IF(_Pat_Gewicht&gt;0,S9/(_Pat_Gewicht/10),0)</f>
        <v>0</v>
      </c>
    </row>
    <row r="10" spans="1:33" x14ac:dyDescent="0.2">
      <c r="A10" t="s">
        <v>317</v>
      </c>
      <c r="C10" t="b">
        <v>0</v>
      </c>
      <c r="D10">
        <f>_Ped_TPN_MgClVol</f>
        <v>0</v>
      </c>
      <c r="E10">
        <v>0</v>
      </c>
      <c r="F10">
        <f>ROUND(IF(C10,D10,0),0)</f>
        <v>0</v>
      </c>
      <c r="G10" s="315" t="str">
        <f t="shared" si="0"/>
        <v>MgCl 10%</v>
      </c>
      <c r="H10" s="315">
        <f>IF($G10=0,0,VLOOKUP($G10,Tbl_Glob_ParEnt,H$1,FALSE))*$F10</f>
        <v>0</v>
      </c>
      <c r="I10" s="315">
        <f>IF($G10=0,0,VLOOKUP($G10,Tbl_Glob_ParEnt,I$1,FALSE))*$F10</f>
        <v>0</v>
      </c>
      <c r="J10" s="315">
        <f>IF($G10=0,0,VLOOKUP($G10,Tbl_Glob_ParEnt,J$1,FALSE))*$F10</f>
        <v>0</v>
      </c>
      <c r="K10" s="315">
        <f>IF($G10=0,0,VLOOKUP($G10,Tbl_Glob_ParEnt,K$1,FALSE))*$F10</f>
        <v>0</v>
      </c>
      <c r="L10" s="315">
        <f>IF($G10=0,0,VLOOKUP($G10,Tbl_Glob_ParEnt,L$1,FALSE))*$F10</f>
        <v>0</v>
      </c>
      <c r="M10" s="315">
        <f>IF($G10=0,0,VLOOKUP($G10,Tbl_Glob_ParEnt,M$1,FALSE))*$F10</f>
        <v>0</v>
      </c>
      <c r="N10" s="315">
        <f>IF($G10=0,0,VLOOKUP($G10,Tbl_Glob_ParEnt,N$1,FALSE))*$F10</f>
        <v>0</v>
      </c>
      <c r="O10" s="315">
        <f>IF($G10=0,0,VLOOKUP($G10,Tbl_Glob_ParEnt,O$1,FALSE))*$F10</f>
        <v>0</v>
      </c>
      <c r="P10" s="315">
        <f>IF($G10=0,0,VLOOKUP($G10,Tbl_Glob_ParEnt,P$1,FALSE))*$F10</f>
        <v>0</v>
      </c>
      <c r="Q10" s="315">
        <f>IF($G10=0,0,VLOOKUP($G10,Tbl_Glob_ParEnt,Q$1,FALSE))*$F10</f>
        <v>0</v>
      </c>
      <c r="R10" s="315">
        <f>IF($G10=0,0,VLOOKUP($G10,Tbl_Glob_ParEnt,R$1,FALSE))*$F10</f>
        <v>0</v>
      </c>
      <c r="S10" s="315">
        <f>IF($G10=0,0,VLOOKUP($G10,Tbl_Glob_ParEnt,S$1,FALSE))*$F10</f>
        <v>0</v>
      </c>
      <c r="U10" s="315">
        <f>IF(_Pat_Gewicht&gt;0,F10/(_Pat_Gewicht/10),0)</f>
        <v>0</v>
      </c>
      <c r="V10" s="315">
        <f>IF(_Pat_Gewicht&gt;0,H10/(_Pat_Gewicht/10),0)</f>
        <v>0</v>
      </c>
      <c r="W10" s="315">
        <f>IF(_Pat_Gewicht&gt;0,I10/(_Pat_Gewicht/10),0)</f>
        <v>0</v>
      </c>
      <c r="X10" s="315">
        <f>IF(_Pat_Gewicht&gt;0,J10/(_Pat_Gewicht/10),0)</f>
        <v>0</v>
      </c>
      <c r="Y10" s="315">
        <f>IF(_Pat_Gewicht&gt;0,K10/(_Pat_Gewicht/10),0)</f>
        <v>0</v>
      </c>
      <c r="Z10" s="315">
        <f>IF(_Pat_Gewicht&gt;0,L10/(_Pat_Gewicht/10),0)</f>
        <v>0</v>
      </c>
      <c r="AA10" s="315">
        <f>IF(_Pat_Gewicht&gt;0,M10/(_Pat_Gewicht/10),0)</f>
        <v>0</v>
      </c>
      <c r="AB10" s="315">
        <f>IF(_Pat_Gewicht&gt;0,N10/(_Pat_Gewicht/10),0)</f>
        <v>0</v>
      </c>
      <c r="AC10" s="315">
        <f>IF(_Pat_Gewicht&gt;0,O10/(_Pat_Gewicht/10),0)</f>
        <v>0</v>
      </c>
      <c r="AD10" s="315">
        <f>IF(_Pat_Gewicht&gt;0,P10/(_Pat_Gewicht/10),0)</f>
        <v>0</v>
      </c>
      <c r="AE10" s="315">
        <f>IF(_Pat_Gewicht&gt;0,Q10/(_Pat_Gewicht/10),0)</f>
        <v>0</v>
      </c>
      <c r="AF10" s="315">
        <f>IF(_Pat_Gewicht&gt;0,R10/(_Pat_Gewicht/10),0)</f>
        <v>0</v>
      </c>
      <c r="AG10" s="315">
        <f>IF(_Pat_Gewicht&gt;0,S10/(_Pat_Gewicht/10),0)</f>
        <v>0</v>
      </c>
    </row>
    <row r="11" spans="1:33" x14ac:dyDescent="0.2">
      <c r="A11" t="s">
        <v>315</v>
      </c>
      <c r="C11" t="b">
        <v>0</v>
      </c>
      <c r="D11">
        <f>IF(E11&lt;50,E11/10,E11-45)</f>
        <v>0</v>
      </c>
      <c r="E11">
        <v>0</v>
      </c>
      <c r="F11">
        <f>IF(C11,D11,0)</f>
        <v>0</v>
      </c>
      <c r="G11" s="315" t="str">
        <f t="shared" si="0"/>
        <v>KNaFosfaat</v>
      </c>
      <c r="H11" s="315">
        <f>IF($G11=0,0,VLOOKUP($G11,Tbl_Glob_ParEnt,H$1,FALSE))*$F11</f>
        <v>0</v>
      </c>
      <c r="I11" s="315">
        <f>IF($G11=0,0,VLOOKUP($G11,Tbl_Glob_ParEnt,I$1,FALSE))*$F11</f>
        <v>0</v>
      </c>
      <c r="J11" s="315">
        <f>IF($G11=0,0,VLOOKUP($G11,Tbl_Glob_ParEnt,J$1,FALSE))*$F11</f>
        <v>0</v>
      </c>
      <c r="K11" s="315">
        <f>IF($G11=0,0,VLOOKUP($G11,Tbl_Glob_ParEnt,K$1,FALSE))*$F11</f>
        <v>0</v>
      </c>
      <c r="L11" s="315">
        <f>IF($G11=0,0,VLOOKUP($G11,Tbl_Glob_ParEnt,L$1,FALSE))*$F11</f>
        <v>0</v>
      </c>
      <c r="M11" s="315">
        <f>IF($G11=0,0,VLOOKUP($G11,Tbl_Glob_ParEnt,M$1,FALSE))*$F11</f>
        <v>0</v>
      </c>
      <c r="N11" s="315">
        <f>IF($G11=0,0,VLOOKUP($G11,Tbl_Glob_ParEnt,N$1,FALSE))*$F11</f>
        <v>0</v>
      </c>
      <c r="O11" s="315">
        <f>IF($G11=0,0,VLOOKUP($G11,Tbl_Glob_ParEnt,O$1,FALSE))*$F11</f>
        <v>0</v>
      </c>
      <c r="P11" s="315">
        <f>IF($G11=0,0,VLOOKUP($G11,Tbl_Glob_ParEnt,P$1,FALSE))*$F11</f>
        <v>0</v>
      </c>
      <c r="Q11" s="315">
        <f>IF($G11=0,0,VLOOKUP($G11,Tbl_Glob_ParEnt,Q$1,FALSE))*$F11</f>
        <v>0</v>
      </c>
      <c r="R11" s="315">
        <f>IF($G11=0,0,VLOOKUP($G11,Tbl_Glob_ParEnt,R$1,FALSE))*$F11</f>
        <v>0</v>
      </c>
      <c r="S11" s="315">
        <f>IF($G11=0,0,VLOOKUP($G11,Tbl_Glob_ParEnt,S$1,FALSE))*$F11</f>
        <v>0</v>
      </c>
      <c r="U11" s="315">
        <f>IF(_Pat_Gewicht&gt;0,F11/(_Pat_Gewicht/10),0)</f>
        <v>0</v>
      </c>
      <c r="V11" s="315">
        <f>IF(_Pat_Gewicht&gt;0,H11/(_Pat_Gewicht/10),0)</f>
        <v>0</v>
      </c>
      <c r="W11" s="315">
        <f>IF(_Pat_Gewicht&gt;0,I11/(_Pat_Gewicht/10),0)</f>
        <v>0</v>
      </c>
      <c r="X11" s="315">
        <f>IF(_Pat_Gewicht&gt;0,J11/(_Pat_Gewicht/10),0)</f>
        <v>0</v>
      </c>
      <c r="Y11" s="315">
        <f>IF(_Pat_Gewicht&gt;0,K11/(_Pat_Gewicht/10),0)</f>
        <v>0</v>
      </c>
      <c r="Z11" s="315">
        <f>IF(_Pat_Gewicht&gt;0,L11/(_Pat_Gewicht/10),0)</f>
        <v>0</v>
      </c>
      <c r="AA11" s="315">
        <f>IF(_Pat_Gewicht&gt;0,M11/(_Pat_Gewicht/10),0)</f>
        <v>0</v>
      </c>
      <c r="AB11" s="315">
        <f>IF(_Pat_Gewicht&gt;0,N11/(_Pat_Gewicht/10),0)</f>
        <v>0</v>
      </c>
      <c r="AC11" s="315">
        <f>IF(_Pat_Gewicht&gt;0,O11/(_Pat_Gewicht/10),0)</f>
        <v>0</v>
      </c>
      <c r="AD11" s="315">
        <f>IF(_Pat_Gewicht&gt;0,P11/(_Pat_Gewicht/10),0)</f>
        <v>0</v>
      </c>
      <c r="AE11" s="315">
        <f>IF(_Pat_Gewicht&gt;0,Q11/(_Pat_Gewicht/10),0)</f>
        <v>0</v>
      </c>
      <c r="AF11" s="315">
        <f>IF(_Pat_Gewicht&gt;0,R11/(_Pat_Gewicht/10),0)</f>
        <v>0</v>
      </c>
      <c r="AG11" s="315">
        <f>IF(_Pat_Gewicht&gt;0,S11/(_Pat_Gewicht/10),0)</f>
        <v>0</v>
      </c>
    </row>
    <row r="12" spans="1:33" x14ac:dyDescent="0.2">
      <c r="A12" t="s">
        <v>198</v>
      </c>
      <c r="D12">
        <v>0</v>
      </c>
      <c r="E12">
        <f>ROUND(IF(D12&lt;50,D12/10,D12-45),1)</f>
        <v>0</v>
      </c>
      <c r="F12">
        <f>E12*24</f>
        <v>0</v>
      </c>
      <c r="G12" s="315"/>
      <c r="H12" s="315">
        <f>IF($G12=0,0,VLOOKUP($G12,Tbl_Glob_ParEnt,H$1,FALSE))*$F12</f>
        <v>0</v>
      </c>
      <c r="I12" s="315">
        <f>IF($G12=0,0,VLOOKUP($G12,Tbl_Glob_ParEnt,I$1,FALSE))*$F12</f>
        <v>0</v>
      </c>
      <c r="J12" s="315">
        <f>IF($G12=0,0,VLOOKUP($G12,Tbl_Glob_ParEnt,J$1,FALSE))*$F12</f>
        <v>0</v>
      </c>
      <c r="K12" s="315">
        <f>IF($G12=0,0,VLOOKUP($G12,Tbl_Glob_ParEnt,K$1,FALSE))*$F12</f>
        <v>0</v>
      </c>
      <c r="L12" s="315">
        <f>IF($G12=0,0,VLOOKUP($G12,Tbl_Glob_ParEnt,L$1,FALSE))*$F12</f>
        <v>0</v>
      </c>
      <c r="M12" s="315">
        <f>IF($G12=0,0,VLOOKUP($G12,Tbl_Glob_ParEnt,M$1,FALSE))*$F12</f>
        <v>0</v>
      </c>
      <c r="N12" s="315">
        <f>IF($G12=0,0,VLOOKUP($G12,Tbl_Glob_ParEnt,N$1,FALSE))*$F12</f>
        <v>0</v>
      </c>
      <c r="O12" s="315">
        <f>IF($G12=0,0,VLOOKUP($G12,Tbl_Glob_ParEnt,O$1,FALSE))*$F12</f>
        <v>0</v>
      </c>
      <c r="P12" s="315">
        <f>IF($G12=0,0,VLOOKUP($G12,Tbl_Glob_ParEnt,P$1,FALSE))*$F12</f>
        <v>0</v>
      </c>
      <c r="Q12" s="315">
        <f>IF($G12=0,0,VLOOKUP($G12,Tbl_Glob_ParEnt,Q$1,FALSE))*$F12</f>
        <v>0</v>
      </c>
      <c r="R12" s="315">
        <f>IF($G12=0,0,VLOOKUP($G12,Tbl_Glob_ParEnt,R$1,FALSE))*$F12</f>
        <v>0</v>
      </c>
      <c r="S12" s="315">
        <f>IF($G12=0,0,VLOOKUP($G12,Tbl_Glob_ParEnt,S$1,FALSE))*$F12</f>
        <v>0</v>
      </c>
      <c r="U12" s="315">
        <f>IF(_Pat_Gewicht&gt;0,F12/(_Pat_Gewicht/10),0)</f>
        <v>0</v>
      </c>
      <c r="V12" s="315">
        <f>IF(_Pat_Gewicht&gt;0,H12/(_Pat_Gewicht/10),0)</f>
        <v>0</v>
      </c>
      <c r="W12" s="315">
        <f>IF(_Pat_Gewicht&gt;0,I12/(_Pat_Gewicht/10),0)</f>
        <v>0</v>
      </c>
      <c r="X12" s="315">
        <f>IF(_Pat_Gewicht&gt;0,J12/(_Pat_Gewicht/10),0)</f>
        <v>0</v>
      </c>
      <c r="Y12" s="315">
        <f>IF(_Pat_Gewicht&gt;0,K12/(_Pat_Gewicht/10),0)</f>
        <v>0</v>
      </c>
      <c r="Z12" s="315">
        <f>IF(_Pat_Gewicht&gt;0,L12/(_Pat_Gewicht/10),0)</f>
        <v>0</v>
      </c>
      <c r="AA12" s="315">
        <f>IF(_Pat_Gewicht&gt;0,M12/(_Pat_Gewicht/10),0)</f>
        <v>0</v>
      </c>
      <c r="AB12" s="315">
        <f>IF(_Pat_Gewicht&gt;0,N12/(_Pat_Gewicht/10),0)</f>
        <v>0</v>
      </c>
      <c r="AC12" s="315">
        <f>IF(_Pat_Gewicht&gt;0,O12/(_Pat_Gewicht/10),0)</f>
        <v>0</v>
      </c>
      <c r="AD12" s="315">
        <f>IF(_Pat_Gewicht&gt;0,P12/(_Pat_Gewicht/10),0)</f>
        <v>0</v>
      </c>
      <c r="AE12" s="315">
        <f>IF(_Pat_Gewicht&gt;0,Q12/(_Pat_Gewicht/10),0)</f>
        <v>0</v>
      </c>
      <c r="AF12" s="315">
        <f>IF(_Pat_Gewicht&gt;0,R12/(_Pat_Gewicht/10),0)</f>
        <v>0</v>
      </c>
      <c r="AG12" s="315">
        <f>IF(_Pat_Gewicht&gt;0,S12/(_Pat_Gewicht/10),0)</f>
        <v>0</v>
      </c>
    </row>
    <row r="13" spans="1:33" x14ac:dyDescent="0.2">
      <c r="A13" t="s">
        <v>199</v>
      </c>
      <c r="F13">
        <f>F12-F14-F15-F16</f>
        <v>0</v>
      </c>
      <c r="G13" s="315" t="str">
        <f>A13</f>
        <v>Intralipid 20%</v>
      </c>
      <c r="H13" s="315">
        <f>IF($G13=0,0,VLOOKUP($G13,Tbl_Glob_ParEnt,H$1,FALSE))*$F13</f>
        <v>0</v>
      </c>
      <c r="I13" s="315">
        <f>IF($G13=0,0,VLOOKUP($G13,Tbl_Glob_ParEnt,I$1,FALSE))*$F13</f>
        <v>0</v>
      </c>
      <c r="J13" s="315">
        <f>IF($G13=0,0,VLOOKUP($G13,Tbl_Glob_ParEnt,J$1,FALSE))*$F13</f>
        <v>0</v>
      </c>
      <c r="K13" s="315">
        <f>IF($G13=0,0,VLOOKUP($G13,Tbl_Glob_ParEnt,K$1,FALSE))*$F13</f>
        <v>0</v>
      </c>
      <c r="L13" s="315">
        <f>IF($G13=0,0,VLOOKUP($G13,Tbl_Glob_ParEnt,L$1,FALSE))*$F13</f>
        <v>0</v>
      </c>
      <c r="M13" s="315">
        <f>IF($G13=0,0,VLOOKUP($G13,Tbl_Glob_ParEnt,M$1,FALSE))*$F13</f>
        <v>0</v>
      </c>
      <c r="N13" s="315">
        <f>IF($G13=0,0,VLOOKUP($G13,Tbl_Glob_ParEnt,N$1,FALSE))*$F13</f>
        <v>0</v>
      </c>
      <c r="O13" s="315">
        <f>IF($G13=0,0,VLOOKUP($G13,Tbl_Glob_ParEnt,O$1,FALSE))*$F13</f>
        <v>0</v>
      </c>
      <c r="P13" s="315">
        <f>IF($G13=0,0,VLOOKUP($G13,Tbl_Glob_ParEnt,P$1,FALSE))*$F13</f>
        <v>0</v>
      </c>
      <c r="Q13" s="315">
        <f>IF($G13=0,0,VLOOKUP($G13,Tbl_Glob_ParEnt,Q$1,FALSE))*$F13</f>
        <v>0</v>
      </c>
      <c r="R13" s="315">
        <f>IF($G13=0,0,VLOOKUP($G13,Tbl_Glob_ParEnt,R$1,FALSE))*$F13</f>
        <v>0</v>
      </c>
      <c r="S13" s="315">
        <f>IF($G13=0,0,VLOOKUP($G13,Tbl_Glob_ParEnt,S$1,FALSE))*$F13</f>
        <v>0</v>
      </c>
      <c r="U13" s="315">
        <f>IF(_Pat_Gewicht&gt;0,F13/(_Pat_Gewicht/10),0)</f>
        <v>0</v>
      </c>
      <c r="V13" s="315">
        <f>IF(_Pat_Gewicht&gt;0,H13/(_Pat_Gewicht/10),0)</f>
        <v>0</v>
      </c>
      <c r="W13" s="315">
        <f>IF(_Pat_Gewicht&gt;0,I13/(_Pat_Gewicht/10),0)</f>
        <v>0</v>
      </c>
      <c r="X13" s="315">
        <f>IF(_Pat_Gewicht&gt;0,J13/(_Pat_Gewicht/10),0)</f>
        <v>0</v>
      </c>
      <c r="Y13" s="315">
        <f>IF(_Pat_Gewicht&gt;0,K13/(_Pat_Gewicht/10),0)</f>
        <v>0</v>
      </c>
      <c r="Z13" s="315">
        <f>IF(_Pat_Gewicht&gt;0,L13/(_Pat_Gewicht/10),0)</f>
        <v>0</v>
      </c>
      <c r="AA13" s="315">
        <f>IF(_Pat_Gewicht&gt;0,M13/(_Pat_Gewicht/10),0)</f>
        <v>0</v>
      </c>
      <c r="AB13" s="315">
        <f>IF(_Pat_Gewicht&gt;0,N13/(_Pat_Gewicht/10),0)</f>
        <v>0</v>
      </c>
      <c r="AC13" s="315">
        <f>IF(_Pat_Gewicht&gt;0,O13/(_Pat_Gewicht/10),0)</f>
        <v>0</v>
      </c>
      <c r="AD13" s="315">
        <f>IF(_Pat_Gewicht&gt;0,P13/(_Pat_Gewicht/10),0)</f>
        <v>0</v>
      </c>
      <c r="AE13" s="315">
        <f>IF(_Pat_Gewicht&gt;0,Q13/(_Pat_Gewicht/10),0)</f>
        <v>0</v>
      </c>
      <c r="AF13" s="315">
        <f>IF(_Pat_Gewicht&gt;0,R13/(_Pat_Gewicht/10),0)</f>
        <v>0</v>
      </c>
      <c r="AG13" s="315">
        <f>IF(_Pat_Gewicht&gt;0,S13/(_Pat_Gewicht/10),0)</f>
        <v>0</v>
      </c>
    </row>
    <row r="14" spans="1:33" x14ac:dyDescent="0.2">
      <c r="A14" t="s">
        <v>200</v>
      </c>
      <c r="C14" t="b">
        <v>0</v>
      </c>
      <c r="D14">
        <f>IF(E14&lt;50,E14/10,E14-45)</f>
        <v>0.1</v>
      </c>
      <c r="E14">
        <v>1</v>
      </c>
      <c r="F14">
        <f>IF(C14,D14,0)</f>
        <v>0</v>
      </c>
      <c r="G14" s="315"/>
      <c r="H14" s="315">
        <f>IF($G14=0,0,VLOOKUP($G14,Tbl_Glob_ParEnt,H$1,FALSE))*$F14</f>
        <v>0</v>
      </c>
      <c r="I14" s="315">
        <f>IF($G14=0,0,VLOOKUP($G14,Tbl_Glob_ParEnt,I$1,FALSE))*$F14</f>
        <v>0</v>
      </c>
      <c r="J14" s="315">
        <f>IF($G14=0,0,VLOOKUP($G14,Tbl_Glob_ParEnt,J$1,FALSE))*$F14</f>
        <v>0</v>
      </c>
      <c r="K14" s="315">
        <f>IF($G14=0,0,VLOOKUP($G14,Tbl_Glob_ParEnt,K$1,FALSE))*$F14</f>
        <v>0</v>
      </c>
      <c r="L14" s="315">
        <f>IF($G14=0,0,VLOOKUP($G14,Tbl_Glob_ParEnt,L$1,FALSE))*$F14</f>
        <v>0</v>
      </c>
      <c r="M14" s="315">
        <f>IF($G14=0,0,VLOOKUP($G14,Tbl_Glob_ParEnt,M$1,FALSE))*$F14</f>
        <v>0</v>
      </c>
      <c r="N14" s="315">
        <f>IF($G14=0,0,VLOOKUP($G14,Tbl_Glob_ParEnt,N$1,FALSE))*$F14</f>
        <v>0</v>
      </c>
      <c r="O14" s="315">
        <f>IF($G14=0,0,VLOOKUP($G14,Tbl_Glob_ParEnt,O$1,FALSE))*$F14</f>
        <v>0</v>
      </c>
      <c r="P14" s="315">
        <f>IF($G14=0,0,VLOOKUP($G14,Tbl_Glob_ParEnt,P$1,FALSE))*$F14</f>
        <v>0</v>
      </c>
      <c r="Q14" s="315">
        <f>IF($G14=0,0,VLOOKUP($G14,Tbl_Glob_ParEnt,Q$1,FALSE))*$F14</f>
        <v>0</v>
      </c>
      <c r="R14" s="315">
        <f>IF($G14=0,0,VLOOKUP($G14,Tbl_Glob_ParEnt,R$1,FALSE))*$F14</f>
        <v>0</v>
      </c>
      <c r="S14" s="315">
        <f>IF($G14=0,0,VLOOKUP($G14,Tbl_Glob_ParEnt,S$1,FALSE))*$F14</f>
        <v>0</v>
      </c>
      <c r="U14" s="315">
        <f>IF(_Pat_Gewicht&gt;0,F14/(_Pat_Gewicht/10),0)</f>
        <v>0</v>
      </c>
      <c r="V14" s="315">
        <f>IF(_Pat_Gewicht&gt;0,H14/(_Pat_Gewicht/10),0)</f>
        <v>0</v>
      </c>
      <c r="W14" s="315">
        <f>IF(_Pat_Gewicht&gt;0,I14/(_Pat_Gewicht/10),0)</f>
        <v>0</v>
      </c>
      <c r="X14" s="315">
        <f>IF(_Pat_Gewicht&gt;0,J14/(_Pat_Gewicht/10),0)</f>
        <v>0</v>
      </c>
      <c r="Y14" s="315">
        <f>IF(_Pat_Gewicht&gt;0,K14/(_Pat_Gewicht/10),0)</f>
        <v>0</v>
      </c>
      <c r="Z14" s="315">
        <f>IF(_Pat_Gewicht&gt;0,L14/(_Pat_Gewicht/10),0)</f>
        <v>0</v>
      </c>
      <c r="AA14" s="315">
        <f>IF(_Pat_Gewicht&gt;0,M14/(_Pat_Gewicht/10),0)</f>
        <v>0</v>
      </c>
      <c r="AB14" s="315">
        <f>IF(_Pat_Gewicht&gt;0,N14/(_Pat_Gewicht/10),0)</f>
        <v>0</v>
      </c>
      <c r="AC14" s="315">
        <f>IF(_Pat_Gewicht&gt;0,O14/(_Pat_Gewicht/10),0)</f>
        <v>0</v>
      </c>
      <c r="AD14" s="315">
        <f>IF(_Pat_Gewicht&gt;0,P14/(_Pat_Gewicht/10),0)</f>
        <v>0</v>
      </c>
      <c r="AE14" s="315">
        <f>IF(_Pat_Gewicht&gt;0,Q14/(_Pat_Gewicht/10),0)</f>
        <v>0</v>
      </c>
      <c r="AF14" s="315">
        <f>IF(_Pat_Gewicht&gt;0,R14/(_Pat_Gewicht/10),0)</f>
        <v>0</v>
      </c>
      <c r="AG14" s="315">
        <f>IF(_Pat_Gewicht&gt;0,S14/(_Pat_Gewicht/10),0)</f>
        <v>0</v>
      </c>
    </row>
    <row r="15" spans="1:33" x14ac:dyDescent="0.2">
      <c r="A15" t="s">
        <v>201</v>
      </c>
      <c r="C15" t="b">
        <v>0</v>
      </c>
      <c r="D15">
        <f>IF(E15&lt;50,E15/10,E15-45)</f>
        <v>0.1</v>
      </c>
      <c r="E15">
        <v>1</v>
      </c>
      <c r="F15">
        <f>IF(AND(C15,_Pat_Gewicht/10&gt;=7),D15,0)</f>
        <v>0</v>
      </c>
      <c r="G15" s="315" t="str">
        <f t="shared" ref="G15" si="1">A15</f>
        <v>Soluvit</v>
      </c>
      <c r="H15" s="315">
        <f>IF($G15=0,0,VLOOKUP($G15,Tbl_Glob_ParEnt,H$1,FALSE))*$F15</f>
        <v>0</v>
      </c>
      <c r="I15" s="315">
        <f>IF($G15=0,0,VLOOKUP($G15,Tbl_Glob_ParEnt,I$1,FALSE))*$F15</f>
        <v>0</v>
      </c>
      <c r="J15" s="315">
        <f>IF($G15=0,0,VLOOKUP($G15,Tbl_Glob_ParEnt,J$1,FALSE))*$F15</f>
        <v>0</v>
      </c>
      <c r="K15" s="315">
        <f>IF($G15=0,0,VLOOKUP($G15,Tbl_Glob_ParEnt,K$1,FALSE))*$F15</f>
        <v>0</v>
      </c>
      <c r="L15" s="315">
        <f>IF($G15=0,0,VLOOKUP($G15,Tbl_Glob_ParEnt,L$1,FALSE))*$F15</f>
        <v>0</v>
      </c>
      <c r="M15" s="315">
        <f>IF($G15=0,0,VLOOKUP($G15,Tbl_Glob_ParEnt,M$1,FALSE))*$F15</f>
        <v>0</v>
      </c>
      <c r="N15" s="315">
        <f>IF($G15=0,0,VLOOKUP($G15,Tbl_Glob_ParEnt,N$1,FALSE))*$F15</f>
        <v>0</v>
      </c>
      <c r="O15" s="315">
        <f>IF($G15=0,0,VLOOKUP($G15,Tbl_Glob_ParEnt,O$1,FALSE))*$F15</f>
        <v>0</v>
      </c>
      <c r="P15" s="315">
        <f>IF($G15=0,0,VLOOKUP($G15,Tbl_Glob_ParEnt,P$1,FALSE))*$F15</f>
        <v>0</v>
      </c>
      <c r="Q15" s="315">
        <f>IF($G15=0,0,VLOOKUP($G15,Tbl_Glob_ParEnt,Q$1,FALSE))*$F15</f>
        <v>0</v>
      </c>
      <c r="R15" s="315">
        <f>IF($G15=0,0,VLOOKUP($G15,Tbl_Glob_ParEnt,R$1,FALSE))*$F15</f>
        <v>0</v>
      </c>
      <c r="S15" s="315">
        <f>IF($G15=0,0,VLOOKUP($G15,Tbl_Glob_ParEnt,S$1,FALSE))*$F15</f>
        <v>0</v>
      </c>
      <c r="U15" s="315">
        <f>IF(_Pat_Gewicht&gt;0,F15/(_Pat_Gewicht/10),0)</f>
        <v>0</v>
      </c>
      <c r="V15" s="315">
        <f>IF(_Pat_Gewicht&gt;0,H15/(_Pat_Gewicht/10),0)</f>
        <v>0</v>
      </c>
      <c r="W15" s="315">
        <f>IF(_Pat_Gewicht&gt;0,I15/(_Pat_Gewicht/10),0)</f>
        <v>0</v>
      </c>
      <c r="X15" s="315">
        <f>IF(_Pat_Gewicht&gt;0,J15/(_Pat_Gewicht/10),0)</f>
        <v>0</v>
      </c>
      <c r="Y15" s="315">
        <f>IF(_Pat_Gewicht&gt;0,K15/(_Pat_Gewicht/10),0)</f>
        <v>0</v>
      </c>
      <c r="Z15" s="315">
        <f>IF(_Pat_Gewicht&gt;0,L15/(_Pat_Gewicht/10),0)</f>
        <v>0</v>
      </c>
      <c r="AA15" s="315">
        <f>IF(_Pat_Gewicht&gt;0,M15/(_Pat_Gewicht/10),0)</f>
        <v>0</v>
      </c>
      <c r="AB15" s="315">
        <f>IF(_Pat_Gewicht&gt;0,N15/(_Pat_Gewicht/10),0)</f>
        <v>0</v>
      </c>
      <c r="AC15" s="315">
        <f>IF(_Pat_Gewicht&gt;0,O15/(_Pat_Gewicht/10),0)</f>
        <v>0</v>
      </c>
      <c r="AD15" s="315">
        <f>IF(_Pat_Gewicht&gt;0,P15/(_Pat_Gewicht/10),0)</f>
        <v>0</v>
      </c>
      <c r="AE15" s="315">
        <f>IF(_Pat_Gewicht&gt;0,Q15/(_Pat_Gewicht/10),0)</f>
        <v>0</v>
      </c>
      <c r="AF15" s="315">
        <f>IF(_Pat_Gewicht&gt;0,R15/(_Pat_Gewicht/10),0)</f>
        <v>0</v>
      </c>
      <c r="AG15" s="315">
        <f>IF(_Pat_Gewicht&gt;0,S15/(_Pat_Gewicht/10),0)</f>
        <v>0</v>
      </c>
    </row>
    <row r="16" spans="1:33" s="315" customFormat="1" x14ac:dyDescent="0.2">
      <c r="A16" s="316" t="s">
        <v>1105</v>
      </c>
      <c r="C16" s="315">
        <v>0</v>
      </c>
      <c r="D16" s="315">
        <f>IF(E16&lt;50,E16/10,E16-45)</f>
        <v>4.9000000000000004</v>
      </c>
      <c r="E16" s="315">
        <v>49</v>
      </c>
      <c r="F16" s="315">
        <f>IF(C16,D16,0)</f>
        <v>0</v>
      </c>
      <c r="H16" s="315">
        <f>IF($G16=0,0,VLOOKUP($G16,Tbl_Glob_ParEnt,H$1,FALSE))*$F16</f>
        <v>0</v>
      </c>
      <c r="I16" s="315">
        <f>IF($G16=0,0,VLOOKUP($G16,Tbl_Glob_ParEnt,I$1,FALSE))*$F16</f>
        <v>0</v>
      </c>
      <c r="J16" s="315">
        <f>IF($G16=0,0,VLOOKUP($G16,Tbl_Glob_ParEnt,J$1,FALSE))*$F16</f>
        <v>0</v>
      </c>
      <c r="K16" s="315">
        <f>IF($G16=0,0,VLOOKUP($G16,Tbl_Glob_ParEnt,K$1,FALSE))*$F16</f>
        <v>0</v>
      </c>
      <c r="L16" s="315">
        <f>IF($G16=0,0,VLOOKUP($G16,Tbl_Glob_ParEnt,L$1,FALSE))*$F16</f>
        <v>0</v>
      </c>
      <c r="M16" s="315">
        <f>IF($G16=0,0,VLOOKUP($G16,Tbl_Glob_ParEnt,M$1,FALSE))*$F16</f>
        <v>0</v>
      </c>
      <c r="N16" s="315">
        <f>IF($G16=0,0,VLOOKUP($G16,Tbl_Glob_ParEnt,N$1,FALSE))*$F16</f>
        <v>0</v>
      </c>
      <c r="O16" s="315">
        <f>IF($G16=0,0,VLOOKUP($G16,Tbl_Glob_ParEnt,O$1,FALSE))*$F16</f>
        <v>0</v>
      </c>
      <c r="P16" s="315">
        <f>IF($G16=0,0,VLOOKUP($G16,Tbl_Glob_ParEnt,P$1,FALSE))*$F16</f>
        <v>0</v>
      </c>
      <c r="Q16" s="315">
        <f>IF($G16=0,0,VLOOKUP($G16,Tbl_Glob_ParEnt,Q$1,FALSE))*$F16</f>
        <v>0</v>
      </c>
      <c r="R16" s="315">
        <f>IF($G16=0,0,VLOOKUP($G16,Tbl_Glob_ParEnt,R$1,FALSE))*$F16</f>
        <v>0</v>
      </c>
      <c r="S16" s="315">
        <f>IF($G16=0,0,VLOOKUP($G16,Tbl_Glob_ParEnt,S$1,FALSE))*$F16</f>
        <v>0</v>
      </c>
      <c r="U16" s="315">
        <f>IF(_Pat_Gewicht&gt;0,F16/(_Pat_Gewicht/10),0)</f>
        <v>0</v>
      </c>
      <c r="V16" s="315">
        <f>IF(_Pat_Gewicht&gt;0,H16/(_Pat_Gewicht/10),0)</f>
        <v>0</v>
      </c>
      <c r="W16" s="315">
        <f>IF(_Pat_Gewicht&gt;0,I16/(_Pat_Gewicht/10),0)</f>
        <v>0</v>
      </c>
      <c r="X16" s="315">
        <f>IF(_Pat_Gewicht&gt;0,J16/(_Pat_Gewicht/10),0)</f>
        <v>0</v>
      </c>
      <c r="Y16" s="315">
        <f>IF(_Pat_Gewicht&gt;0,K16/(_Pat_Gewicht/10),0)</f>
        <v>0</v>
      </c>
      <c r="Z16" s="315">
        <f>IF(_Pat_Gewicht&gt;0,L16/(_Pat_Gewicht/10),0)</f>
        <v>0</v>
      </c>
      <c r="AA16" s="315">
        <f>IF(_Pat_Gewicht&gt;0,M16/(_Pat_Gewicht/10),0)</f>
        <v>0</v>
      </c>
      <c r="AB16" s="315">
        <f>IF(_Pat_Gewicht&gt;0,N16/(_Pat_Gewicht/10),0)</f>
        <v>0</v>
      </c>
      <c r="AC16" s="315">
        <f>IF(_Pat_Gewicht&gt;0,O16/(_Pat_Gewicht/10),0)</f>
        <v>0</v>
      </c>
      <c r="AD16" s="315">
        <f>IF(_Pat_Gewicht&gt;0,P16/(_Pat_Gewicht/10),0)</f>
        <v>0</v>
      </c>
      <c r="AE16" s="315">
        <f>IF(_Pat_Gewicht&gt;0,Q16/(_Pat_Gewicht/10),0)</f>
        <v>0</v>
      </c>
      <c r="AF16" s="315">
        <f>IF(_Pat_Gewicht&gt;0,R16/(_Pat_Gewicht/10),0)</f>
        <v>0</v>
      </c>
      <c r="AG16" s="315">
        <f>IF(_Pat_Gewicht&gt;0,S16/(_Pat_Gewicht/10),0)</f>
        <v>0</v>
      </c>
    </row>
    <row r="17" spans="1:33" x14ac:dyDescent="0.2">
      <c r="A17" t="s">
        <v>156</v>
      </c>
      <c r="F17">
        <f>IF(AND(_Ped_TPN_Keuze=2,_Pat_Gewicht/10&lt;=50,_Ped_TPN_SST1Keuze&lt;11),ROUND((F9*4+F10*4)/10,0)*10,IF(AND(_Ped_TPN_Keuze=2,_Pat_Gewicht/10&gt;50),100,0))</f>
        <v>0</v>
      </c>
      <c r="G17" s="316" t="s">
        <v>611</v>
      </c>
      <c r="H17" s="315">
        <f>IF($G17=0,0,VLOOKUP($G17,Tbl_Glob_ParEnt,H$1,FALSE))*$F17</f>
        <v>0</v>
      </c>
      <c r="I17" s="315">
        <f>IF($G17=0,0,VLOOKUP($G17,Tbl_Glob_ParEnt,I$1,FALSE))*$F17</f>
        <v>0</v>
      </c>
      <c r="J17" s="315">
        <f>IF($G17=0,0,VLOOKUP($G17,Tbl_Glob_ParEnt,J$1,FALSE))*$F17</f>
        <v>0</v>
      </c>
      <c r="K17" s="315">
        <f>IF($G17=0,0,VLOOKUP($G17,Tbl_Glob_ParEnt,K$1,FALSE))*$F17</f>
        <v>0</v>
      </c>
      <c r="L17" s="315">
        <f>IF($G17=0,0,VLOOKUP($G17,Tbl_Glob_ParEnt,L$1,FALSE))*$F17</f>
        <v>0</v>
      </c>
      <c r="M17" s="315">
        <f>IF($G17=0,0,VLOOKUP($G17,Tbl_Glob_ParEnt,M$1,FALSE))*$F17</f>
        <v>0</v>
      </c>
      <c r="N17" s="315">
        <f>IF($G17=0,0,VLOOKUP($G17,Tbl_Glob_ParEnt,N$1,FALSE))*$F17</f>
        <v>0</v>
      </c>
      <c r="O17" s="315">
        <f>IF($G17=0,0,VLOOKUP($G17,Tbl_Glob_ParEnt,O$1,FALSE))*$F17</f>
        <v>0</v>
      </c>
      <c r="P17" s="315">
        <f>IF($G17=0,0,VLOOKUP($G17,Tbl_Glob_ParEnt,P$1,FALSE))*$F17</f>
        <v>0</v>
      </c>
      <c r="Q17" s="315">
        <f>IF($G17=0,0,VLOOKUP($G17,Tbl_Glob_ParEnt,Q$1,FALSE))*$F17</f>
        <v>0</v>
      </c>
      <c r="R17" s="315">
        <f>IF($G17=0,0,VLOOKUP($G17,Tbl_Glob_ParEnt,R$1,FALSE))*$F17</f>
        <v>0</v>
      </c>
      <c r="S17" s="315">
        <f>IF($G17=0,0,VLOOKUP($G17,Tbl_Glob_ParEnt,S$1,FALSE))*$F17</f>
        <v>0</v>
      </c>
      <c r="U17" s="315">
        <f>IF(_Pat_Gewicht&gt;0,F17/(_Pat_Gewicht/10),0)</f>
        <v>0</v>
      </c>
      <c r="V17" s="315">
        <f>IF(_Pat_Gewicht&gt;0,H17/(_Pat_Gewicht/10),0)</f>
        <v>0</v>
      </c>
      <c r="W17" s="315">
        <f>IF(_Pat_Gewicht&gt;0,I17/(_Pat_Gewicht/10),0)</f>
        <v>0</v>
      </c>
      <c r="X17" s="315">
        <f>IF(_Pat_Gewicht&gt;0,J17/(_Pat_Gewicht/10),0)</f>
        <v>0</v>
      </c>
      <c r="Y17" s="315">
        <f>IF(_Pat_Gewicht&gt;0,K17/(_Pat_Gewicht/10),0)</f>
        <v>0</v>
      </c>
      <c r="Z17" s="315">
        <f>IF(_Pat_Gewicht&gt;0,L17/(_Pat_Gewicht/10),0)</f>
        <v>0</v>
      </c>
      <c r="AA17" s="315">
        <f>IF(_Pat_Gewicht&gt;0,M17/(_Pat_Gewicht/10),0)</f>
        <v>0</v>
      </c>
      <c r="AB17" s="315">
        <f>IF(_Pat_Gewicht&gt;0,N17/(_Pat_Gewicht/10),0)</f>
        <v>0</v>
      </c>
      <c r="AC17" s="315">
        <f>IF(_Pat_Gewicht&gt;0,O17/(_Pat_Gewicht/10),0)</f>
        <v>0</v>
      </c>
      <c r="AD17" s="315">
        <f>IF(_Pat_Gewicht&gt;0,P17/(_Pat_Gewicht/10),0)</f>
        <v>0</v>
      </c>
      <c r="AE17" s="315">
        <f>IF(_Pat_Gewicht&gt;0,Q17/(_Pat_Gewicht/10),0)</f>
        <v>0</v>
      </c>
      <c r="AF17" s="315">
        <f>IF(_Pat_Gewicht&gt;0,R17/(_Pat_Gewicht/10),0)</f>
        <v>0</v>
      </c>
      <c r="AG17" s="315">
        <f>IF(_Pat_Gewicht&gt;0,S17/(_Pat_Gewicht/10),0)</f>
        <v>0</v>
      </c>
    </row>
    <row r="18" spans="1:33" x14ac:dyDescent="0.2">
      <c r="A18" t="s">
        <v>110</v>
      </c>
      <c r="F18">
        <f>IF(_Pat_Gewicht&gt;0,(ROUND(PedBerTPN!F11*1.5/(_Pat_Gewicht/10)/24/0.01,1)*24-PedBerTPN!F11),0)</f>
        <v>0</v>
      </c>
      <c r="G18" s="316" t="s">
        <v>614</v>
      </c>
      <c r="H18" s="315">
        <f>IF($G18=0,0,VLOOKUP($G18,Tbl_Glob_ParEnt,H$1,FALSE))*$F18</f>
        <v>0</v>
      </c>
      <c r="I18" s="315">
        <f>IF($G18=0,0,VLOOKUP($G18,Tbl_Glob_ParEnt,I$1,FALSE))*$F18</f>
        <v>0</v>
      </c>
      <c r="J18" s="315">
        <f>IF($G18=0,0,VLOOKUP($G18,Tbl_Glob_ParEnt,J$1,FALSE))*$F18</f>
        <v>0</v>
      </c>
      <c r="K18" s="315">
        <f>IF($G18=0,0,VLOOKUP($G18,Tbl_Glob_ParEnt,K$1,FALSE))*$F18</f>
        <v>0</v>
      </c>
      <c r="L18" s="315">
        <f>IF($G18=0,0,VLOOKUP($G18,Tbl_Glob_ParEnt,L$1,FALSE))*$F18</f>
        <v>0</v>
      </c>
      <c r="M18" s="315">
        <f>IF($G18=0,0,VLOOKUP($G18,Tbl_Glob_ParEnt,M$1,FALSE))*$F18</f>
        <v>0</v>
      </c>
      <c r="N18" s="315">
        <f>IF($G18=0,0,VLOOKUP($G18,Tbl_Glob_ParEnt,N$1,FALSE))*$F18</f>
        <v>0</v>
      </c>
      <c r="O18" s="315">
        <f>IF($G18=0,0,VLOOKUP($G18,Tbl_Glob_ParEnt,O$1,FALSE))*$F18</f>
        <v>0</v>
      </c>
      <c r="P18" s="315">
        <f>IF($G18=0,0,VLOOKUP($G18,Tbl_Glob_ParEnt,P$1,FALSE))*$F18</f>
        <v>0</v>
      </c>
      <c r="Q18" s="315">
        <f>IF($G18=0,0,VLOOKUP($G18,Tbl_Glob_ParEnt,Q$1,FALSE))*$F18</f>
        <v>0</v>
      </c>
      <c r="R18" s="315">
        <f>IF($G18=0,0,VLOOKUP($G18,Tbl_Glob_ParEnt,R$1,FALSE))*$F18</f>
        <v>0</v>
      </c>
      <c r="S18" s="315">
        <f>IF($G18=0,0,VLOOKUP($G18,Tbl_Glob_ParEnt,S$1,FALSE))*$F18</f>
        <v>0</v>
      </c>
      <c r="U18" s="315">
        <f>IF(_Pat_Gewicht&gt;0,F18/(_Pat_Gewicht/10),0)</f>
        <v>0</v>
      </c>
      <c r="V18" s="315">
        <f>IF(_Pat_Gewicht&gt;0,H18/(_Pat_Gewicht/10),0)</f>
        <v>0</v>
      </c>
      <c r="W18" s="315">
        <f>IF(_Pat_Gewicht&gt;0,I18/(_Pat_Gewicht/10),0)</f>
        <v>0</v>
      </c>
      <c r="X18" s="315">
        <f>IF(_Pat_Gewicht&gt;0,J18/(_Pat_Gewicht/10),0)</f>
        <v>0</v>
      </c>
      <c r="Y18" s="315">
        <f>IF(_Pat_Gewicht&gt;0,K18/(_Pat_Gewicht/10),0)</f>
        <v>0</v>
      </c>
      <c r="Z18" s="315">
        <f>IF(_Pat_Gewicht&gt;0,L18/(_Pat_Gewicht/10),0)</f>
        <v>0</v>
      </c>
      <c r="AA18" s="315">
        <f>IF(_Pat_Gewicht&gt;0,M18/(_Pat_Gewicht/10),0)</f>
        <v>0</v>
      </c>
      <c r="AB18" s="315">
        <f>IF(_Pat_Gewicht&gt;0,N18/(_Pat_Gewicht/10),0)</f>
        <v>0</v>
      </c>
      <c r="AC18" s="315">
        <f>IF(_Pat_Gewicht&gt;0,O18/(_Pat_Gewicht/10),0)</f>
        <v>0</v>
      </c>
      <c r="AD18" s="315">
        <f>IF(_Pat_Gewicht&gt;0,P18/(_Pat_Gewicht/10),0)</f>
        <v>0</v>
      </c>
      <c r="AE18" s="315">
        <f>IF(_Pat_Gewicht&gt;0,Q18/(_Pat_Gewicht/10),0)</f>
        <v>0</v>
      </c>
      <c r="AF18" s="315">
        <f>IF(_Pat_Gewicht&gt;0,R18/(_Pat_Gewicht/10),0)</f>
        <v>0</v>
      </c>
      <c r="AG18" s="315">
        <f>IF(_Pat_Gewicht&gt;0,S18/(_Pat_Gewicht/10),0)</f>
        <v>0</v>
      </c>
    </row>
    <row r="19" spans="1:33" x14ac:dyDescent="0.2">
      <c r="A19" t="s">
        <v>341</v>
      </c>
      <c r="D19">
        <v>0</v>
      </c>
      <c r="E19">
        <f>IF(D19&lt;50,D19/10,D19-45)</f>
        <v>0</v>
      </c>
      <c r="F19">
        <f>E19*24</f>
        <v>0</v>
      </c>
      <c r="G19" s="315"/>
      <c r="H19" s="315">
        <f>IF($G19=0,0,VLOOKUP($G19,Tbl_Glob_ParEnt,H$1,FALSE))*$F19</f>
        <v>0</v>
      </c>
      <c r="I19" s="315">
        <f>IF($G19=0,0,VLOOKUP($G19,Tbl_Glob_ParEnt,I$1,FALSE))*$F19</f>
        <v>0</v>
      </c>
      <c r="J19" s="315">
        <f>IF($G19=0,0,VLOOKUP($G19,Tbl_Glob_ParEnt,J$1,FALSE))*$F19</f>
        <v>0</v>
      </c>
      <c r="K19" s="315">
        <f>IF($G19=0,0,VLOOKUP($G19,Tbl_Glob_ParEnt,K$1,FALSE))*$F19</f>
        <v>0</v>
      </c>
      <c r="L19" s="315">
        <f>IF($G19=0,0,VLOOKUP($G19,Tbl_Glob_ParEnt,L$1,FALSE))*$F19</f>
        <v>0</v>
      </c>
      <c r="M19" s="315">
        <f>IF($G19=0,0,VLOOKUP($G19,Tbl_Glob_ParEnt,M$1,FALSE))*$F19</f>
        <v>0</v>
      </c>
      <c r="N19" s="315">
        <f>IF($G19=0,0,VLOOKUP($G19,Tbl_Glob_ParEnt,N$1,FALSE))*$F19</f>
        <v>0</v>
      </c>
      <c r="O19" s="315">
        <f>IF($G19=0,0,VLOOKUP($G19,Tbl_Glob_ParEnt,O$1,FALSE))*$F19</f>
        <v>0</v>
      </c>
      <c r="P19" s="315">
        <f>IF($G19=0,0,VLOOKUP($G19,Tbl_Glob_ParEnt,P$1,FALSE))*$F19</f>
        <v>0</v>
      </c>
      <c r="Q19" s="315">
        <f>IF($G19=0,0,VLOOKUP($G19,Tbl_Glob_ParEnt,Q$1,FALSE))*$F19</f>
        <v>0</v>
      </c>
      <c r="R19" s="315">
        <f>IF($G19=0,0,VLOOKUP($G19,Tbl_Glob_ParEnt,R$1,FALSE))*$F19</f>
        <v>0</v>
      </c>
      <c r="S19" s="315">
        <f>IF($G19=0,0,VLOOKUP($G19,Tbl_Glob_ParEnt,S$1,FALSE))*$F19</f>
        <v>0</v>
      </c>
      <c r="U19" s="315">
        <f>IF(_Pat_Gewicht&gt;0,F19/(_Pat_Gewicht/10),0)</f>
        <v>0</v>
      </c>
      <c r="V19" s="315">
        <f>IF(_Pat_Gewicht&gt;0,H19/(_Pat_Gewicht/10),0)</f>
        <v>0</v>
      </c>
      <c r="W19" s="315">
        <f>IF(_Pat_Gewicht&gt;0,I19/(_Pat_Gewicht/10),0)</f>
        <v>0</v>
      </c>
      <c r="X19" s="315">
        <f>IF(_Pat_Gewicht&gt;0,J19/(_Pat_Gewicht/10),0)</f>
        <v>0</v>
      </c>
      <c r="Y19" s="315">
        <f>IF(_Pat_Gewicht&gt;0,K19/(_Pat_Gewicht/10),0)</f>
        <v>0</v>
      </c>
      <c r="Z19" s="315">
        <f>IF(_Pat_Gewicht&gt;0,L19/(_Pat_Gewicht/10),0)</f>
        <v>0</v>
      </c>
      <c r="AA19" s="315">
        <f>IF(_Pat_Gewicht&gt;0,M19/(_Pat_Gewicht/10),0)</f>
        <v>0</v>
      </c>
      <c r="AB19" s="315">
        <f>IF(_Pat_Gewicht&gt;0,N19/(_Pat_Gewicht/10),0)</f>
        <v>0</v>
      </c>
      <c r="AC19" s="315">
        <f>IF(_Pat_Gewicht&gt;0,O19/(_Pat_Gewicht/10),0)</f>
        <v>0</v>
      </c>
      <c r="AD19" s="315">
        <f>IF(_Pat_Gewicht&gt;0,P19/(_Pat_Gewicht/10),0)</f>
        <v>0</v>
      </c>
      <c r="AE19" s="315">
        <f>IF(_Pat_Gewicht&gt;0,Q19/(_Pat_Gewicht/10),0)</f>
        <v>0</v>
      </c>
      <c r="AF19" s="315">
        <f>IF(_Pat_Gewicht&gt;0,R19/(_Pat_Gewicht/10),0)</f>
        <v>0</v>
      </c>
      <c r="AG19" s="315">
        <f>IF(_Pat_Gewicht&gt;0,S19/(_Pat_Gewicht/10),0)</f>
        <v>0</v>
      </c>
    </row>
    <row r="20" spans="1:33" x14ac:dyDescent="0.2">
      <c r="A20" t="s">
        <v>294</v>
      </c>
      <c r="B20">
        <v>1</v>
      </c>
      <c r="F20">
        <f>IF(F19-F21-F22&lt;0,0,F19-F21-F22)</f>
        <v>0</v>
      </c>
      <c r="G20" s="315">
        <f>INDEX(Tbl_Ped_SST,B20,1)</f>
        <v>0</v>
      </c>
      <c r="H20" s="315">
        <f>IF($G20=0,0,VLOOKUP($G20,Tbl_Glob_ParEnt,H$1,FALSE))*$F20</f>
        <v>0</v>
      </c>
      <c r="I20" s="315">
        <f>IF($G20=0,0,VLOOKUP($G20,Tbl_Glob_ParEnt,I$1,FALSE))*$F20</f>
        <v>0</v>
      </c>
      <c r="J20" s="315">
        <f>IF($G20=0,0,VLOOKUP($G20,Tbl_Glob_ParEnt,J$1,FALSE))*$F20</f>
        <v>0</v>
      </c>
      <c r="K20" s="315">
        <f>IF($G20=0,0,VLOOKUP($G20,Tbl_Glob_ParEnt,K$1,FALSE))*$F20</f>
        <v>0</v>
      </c>
      <c r="L20" s="315">
        <f>IF($G20=0,0,VLOOKUP($G20,Tbl_Glob_ParEnt,L$1,FALSE))*$F20</f>
        <v>0</v>
      </c>
      <c r="M20" s="315">
        <f>IF($G20=0,0,VLOOKUP($G20,Tbl_Glob_ParEnt,M$1,FALSE))*$F20</f>
        <v>0</v>
      </c>
      <c r="N20" s="315">
        <f>IF($G20=0,0,VLOOKUP($G20,Tbl_Glob_ParEnt,N$1,FALSE))*$F20</f>
        <v>0</v>
      </c>
      <c r="O20" s="315">
        <f>IF($G20=0,0,VLOOKUP($G20,Tbl_Glob_ParEnt,O$1,FALSE))*$F20</f>
        <v>0</v>
      </c>
      <c r="P20" s="315">
        <f>IF($G20=0,0,VLOOKUP($G20,Tbl_Glob_ParEnt,P$1,FALSE))*$F20</f>
        <v>0</v>
      </c>
      <c r="Q20" s="315">
        <f>IF($G20=0,0,VLOOKUP($G20,Tbl_Glob_ParEnt,Q$1,FALSE))*$F20</f>
        <v>0</v>
      </c>
      <c r="R20" s="315">
        <f>IF($G20=0,0,VLOOKUP($G20,Tbl_Glob_ParEnt,R$1,FALSE))*$F20</f>
        <v>0</v>
      </c>
      <c r="S20" s="315">
        <f>IF($G20=0,0,VLOOKUP($G20,Tbl_Glob_ParEnt,S$1,FALSE))*$F20</f>
        <v>0</v>
      </c>
      <c r="U20" s="315">
        <f>IF(_Pat_Gewicht&gt;0,F20/(_Pat_Gewicht/10),0)</f>
        <v>0</v>
      </c>
      <c r="V20" s="315">
        <f>IF(_Pat_Gewicht&gt;0,H20/(_Pat_Gewicht/10),0)</f>
        <v>0</v>
      </c>
      <c r="W20" s="315">
        <f>IF(_Pat_Gewicht&gt;0,I20/(_Pat_Gewicht/10),0)</f>
        <v>0</v>
      </c>
      <c r="X20" s="315">
        <f>IF(_Pat_Gewicht&gt;0,J20/(_Pat_Gewicht/10),0)</f>
        <v>0</v>
      </c>
      <c r="Y20" s="315">
        <f>IF(_Pat_Gewicht&gt;0,K20/(_Pat_Gewicht/10),0)</f>
        <v>0</v>
      </c>
      <c r="Z20" s="315">
        <f>IF(_Pat_Gewicht&gt;0,L20/(_Pat_Gewicht/10),0)</f>
        <v>0</v>
      </c>
      <c r="AA20" s="315">
        <f>IF(_Pat_Gewicht&gt;0,M20/(_Pat_Gewicht/10),0)</f>
        <v>0</v>
      </c>
      <c r="AB20" s="315">
        <f>IF(_Pat_Gewicht&gt;0,N20/(_Pat_Gewicht/10),0)</f>
        <v>0</v>
      </c>
      <c r="AC20" s="315">
        <f>IF(_Pat_Gewicht&gt;0,O20/(_Pat_Gewicht/10),0)</f>
        <v>0</v>
      </c>
      <c r="AD20" s="315">
        <f>IF(_Pat_Gewicht&gt;0,P20/(_Pat_Gewicht/10),0)</f>
        <v>0</v>
      </c>
      <c r="AE20" s="315">
        <f>IF(_Pat_Gewicht&gt;0,Q20/(_Pat_Gewicht/10),0)</f>
        <v>0</v>
      </c>
      <c r="AF20" s="315">
        <f>IF(_Pat_Gewicht&gt;0,R20/(_Pat_Gewicht/10),0)</f>
        <v>0</v>
      </c>
      <c r="AG20" s="315">
        <f>IF(_Pat_Gewicht&gt;0,S20/(_Pat_Gewicht/10),0)</f>
        <v>0</v>
      </c>
    </row>
    <row r="21" spans="1:33" x14ac:dyDescent="0.2">
      <c r="A21" t="s">
        <v>335</v>
      </c>
      <c r="C21" t="b">
        <v>0</v>
      </c>
      <c r="D21">
        <f>IF(E21&lt;50,E21/10,E21-45)</f>
        <v>0</v>
      </c>
      <c r="E21">
        <v>0</v>
      </c>
      <c r="F21">
        <f>IF(AND(D21+D22&lt;F19,C21),D21,0)</f>
        <v>0</v>
      </c>
      <c r="G21" s="315" t="str">
        <f>A21</f>
        <v>NaCl 2,9%</v>
      </c>
      <c r="H21" s="315">
        <f>IF($G21=0,0,VLOOKUP($G21,Tbl_Glob_ParEnt,H$1,FALSE))*$F21</f>
        <v>0</v>
      </c>
      <c r="I21" s="315">
        <f>IF($G21=0,0,VLOOKUP($G21,Tbl_Glob_ParEnt,I$1,FALSE))*$F21</f>
        <v>0</v>
      </c>
      <c r="J21" s="315">
        <f>IF($G21=0,0,VLOOKUP($G21,Tbl_Glob_ParEnt,J$1,FALSE))*$F21</f>
        <v>0</v>
      </c>
      <c r="K21" s="315">
        <f>IF($G21=0,0,VLOOKUP($G21,Tbl_Glob_ParEnt,K$1,FALSE))*$F21</f>
        <v>0</v>
      </c>
      <c r="L21" s="315">
        <f>IF($G21=0,0,VLOOKUP($G21,Tbl_Glob_ParEnt,L$1,FALSE))*$F21</f>
        <v>0</v>
      </c>
      <c r="M21" s="315">
        <f>IF($G21=0,0,VLOOKUP($G21,Tbl_Glob_ParEnt,M$1,FALSE))*$F21</f>
        <v>0</v>
      </c>
      <c r="N21" s="315">
        <f>IF($G21=0,0,VLOOKUP($G21,Tbl_Glob_ParEnt,N$1,FALSE))*$F21</f>
        <v>0</v>
      </c>
      <c r="O21" s="315">
        <f>IF($G21=0,0,VLOOKUP($G21,Tbl_Glob_ParEnt,O$1,FALSE))*$F21</f>
        <v>0</v>
      </c>
      <c r="P21" s="315">
        <f>IF($G21=0,0,VLOOKUP($G21,Tbl_Glob_ParEnt,P$1,FALSE))*$F21</f>
        <v>0</v>
      </c>
      <c r="Q21" s="315">
        <f>IF($G21=0,0,VLOOKUP($G21,Tbl_Glob_ParEnt,Q$1,FALSE))*$F21</f>
        <v>0</v>
      </c>
      <c r="R21" s="315">
        <f>IF($G21=0,0,VLOOKUP($G21,Tbl_Glob_ParEnt,R$1,FALSE))*$F21</f>
        <v>0</v>
      </c>
      <c r="S21" s="315">
        <f>IF($G21=0,0,VLOOKUP($G21,Tbl_Glob_ParEnt,S$1,FALSE))*$F21</f>
        <v>0</v>
      </c>
      <c r="U21" s="315">
        <f>IF(_Pat_Gewicht&gt;0,F21/(_Pat_Gewicht/10),0)</f>
        <v>0</v>
      </c>
      <c r="V21" s="315">
        <f>IF(_Pat_Gewicht&gt;0,H21/(_Pat_Gewicht/10),0)</f>
        <v>0</v>
      </c>
      <c r="W21" s="315">
        <f>IF(_Pat_Gewicht&gt;0,I21/(_Pat_Gewicht/10),0)</f>
        <v>0</v>
      </c>
      <c r="X21" s="315">
        <f>IF(_Pat_Gewicht&gt;0,J21/(_Pat_Gewicht/10),0)</f>
        <v>0</v>
      </c>
      <c r="Y21" s="315">
        <f>IF(_Pat_Gewicht&gt;0,K21/(_Pat_Gewicht/10),0)</f>
        <v>0</v>
      </c>
      <c r="Z21" s="315">
        <f>IF(_Pat_Gewicht&gt;0,L21/(_Pat_Gewicht/10),0)</f>
        <v>0</v>
      </c>
      <c r="AA21" s="315">
        <f>IF(_Pat_Gewicht&gt;0,M21/(_Pat_Gewicht/10),0)</f>
        <v>0</v>
      </c>
      <c r="AB21" s="315">
        <f>IF(_Pat_Gewicht&gt;0,N21/(_Pat_Gewicht/10),0)</f>
        <v>0</v>
      </c>
      <c r="AC21" s="315">
        <f>IF(_Pat_Gewicht&gt;0,O21/(_Pat_Gewicht/10),0)</f>
        <v>0</v>
      </c>
      <c r="AD21" s="315">
        <f>IF(_Pat_Gewicht&gt;0,P21/(_Pat_Gewicht/10),0)</f>
        <v>0</v>
      </c>
      <c r="AE21" s="315">
        <f>IF(_Pat_Gewicht&gt;0,Q21/(_Pat_Gewicht/10),0)</f>
        <v>0</v>
      </c>
      <c r="AF21" s="315">
        <f>IF(_Pat_Gewicht&gt;0,R21/(_Pat_Gewicht/10),0)</f>
        <v>0</v>
      </c>
      <c r="AG21" s="315">
        <f>IF(_Pat_Gewicht&gt;0,S21/(_Pat_Gewicht/10),0)</f>
        <v>0</v>
      </c>
    </row>
    <row r="22" spans="1:33" x14ac:dyDescent="0.2">
      <c r="A22" t="s">
        <v>227</v>
      </c>
      <c r="C22" t="b">
        <v>0</v>
      </c>
      <c r="D22">
        <f>IF(E22&lt;50,E22/10,E22-45)</f>
        <v>0</v>
      </c>
      <c r="E22">
        <v>0</v>
      </c>
      <c r="F22">
        <f>IF(AND(C22,D21+D22&lt;F19),D22,0)</f>
        <v>0</v>
      </c>
      <c r="G22" s="315" t="str">
        <f>A22</f>
        <v>KCl 7,4%</v>
      </c>
      <c r="H22" s="315">
        <f>IF($G22=0,0,VLOOKUP($G22,Tbl_Glob_ParEnt,H$1,FALSE))*$F22</f>
        <v>0</v>
      </c>
      <c r="I22" s="315">
        <f>IF($G22=0,0,VLOOKUP($G22,Tbl_Glob_ParEnt,I$1,FALSE))*$F22</f>
        <v>0</v>
      </c>
      <c r="J22" s="315">
        <f>IF($G22=0,0,VLOOKUP($G22,Tbl_Glob_ParEnt,J$1,FALSE))*$F22</f>
        <v>0</v>
      </c>
      <c r="K22" s="315">
        <f>IF($G22=0,0,VLOOKUP($G22,Tbl_Glob_ParEnt,K$1,FALSE))*$F22</f>
        <v>0</v>
      </c>
      <c r="L22" s="315">
        <f>IF($G22=0,0,VLOOKUP($G22,Tbl_Glob_ParEnt,L$1,FALSE))*$F22</f>
        <v>0</v>
      </c>
      <c r="M22" s="315">
        <f>IF($G22=0,0,VLOOKUP($G22,Tbl_Glob_ParEnt,M$1,FALSE))*$F22</f>
        <v>0</v>
      </c>
      <c r="N22" s="315">
        <f>IF($G22=0,0,VLOOKUP($G22,Tbl_Glob_ParEnt,N$1,FALSE))*$F22</f>
        <v>0</v>
      </c>
      <c r="O22" s="315">
        <f>IF($G22=0,0,VLOOKUP($G22,Tbl_Glob_ParEnt,O$1,FALSE))*$F22</f>
        <v>0</v>
      </c>
      <c r="P22" s="315">
        <f>IF($G22=0,0,VLOOKUP($G22,Tbl_Glob_ParEnt,P$1,FALSE))*$F22</f>
        <v>0</v>
      </c>
      <c r="Q22" s="315">
        <f>IF($G22=0,0,VLOOKUP($G22,Tbl_Glob_ParEnt,Q$1,FALSE))*$F22</f>
        <v>0</v>
      </c>
      <c r="R22" s="315">
        <f>IF($G22=0,0,VLOOKUP($G22,Tbl_Glob_ParEnt,R$1,FALSE))*$F22</f>
        <v>0</v>
      </c>
      <c r="S22" s="315">
        <f>IF($G22=0,0,VLOOKUP($G22,Tbl_Glob_ParEnt,S$1,FALSE))*$F22</f>
        <v>0</v>
      </c>
      <c r="U22" s="315">
        <f>IF(_Pat_Gewicht&gt;0,F22/(_Pat_Gewicht/10),0)</f>
        <v>0</v>
      </c>
      <c r="V22" s="315">
        <f>IF(_Pat_Gewicht&gt;0,H22/(_Pat_Gewicht/10),0)</f>
        <v>0</v>
      </c>
      <c r="W22" s="315">
        <f>IF(_Pat_Gewicht&gt;0,I22/(_Pat_Gewicht/10),0)</f>
        <v>0</v>
      </c>
      <c r="X22" s="315">
        <f>IF(_Pat_Gewicht&gt;0,J22/(_Pat_Gewicht/10),0)</f>
        <v>0</v>
      </c>
      <c r="Y22" s="315">
        <f>IF(_Pat_Gewicht&gt;0,K22/(_Pat_Gewicht/10),0)</f>
        <v>0</v>
      </c>
      <c r="Z22" s="315">
        <f>IF(_Pat_Gewicht&gt;0,L22/(_Pat_Gewicht/10),0)</f>
        <v>0</v>
      </c>
      <c r="AA22" s="315">
        <f>IF(_Pat_Gewicht&gt;0,M22/(_Pat_Gewicht/10),0)</f>
        <v>0</v>
      </c>
      <c r="AB22" s="315">
        <f>IF(_Pat_Gewicht&gt;0,N22/(_Pat_Gewicht/10),0)</f>
        <v>0</v>
      </c>
      <c r="AC22" s="315">
        <f>IF(_Pat_Gewicht&gt;0,O22/(_Pat_Gewicht/10),0)</f>
        <v>0</v>
      </c>
      <c r="AD22" s="315">
        <f>IF(_Pat_Gewicht&gt;0,P22/(_Pat_Gewicht/10),0)</f>
        <v>0</v>
      </c>
      <c r="AE22" s="315">
        <f>IF(_Pat_Gewicht&gt;0,Q22/(_Pat_Gewicht/10),0)</f>
        <v>0</v>
      </c>
      <c r="AF22" s="315">
        <f>IF(_Pat_Gewicht&gt;0,R22/(_Pat_Gewicht/10),0)</f>
        <v>0</v>
      </c>
      <c r="AG22" s="315">
        <f>IF(_Pat_Gewicht&gt;0,S22/(_Pat_Gewicht/10),0)</f>
        <v>0</v>
      </c>
    </row>
    <row r="24" spans="1:33" x14ac:dyDescent="0.2">
      <c r="A24" t="s">
        <v>112</v>
      </c>
      <c r="F24">
        <f>IF(_Pat_Gewicht/10&gt;50,SUM(F3+F4+F12+F18+F17+F19),IF(_Ped_TPN_Keuze=1,SUM(F3+F12+F17+F18+F19),SUM(F3+F9+F10+F12+F17+F18+F19)))</f>
        <v>0</v>
      </c>
      <c r="H24">
        <f t="shared" ref="H24:AG24" si="2">SUM(I3:I22)</f>
        <v>0</v>
      </c>
      <c r="I24" s="315">
        <f t="shared" si="2"/>
        <v>0</v>
      </c>
      <c r="J24" s="315">
        <f t="shared" si="2"/>
        <v>0</v>
      </c>
      <c r="K24" s="315">
        <f t="shared" si="2"/>
        <v>0</v>
      </c>
      <c r="L24" s="315">
        <f t="shared" si="2"/>
        <v>0</v>
      </c>
      <c r="M24" s="315">
        <f t="shared" si="2"/>
        <v>0</v>
      </c>
      <c r="N24" s="315">
        <f t="shared" si="2"/>
        <v>0</v>
      </c>
      <c r="O24" s="315">
        <f t="shared" si="2"/>
        <v>0</v>
      </c>
      <c r="P24" s="315">
        <f t="shared" si="2"/>
        <v>0</v>
      </c>
      <c r="Q24" s="315">
        <f t="shared" si="2"/>
        <v>0</v>
      </c>
      <c r="R24" s="315">
        <f t="shared" si="2"/>
        <v>0</v>
      </c>
      <c r="S24" s="315">
        <f t="shared" si="2"/>
        <v>0</v>
      </c>
      <c r="U24" s="315">
        <f t="shared" si="2"/>
        <v>0</v>
      </c>
      <c r="V24" s="315">
        <f t="shared" si="2"/>
        <v>0</v>
      </c>
      <c r="W24" s="315">
        <f t="shared" si="2"/>
        <v>0</v>
      </c>
      <c r="X24" s="315">
        <f t="shared" si="2"/>
        <v>0</v>
      </c>
      <c r="Y24" s="315">
        <f t="shared" si="2"/>
        <v>0</v>
      </c>
      <c r="Z24" s="315">
        <f t="shared" si="2"/>
        <v>0</v>
      </c>
      <c r="AA24" s="315">
        <f t="shared" si="2"/>
        <v>0</v>
      </c>
      <c r="AB24" s="315">
        <f t="shared" si="2"/>
        <v>0</v>
      </c>
      <c r="AC24" s="315">
        <f t="shared" si="2"/>
        <v>0</v>
      </c>
      <c r="AD24" s="315">
        <f t="shared" si="2"/>
        <v>0</v>
      </c>
      <c r="AE24" s="315">
        <f t="shared" si="2"/>
        <v>0</v>
      </c>
      <c r="AF24" s="315">
        <f t="shared" si="2"/>
        <v>0</v>
      </c>
      <c r="AG24" s="315">
        <f t="shared" si="2"/>
        <v>0</v>
      </c>
    </row>
    <row r="25" spans="1:33" x14ac:dyDescent="0.2">
      <c r="A25" s="984"/>
      <c r="B25" s="984"/>
      <c r="C25" s="984"/>
      <c r="D25" s="984"/>
      <c r="E25" s="984"/>
      <c r="F25" s="984"/>
      <c r="G25" s="984"/>
      <c r="H25" s="984"/>
      <c r="I25" s="984"/>
      <c r="J25" s="984"/>
      <c r="K25" s="984"/>
      <c r="L25" s="984"/>
      <c r="M25" s="984"/>
      <c r="N25" s="984"/>
      <c r="O25" s="984"/>
      <c r="P25" s="984"/>
      <c r="Q25" s="984"/>
    </row>
    <row r="26" spans="1:33" x14ac:dyDescent="0.2">
      <c r="A26" s="978"/>
      <c r="B26" s="978"/>
      <c r="C26" s="978"/>
      <c r="D26" s="978"/>
      <c r="E26" s="978"/>
      <c r="F26" s="978"/>
      <c r="G26" s="978"/>
      <c r="H26" s="978"/>
      <c r="I26" s="978"/>
      <c r="J26" s="984"/>
      <c r="K26" s="984"/>
      <c r="L26" s="984"/>
      <c r="M26" s="984"/>
      <c r="N26" s="984"/>
      <c r="O26" s="984"/>
      <c r="P26" s="984"/>
      <c r="Q26" s="984"/>
    </row>
    <row r="27" spans="1:33" x14ac:dyDescent="0.2">
      <c r="A27" s="984"/>
      <c r="B27" s="984"/>
      <c r="C27" s="984"/>
      <c r="D27" s="984"/>
      <c r="E27" s="984"/>
      <c r="F27" s="984"/>
      <c r="G27" s="984"/>
      <c r="H27" s="984"/>
      <c r="I27" s="984"/>
      <c r="J27" s="984"/>
      <c r="K27" s="984"/>
      <c r="L27" s="984"/>
      <c r="M27" s="984"/>
      <c r="N27" s="984"/>
      <c r="O27" s="984"/>
      <c r="P27" s="984"/>
      <c r="Q27" s="984"/>
    </row>
    <row r="28" spans="1:33" x14ac:dyDescent="0.2">
      <c r="A28" s="978"/>
      <c r="B28" s="978"/>
      <c r="C28" s="978"/>
      <c r="D28" s="978"/>
      <c r="E28" s="978"/>
      <c r="F28" s="978"/>
      <c r="G28" s="978"/>
      <c r="H28" s="978"/>
      <c r="I28" s="978"/>
      <c r="J28" s="984"/>
      <c r="K28" s="984"/>
      <c r="L28" s="984"/>
      <c r="M28" s="984"/>
      <c r="N28" s="984"/>
      <c r="O28" s="984"/>
      <c r="P28" s="984"/>
      <c r="Q28" s="984"/>
    </row>
    <row r="29" spans="1:33" x14ac:dyDescent="0.2">
      <c r="A29" s="978"/>
      <c r="B29" s="978"/>
      <c r="C29" s="978"/>
      <c r="D29" s="978"/>
      <c r="E29" s="978"/>
      <c r="F29" s="978"/>
      <c r="G29" s="978"/>
      <c r="H29" s="978"/>
      <c r="I29" s="978"/>
      <c r="J29" s="984"/>
      <c r="K29" s="984"/>
      <c r="L29" s="984"/>
      <c r="M29" s="984"/>
      <c r="N29" s="984"/>
      <c r="O29" s="984"/>
      <c r="P29" s="984"/>
      <c r="Q29" s="984"/>
    </row>
    <row r="30" spans="1:33" x14ac:dyDescent="0.2">
      <c r="A30" s="978"/>
      <c r="B30" s="978"/>
      <c r="C30" s="978"/>
      <c r="D30" s="978"/>
      <c r="E30" s="978"/>
      <c r="F30" s="978"/>
      <c r="G30" s="978"/>
      <c r="H30" s="978"/>
      <c r="I30" s="978"/>
      <c r="J30" s="984"/>
      <c r="K30" s="984"/>
      <c r="L30" s="984"/>
      <c r="M30" s="984"/>
      <c r="N30" s="984"/>
      <c r="O30" s="984"/>
      <c r="P30" s="984"/>
      <c r="Q30" s="984"/>
    </row>
    <row r="31" spans="1:33" x14ac:dyDescent="0.2">
      <c r="A31" s="978"/>
      <c r="B31" s="978"/>
      <c r="C31" s="978"/>
      <c r="D31" s="978"/>
      <c r="E31" s="978"/>
      <c r="F31" s="978"/>
      <c r="G31" s="978"/>
      <c r="H31" s="978"/>
      <c r="I31" s="978"/>
      <c r="J31" s="984"/>
      <c r="K31" s="984"/>
      <c r="L31" s="984"/>
      <c r="M31" s="984"/>
      <c r="N31" s="984"/>
      <c r="O31" s="984"/>
      <c r="P31" s="984"/>
      <c r="Q31" s="984"/>
    </row>
    <row r="32" spans="1:33" x14ac:dyDescent="0.2">
      <c r="A32" s="978"/>
      <c r="B32" s="978"/>
      <c r="C32" s="978"/>
      <c r="D32" s="978"/>
      <c r="E32" s="978"/>
      <c r="F32" s="978"/>
      <c r="G32" s="978"/>
      <c r="H32" s="978"/>
      <c r="I32" s="978"/>
      <c r="J32" s="984"/>
      <c r="K32" s="984"/>
      <c r="L32" s="984"/>
      <c r="M32" s="984"/>
      <c r="N32" s="984"/>
      <c r="O32" s="984"/>
      <c r="P32" s="984"/>
      <c r="Q32" s="984"/>
    </row>
    <row r="33" spans="1:17" x14ac:dyDescent="0.2">
      <c r="A33" s="978"/>
      <c r="B33" s="978"/>
      <c r="C33" s="978"/>
      <c r="D33" s="978"/>
      <c r="E33" s="978"/>
      <c r="F33" s="978"/>
      <c r="G33" s="978"/>
      <c r="H33" s="978"/>
      <c r="I33" s="978"/>
      <c r="J33" s="984"/>
      <c r="K33" s="984"/>
      <c r="L33" s="984"/>
      <c r="M33" s="984"/>
      <c r="N33" s="984"/>
      <c r="O33" s="984"/>
      <c r="P33" s="984"/>
      <c r="Q33" s="984"/>
    </row>
    <row r="34" spans="1:17" x14ac:dyDescent="0.2">
      <c r="A34" s="984"/>
      <c r="B34" s="984"/>
      <c r="C34" s="984"/>
      <c r="D34" s="984"/>
      <c r="E34" s="984"/>
      <c r="F34" s="984"/>
      <c r="G34" s="984"/>
      <c r="H34" s="984"/>
      <c r="I34" s="984"/>
      <c r="J34" s="984"/>
      <c r="K34" s="984"/>
      <c r="L34" s="984"/>
      <c r="M34" s="984"/>
      <c r="N34" s="984"/>
      <c r="O34" s="984"/>
      <c r="P34" s="984"/>
      <c r="Q34" s="984"/>
    </row>
    <row r="35" spans="1:17" x14ac:dyDescent="0.2">
      <c r="A35" s="984"/>
      <c r="B35" s="984"/>
      <c r="C35" s="984"/>
      <c r="D35" s="984"/>
      <c r="E35" s="984"/>
      <c r="F35" s="984"/>
      <c r="G35" s="984"/>
      <c r="H35" s="984"/>
      <c r="I35" s="984"/>
      <c r="J35" s="984"/>
      <c r="K35" s="984"/>
      <c r="L35" s="984"/>
      <c r="M35" s="984"/>
      <c r="N35" s="984"/>
      <c r="O35" s="984"/>
      <c r="P35" s="984"/>
      <c r="Q35" s="984"/>
    </row>
    <row r="36" spans="1:17" x14ac:dyDescent="0.2">
      <c r="A36" s="978"/>
      <c r="B36" s="984"/>
      <c r="C36" s="984"/>
      <c r="D36" s="984"/>
      <c r="E36" s="984"/>
      <c r="F36" s="984"/>
      <c r="G36" s="984"/>
      <c r="H36" s="984"/>
      <c r="I36" s="984"/>
      <c r="J36" s="984"/>
      <c r="K36" s="984"/>
      <c r="L36" s="984"/>
      <c r="M36" s="984"/>
      <c r="N36" s="984"/>
      <c r="O36" s="984"/>
      <c r="P36" s="984"/>
      <c r="Q36" s="984"/>
    </row>
    <row r="37" spans="1:17" x14ac:dyDescent="0.2">
      <c r="A37" s="978"/>
      <c r="B37" s="984"/>
      <c r="C37" s="984"/>
      <c r="D37" s="984"/>
      <c r="E37" s="984"/>
      <c r="F37" s="984"/>
      <c r="G37" s="984"/>
      <c r="H37" s="984"/>
      <c r="I37" s="984"/>
      <c r="J37" s="984"/>
      <c r="K37" s="984"/>
      <c r="L37" s="984"/>
      <c r="M37" s="984"/>
      <c r="N37" s="984"/>
      <c r="O37" s="984"/>
      <c r="P37" s="984"/>
      <c r="Q37" s="984"/>
    </row>
    <row r="38" spans="1:17" x14ac:dyDescent="0.2">
      <c r="A38" s="978"/>
      <c r="B38" s="984"/>
      <c r="C38" s="984"/>
      <c r="D38" s="984"/>
      <c r="E38" s="984"/>
      <c r="F38" s="984"/>
      <c r="G38" s="984"/>
      <c r="H38" s="984"/>
      <c r="I38" s="984"/>
      <c r="J38" s="984"/>
      <c r="K38" s="984"/>
      <c r="L38" s="984"/>
      <c r="M38" s="984"/>
      <c r="N38" s="984"/>
      <c r="O38" s="984"/>
      <c r="P38" s="984"/>
      <c r="Q38" s="984"/>
    </row>
    <row r="39" spans="1:17" x14ac:dyDescent="0.2">
      <c r="A39" s="978"/>
      <c r="B39" s="984"/>
      <c r="C39" s="984"/>
      <c r="D39" s="984"/>
      <c r="E39" s="984"/>
      <c r="F39" s="984"/>
      <c r="G39" s="984"/>
      <c r="H39" s="984"/>
      <c r="I39" s="984"/>
      <c r="J39" s="984"/>
      <c r="K39" s="984"/>
      <c r="L39" s="984"/>
      <c r="M39" s="984"/>
      <c r="N39" s="984"/>
      <c r="O39" s="984"/>
      <c r="P39" s="984"/>
      <c r="Q39" s="984"/>
    </row>
    <row r="40" spans="1:17" x14ac:dyDescent="0.2">
      <c r="A40" s="978"/>
      <c r="B40" s="984"/>
      <c r="C40" s="984"/>
      <c r="D40" s="984"/>
      <c r="E40" s="984"/>
      <c r="F40" s="984"/>
      <c r="G40" s="984"/>
      <c r="H40" s="984"/>
      <c r="I40" s="984"/>
      <c r="J40" s="984"/>
      <c r="K40" s="45"/>
      <c r="L40" s="984"/>
      <c r="M40" s="984"/>
      <c r="N40" s="984"/>
      <c r="O40" s="984"/>
      <c r="P40" s="984"/>
      <c r="Q40" s="984"/>
    </row>
    <row r="41" spans="1:17" x14ac:dyDescent="0.2">
      <c r="A41" s="984"/>
      <c r="B41" s="984"/>
      <c r="C41" s="984"/>
      <c r="D41" s="984"/>
      <c r="E41" s="984"/>
      <c r="F41" s="984"/>
      <c r="G41" s="984"/>
      <c r="H41" s="984"/>
      <c r="I41" s="984"/>
      <c r="J41" s="984"/>
      <c r="K41" s="984"/>
      <c r="L41" s="984"/>
      <c r="M41" s="984"/>
      <c r="N41" s="984"/>
      <c r="O41" s="984"/>
      <c r="P41" s="984"/>
      <c r="Q41" s="984"/>
    </row>
    <row r="42" spans="1:17" x14ac:dyDescent="0.2">
      <c r="A42" s="984"/>
      <c r="B42" s="984"/>
      <c r="C42" s="984"/>
      <c r="D42" s="984"/>
      <c r="E42" s="984"/>
      <c r="F42" s="984"/>
      <c r="G42" s="984"/>
      <c r="H42" s="984"/>
      <c r="I42" s="984"/>
      <c r="J42" s="984"/>
      <c r="K42" s="984"/>
      <c r="L42" s="984"/>
      <c r="M42" s="984"/>
      <c r="N42" s="984"/>
      <c r="O42" s="984"/>
      <c r="P42" s="984"/>
      <c r="Q42" s="984"/>
    </row>
  </sheetData>
  <customSheetViews>
    <customSheetView guid="{33CCADFA-0D48-46A6-8927-2B2144029216}" state="veryHidden">
      <selection activeCell="A27" sqref="A27:I27"/>
      <pageMargins left="0.18" right="0" top="0" bottom="0" header="0" footer="0"/>
      <printOptions gridLines="1"/>
      <pageSetup paperSize="9" orientation="landscape" r:id="rId1"/>
      <headerFooter alignWithMargins="0"/>
    </customSheetView>
  </customSheetViews>
  <phoneticPr fontId="28" type="noConversion"/>
  <printOptions gridLines="1"/>
  <pageMargins left="0.18" right="0" top="0" bottom="0" header="0" footer="0"/>
  <pageSetup paperSize="9" orientation="landscape" r:id="rId2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ot">
    <tabColor rgb="FF92D050"/>
  </sheetPr>
  <dimension ref="A1:E44"/>
  <sheetViews>
    <sheetView workbookViewId="0">
      <selection activeCell="F21" sqref="F21"/>
    </sheetView>
  </sheetViews>
  <sheetFormatPr defaultRowHeight="12.75" x14ac:dyDescent="0.2"/>
  <cols>
    <col min="1" max="1" width="11" customWidth="1"/>
    <col min="2" max="2" width="9.7109375" customWidth="1"/>
  </cols>
  <sheetData>
    <row r="1" spans="1:5" x14ac:dyDescent="0.2">
      <c r="A1" s="356"/>
      <c r="B1" s="316" t="s">
        <v>5435</v>
      </c>
      <c r="C1" s="316" t="s">
        <v>5436</v>
      </c>
      <c r="D1" s="316" t="s">
        <v>5429</v>
      </c>
      <c r="E1" s="316" t="s">
        <v>5436</v>
      </c>
    </row>
    <row r="2" spans="1:5" x14ac:dyDescent="0.2">
      <c r="A2" s="7" t="s">
        <v>337</v>
      </c>
      <c r="B2" s="8">
        <f>SUM(B3:B4)</f>
        <v>1</v>
      </c>
      <c r="C2" s="8">
        <f>IF(_Pat_Gewicht&gt;0,10*B2/_Pat_Gewicht,0)</f>
        <v>0</v>
      </c>
      <c r="D2" s="8"/>
      <c r="E2" s="9"/>
    </row>
    <row r="3" spans="1:5" x14ac:dyDescent="0.2">
      <c r="A3" s="3" t="s">
        <v>204</v>
      </c>
      <c r="B3">
        <f>PedBerEnt!E3</f>
        <v>1</v>
      </c>
    </row>
    <row r="4" spans="1:5" x14ac:dyDescent="0.2">
      <c r="A4" s="3" t="s">
        <v>202</v>
      </c>
      <c r="B4">
        <f>(PedBerMedIV!K23+PedBerTPN!F24+PedBerIVenPM!F9+GlobBerMedDisc!P33)</f>
        <v>0</v>
      </c>
    </row>
    <row r="5" spans="1:5" x14ac:dyDescent="0.2">
      <c r="A5" s="7" t="s">
        <v>192</v>
      </c>
      <c r="B5" s="8" t="e">
        <f>SUM(B6:B8)</f>
        <v>#REF!</v>
      </c>
      <c r="C5" s="8">
        <f>IF(_Pat_Gewicht&gt;0, B5/(_Pat_Gewicht/10),0)</f>
        <v>0</v>
      </c>
      <c r="D5" s="8">
        <f>SUM(D7:D7)</f>
        <v>0</v>
      </c>
      <c r="E5" s="9">
        <f>IF(_Pat_Gewicht&gt;0,D5/(_Pat_Gewicht/10),0)</f>
        <v>0</v>
      </c>
    </row>
    <row r="6" spans="1:5" x14ac:dyDescent="0.2">
      <c r="A6" s="374" t="s">
        <v>204</v>
      </c>
      <c r="B6" t="e">
        <f>PedBerEnt!#REF!</f>
        <v>#REF!</v>
      </c>
      <c r="C6" s="5" t="s">
        <v>209</v>
      </c>
      <c r="D6" s="5" t="s">
        <v>209</v>
      </c>
    </row>
    <row r="7" spans="1:5" x14ac:dyDescent="0.2">
      <c r="A7" s="3" t="s">
        <v>208</v>
      </c>
      <c r="B7">
        <f>GlobBerMedDisc!S33+PedBerMedIV!L23+PedBerMedIV!M23</f>
        <v>0</v>
      </c>
      <c r="D7">
        <f>B7*4</f>
        <v>0</v>
      </c>
    </row>
    <row r="8" spans="1:5" x14ac:dyDescent="0.2">
      <c r="A8" s="3" t="s">
        <v>233</v>
      </c>
      <c r="B8">
        <f>PedBerTPN!G24</f>
        <v>0</v>
      </c>
      <c r="C8" s="5" t="s">
        <v>209</v>
      </c>
      <c r="D8" s="5" t="s">
        <v>209</v>
      </c>
    </row>
    <row r="9" spans="1:5" x14ac:dyDescent="0.2">
      <c r="A9" s="7" t="s">
        <v>196</v>
      </c>
      <c r="B9" s="8" t="e">
        <f>SUM(B10:B12)</f>
        <v>#REF!</v>
      </c>
      <c r="C9" s="8">
        <f>IF(_Pat_Gewicht&gt;0,B9/(_Pat_Gewicht/10),0)</f>
        <v>0</v>
      </c>
      <c r="D9" s="8">
        <f>SUM(D10:D11)</f>
        <v>0</v>
      </c>
      <c r="E9" s="9">
        <f>IF(_Pat_Gewicht&gt;0,D9/(_Pat_Gewicht/10),0)</f>
        <v>0</v>
      </c>
    </row>
    <row r="10" spans="1:5" x14ac:dyDescent="0.2">
      <c r="A10" s="3" t="s">
        <v>204</v>
      </c>
      <c r="B10" t="e">
        <f>PedBerEnt!#REF!</f>
        <v>#REF!</v>
      </c>
      <c r="C10" s="5" t="s">
        <v>209</v>
      </c>
      <c r="D10" s="5" t="s">
        <v>209</v>
      </c>
    </row>
    <row r="11" spans="1:5" x14ac:dyDescent="0.2">
      <c r="A11" s="3" t="s">
        <v>202</v>
      </c>
      <c r="B11">
        <f>PedBerTPN!H24</f>
        <v>0</v>
      </c>
      <c r="C11" s="5" t="s">
        <v>209</v>
      </c>
      <c r="D11" s="5" t="s">
        <v>209</v>
      </c>
    </row>
    <row r="12" spans="1:5" x14ac:dyDescent="0.2">
      <c r="A12" s="3" t="s">
        <v>59</v>
      </c>
      <c r="B12">
        <f>PedBerMedIV!Q23</f>
        <v>0</v>
      </c>
      <c r="C12" s="5"/>
      <c r="D12" s="5"/>
    </row>
    <row r="13" spans="1:5" x14ac:dyDescent="0.2">
      <c r="A13" s="7" t="s">
        <v>197</v>
      </c>
      <c r="B13" s="8" t="e">
        <f>SUM(B14:B16)</f>
        <v>#REF!</v>
      </c>
      <c r="C13" s="8">
        <f>SUM(C14:C16)</f>
        <v>0</v>
      </c>
      <c r="D13" s="8">
        <f>SUM(D14:D15)</f>
        <v>0</v>
      </c>
      <c r="E13" s="9">
        <f>IF(_Pat_Gewicht&gt;0,D13/(_Pat_Gewicht/10),0)</f>
        <v>0</v>
      </c>
    </row>
    <row r="14" spans="1:5" x14ac:dyDescent="0.2">
      <c r="A14" s="3" t="s">
        <v>204</v>
      </c>
      <c r="B14" t="e">
        <f>PedBerEnt!#REF!</f>
        <v>#REF!</v>
      </c>
      <c r="C14">
        <f>IF(_Pat_Gewicht&gt;0,B14/(_Pat_Gewicht/10),0)</f>
        <v>0</v>
      </c>
      <c r="D14" s="5" t="s">
        <v>209</v>
      </c>
    </row>
    <row r="15" spans="1:5" x14ac:dyDescent="0.2">
      <c r="A15" s="3" t="s">
        <v>202</v>
      </c>
      <c r="B15">
        <f>PedBerTPN!O24</f>
        <v>0</v>
      </c>
      <c r="C15">
        <f>IF(_Pat_Gewicht&gt;0,B15/(_Pat_Gewicht/10),0)</f>
        <v>0</v>
      </c>
      <c r="D15" s="5" t="s">
        <v>209</v>
      </c>
    </row>
    <row r="16" spans="1:5" x14ac:dyDescent="0.2">
      <c r="A16" s="3" t="s">
        <v>203</v>
      </c>
      <c r="B16">
        <f>PedBerMedIV!R23</f>
        <v>0</v>
      </c>
      <c r="D16">
        <f>B16*9</f>
        <v>0</v>
      </c>
    </row>
    <row r="17" spans="1:5" x14ac:dyDescent="0.2">
      <c r="A17" s="7" t="s">
        <v>338</v>
      </c>
      <c r="B17" s="8" t="e">
        <f>SUM(B18:B22)</f>
        <v>#REF!</v>
      </c>
      <c r="C17" s="8">
        <f>SUM(C18:C22)</f>
        <v>0</v>
      </c>
      <c r="D17" s="8"/>
      <c r="E17" s="9"/>
    </row>
    <row r="18" spans="1:5" x14ac:dyDescent="0.2">
      <c r="A18" s="3" t="s">
        <v>204</v>
      </c>
      <c r="B18" t="e">
        <f>PedBerEnt!#REF!</f>
        <v>#REF!</v>
      </c>
      <c r="C18">
        <f>IF(_Pat_Gewicht&gt;0,B18/(_Pat_Gewicht/10),0)</f>
        <v>0</v>
      </c>
    </row>
    <row r="19" spans="1:5" x14ac:dyDescent="0.2">
      <c r="A19" s="3" t="s">
        <v>242</v>
      </c>
      <c r="B19">
        <f>PedBerIVenPM!E9</f>
        <v>0</v>
      </c>
      <c r="C19">
        <f>IF(_Pat_Gewicht&gt;0,B19/(_Pat_Gewicht/10),0)</f>
        <v>0</v>
      </c>
    </row>
    <row r="20" spans="1:5" x14ac:dyDescent="0.2">
      <c r="A20" s="3" t="s">
        <v>208</v>
      </c>
      <c r="B20">
        <f>GlobBerMedDisc!R33</f>
        <v>0</v>
      </c>
      <c r="C20">
        <f>IF(_Pat_Gewicht&gt;0,B20/(_Pat_Gewicht/10),0)</f>
        <v>0</v>
      </c>
    </row>
    <row r="21" spans="1:5" x14ac:dyDescent="0.2">
      <c r="A21" s="2">
        <v>8.9999999999999993E-3</v>
      </c>
      <c r="B21">
        <f>PedBerMedIV!O23</f>
        <v>0</v>
      </c>
      <c r="C21">
        <f>IF(_Pat_Gewicht&gt;0,B21/(_Pat_Gewicht/10),0)</f>
        <v>0</v>
      </c>
    </row>
    <row r="22" spans="1:5" x14ac:dyDescent="0.2">
      <c r="A22" s="2" t="s">
        <v>233</v>
      </c>
      <c r="B22">
        <f>PedBerTPN!I24</f>
        <v>0</v>
      </c>
      <c r="C22">
        <f>IF(_Pat_Gewicht&gt;0,B22/(_Pat_Gewicht/10),0)</f>
        <v>0</v>
      </c>
    </row>
    <row r="23" spans="1:5" x14ac:dyDescent="0.2">
      <c r="A23" s="7" t="s">
        <v>339</v>
      </c>
      <c r="B23" s="8" t="e">
        <f>SUM(B24:B26)</f>
        <v>#REF!</v>
      </c>
      <c r="C23" s="8">
        <f>SUM(C24:C26)</f>
        <v>0</v>
      </c>
      <c r="D23" s="8"/>
      <c r="E23" s="9"/>
    </row>
    <row r="24" spans="1:5" x14ac:dyDescent="0.2">
      <c r="A24" s="3" t="s">
        <v>204</v>
      </c>
      <c r="B24" t="e">
        <f>PedBerEnt!#REF!</f>
        <v>#REF!</v>
      </c>
      <c r="C24">
        <f>IF(_Pat_Gewicht&gt;0,B24/(_Pat_Gewicht/10),0)</f>
        <v>0</v>
      </c>
    </row>
    <row r="25" spans="1:5" x14ac:dyDescent="0.2">
      <c r="A25" s="3" t="s">
        <v>233</v>
      </c>
      <c r="B25">
        <f>PedBerTPN!J24</f>
        <v>0</v>
      </c>
      <c r="C25">
        <f>IF(_Pat_Gewicht&gt;0,B25/(_Pat_Gewicht/10),0)</f>
        <v>0</v>
      </c>
    </row>
    <row r="26" spans="1:5" x14ac:dyDescent="0.2">
      <c r="A26" s="3" t="s">
        <v>208</v>
      </c>
      <c r="B26">
        <f>PedBerMedIV!P23</f>
        <v>0</v>
      </c>
      <c r="C26">
        <f>IF(_Pat_Gewicht&gt;0,B26/(_Pat_Gewicht/10),0)</f>
        <v>0</v>
      </c>
    </row>
    <row r="27" spans="1:5" x14ac:dyDescent="0.2">
      <c r="A27" s="7" t="s">
        <v>193</v>
      </c>
      <c r="B27" s="8" t="e">
        <f>SUM(B28:B29)</f>
        <v>#REF!</v>
      </c>
      <c r="C27" s="8">
        <f>SUM(C28:C29)</f>
        <v>0</v>
      </c>
      <c r="D27" s="8"/>
      <c r="E27" s="9"/>
    </row>
    <row r="28" spans="1:5" x14ac:dyDescent="0.2">
      <c r="A28" s="3" t="s">
        <v>204</v>
      </c>
      <c r="B28" t="e">
        <f>PedBerEnt!#REF!</f>
        <v>#REF!</v>
      </c>
      <c r="C28">
        <f>IF(_Pat_Gewicht&gt;0,B28/(_Pat_Gewicht/10),0)</f>
        <v>0</v>
      </c>
    </row>
    <row r="29" spans="1:5" x14ac:dyDescent="0.2">
      <c r="A29" s="3" t="s">
        <v>233</v>
      </c>
      <c r="B29">
        <f>PedBerTPN!K24</f>
        <v>0</v>
      </c>
      <c r="C29">
        <f>IF(_Pat_Gewicht&gt;0,B29/(_Pat_Gewicht/10),0)</f>
        <v>0</v>
      </c>
    </row>
    <row r="30" spans="1:5" x14ac:dyDescent="0.2">
      <c r="A30" s="7" t="s">
        <v>194</v>
      </c>
      <c r="B30" s="8" t="e">
        <f>SUM(B31:B32)</f>
        <v>#REF!</v>
      </c>
      <c r="C30" s="8">
        <f>SUM(C31:C32)</f>
        <v>0</v>
      </c>
      <c r="D30" s="8"/>
      <c r="E30" s="9"/>
    </row>
    <row r="31" spans="1:5" x14ac:dyDescent="0.2">
      <c r="A31" s="3" t="s">
        <v>204</v>
      </c>
      <c r="B31" t="e">
        <f>PedBerEnt!#REF!</f>
        <v>#REF!</v>
      </c>
      <c r="C31">
        <f>IF(_Pat_Gewicht&gt;0,B31/(_Pat_Gewicht/10),0)</f>
        <v>0</v>
      </c>
    </row>
    <row r="32" spans="1:5" x14ac:dyDescent="0.2">
      <c r="A32" s="3" t="s">
        <v>233</v>
      </c>
      <c r="B32">
        <f>PedBerTPN!M24</f>
        <v>0</v>
      </c>
      <c r="C32">
        <f>IF(_Pat_Gewicht&gt;0,B32/(_Pat_Gewicht/10),0)</f>
        <v>0</v>
      </c>
    </row>
    <row r="33" spans="1:5" x14ac:dyDescent="0.2">
      <c r="A33" s="7" t="s">
        <v>195</v>
      </c>
      <c r="B33" s="8" t="e">
        <f>SUM(B34:B35)</f>
        <v>#REF!</v>
      </c>
      <c r="C33" s="8">
        <f>SUM(C34:C35)</f>
        <v>0</v>
      </c>
      <c r="D33" s="8"/>
      <c r="E33" s="9"/>
    </row>
    <row r="34" spans="1:5" x14ac:dyDescent="0.2">
      <c r="A34" s="3" t="s">
        <v>204</v>
      </c>
      <c r="B34" t="e">
        <f>PedBerEnt!#REF!</f>
        <v>#REF!</v>
      </c>
      <c r="C34">
        <f>IF(_Pat_Gewicht&gt;0,B34/(_Pat_Gewicht/10),0)</f>
        <v>0</v>
      </c>
    </row>
    <row r="35" spans="1:5" x14ac:dyDescent="0.2">
      <c r="A35" s="3" t="s">
        <v>202</v>
      </c>
      <c r="B35">
        <f>PedBerTPN!L24</f>
        <v>0</v>
      </c>
      <c r="C35">
        <f>IF(_Pat_Gewicht&gt;0,B35/(_Pat_Gewicht/10),0)</f>
        <v>0</v>
      </c>
    </row>
    <row r="36" spans="1:5" x14ac:dyDescent="0.2">
      <c r="A36" s="7" t="s">
        <v>1039</v>
      </c>
      <c r="B36" s="8" t="e">
        <f>SUM(B37)</f>
        <v>#REF!</v>
      </c>
      <c r="C36" s="8">
        <f>SUM(C37)</f>
        <v>0</v>
      </c>
      <c r="D36" s="8"/>
      <c r="E36" s="9"/>
    </row>
    <row r="37" spans="1:5" x14ac:dyDescent="0.2">
      <c r="A37" s="3" t="s">
        <v>204</v>
      </c>
      <c r="B37" s="315" t="e">
        <f>PedBerEnt!#REF!</f>
        <v>#REF!</v>
      </c>
      <c r="C37" s="315">
        <f>IF(_Pat_Gewicht&gt;0,B37/(_Pat_Gewicht/10),0)</f>
        <v>0</v>
      </c>
      <c r="D37" s="315"/>
      <c r="E37" s="315"/>
    </row>
    <row r="38" spans="1:5" x14ac:dyDescent="0.2">
      <c r="A38" s="7" t="s">
        <v>1038</v>
      </c>
      <c r="B38" s="8" t="e">
        <f>SUM(B39)</f>
        <v>#REF!</v>
      </c>
      <c r="C38" s="8">
        <f>SUM(C39)</f>
        <v>0</v>
      </c>
      <c r="D38" s="8"/>
      <c r="E38" s="9"/>
    </row>
    <row r="39" spans="1:5" x14ac:dyDescent="0.2">
      <c r="A39" s="3" t="s">
        <v>204</v>
      </c>
      <c r="B39" s="315" t="e">
        <f>PedBerEnt!#REF!</f>
        <v>#REF!</v>
      </c>
      <c r="C39" s="315">
        <f>IF(_Pat_Gewicht&gt;0,B39/(_Pat_Gewicht/10),0)</f>
        <v>0</v>
      </c>
      <c r="D39" s="315"/>
      <c r="E39" s="315"/>
    </row>
    <row r="40" spans="1:5" x14ac:dyDescent="0.2">
      <c r="A40" s="7" t="s">
        <v>1037</v>
      </c>
      <c r="B40" s="8" t="e">
        <f>SUM(B41)</f>
        <v>#REF!</v>
      </c>
      <c r="C40" s="8">
        <f>IF(_Pat_Gewicht&gt;0,B40/(_Pat_Gewicht/10),0)</f>
        <v>0</v>
      </c>
      <c r="D40" s="8"/>
      <c r="E40" s="9"/>
    </row>
    <row r="41" spans="1:5" x14ac:dyDescent="0.2">
      <c r="A41" s="3" t="s">
        <v>204</v>
      </c>
      <c r="B41" s="315" t="e">
        <f>PedBerEnt!#REF!</f>
        <v>#REF!</v>
      </c>
      <c r="C41" s="315">
        <f>IF(_Pat_Gewicht&gt;0,B41/(_Pat_Gewicht/10),0)</f>
        <v>0</v>
      </c>
      <c r="D41" s="315"/>
      <c r="E41" s="315"/>
    </row>
    <row r="42" spans="1:5" x14ac:dyDescent="0.2">
      <c r="A42" s="10" t="s">
        <v>233</v>
      </c>
      <c r="B42" s="8"/>
      <c r="C42" s="8"/>
      <c r="D42" s="8" t="e">
        <f>PedBerTPN!N24+PedBerEnt!#REF!</f>
        <v>#REF!</v>
      </c>
      <c r="E42" s="9">
        <f>IF(_Pat_Gewicht&gt;0,D42/(_Pat_Gewicht/10),0)</f>
        <v>0</v>
      </c>
    </row>
    <row r="44" spans="1:5" x14ac:dyDescent="0.2">
      <c r="A44" s="3" t="s">
        <v>222</v>
      </c>
      <c r="E44">
        <f>E5+E9+E13+E42</f>
        <v>0</v>
      </c>
    </row>
  </sheetData>
  <customSheetViews>
    <customSheetView guid="{33CCADFA-0D48-46A6-8927-2B2144029216}" state="veryHidden">
      <selection activeCell="D36" sqref="D36"/>
      <pageMargins left="0.75" right="0.75" top="1" bottom="1" header="0.5" footer="0.5"/>
      <pageSetup paperSize="9" orientation="portrait" verticalDpi="300" r:id="rId1"/>
      <headerFooter alignWithMargins="0"/>
    </customSheetView>
  </customSheetViews>
  <phoneticPr fontId="28" type="noConversion"/>
  <pageMargins left="0.75" right="0.75" top="1" bottom="1" header="0.5" footer="0.5"/>
  <pageSetup paperSize="9" orientation="portrait" verticalDpi="300" r:id="rId2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26"/>
  <sheetViews>
    <sheetView workbookViewId="0">
      <selection activeCell="A28" sqref="A28"/>
    </sheetView>
  </sheetViews>
  <sheetFormatPr defaultRowHeight="12.75" x14ac:dyDescent="0.2"/>
  <cols>
    <col min="1" max="1" width="24.42578125" customWidth="1"/>
  </cols>
  <sheetData>
    <row r="1" spans="1:13" x14ac:dyDescent="0.2"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</row>
    <row r="2" spans="1:13" x14ac:dyDescent="0.2">
      <c r="B2" t="s">
        <v>234</v>
      </c>
      <c r="C2" t="s">
        <v>196</v>
      </c>
      <c r="D2" t="s">
        <v>235</v>
      </c>
      <c r="E2" t="s">
        <v>197</v>
      </c>
      <c r="F2" t="s">
        <v>229</v>
      </c>
      <c r="G2" t="s">
        <v>230</v>
      </c>
      <c r="H2" t="s">
        <v>231</v>
      </c>
      <c r="I2" t="s">
        <v>236</v>
      </c>
      <c r="J2" t="s">
        <v>232</v>
      </c>
      <c r="K2" t="s">
        <v>948</v>
      </c>
      <c r="L2" t="s">
        <v>949</v>
      </c>
      <c r="M2" t="s">
        <v>603</v>
      </c>
    </row>
    <row r="3" spans="1:13" x14ac:dyDescent="0.2">
      <c r="A3" s="316" t="s">
        <v>5439</v>
      </c>
      <c r="B3" t="s">
        <v>5418</v>
      </c>
      <c r="C3" t="s">
        <v>31</v>
      </c>
      <c r="D3" t="s">
        <v>31</v>
      </c>
      <c r="E3" t="s">
        <v>31</v>
      </c>
      <c r="F3" t="s">
        <v>494</v>
      </c>
      <c r="G3" t="s">
        <v>494</v>
      </c>
      <c r="H3" t="s">
        <v>494</v>
      </c>
      <c r="I3" t="s">
        <v>494</v>
      </c>
      <c r="J3" t="s">
        <v>494</v>
      </c>
      <c r="K3" t="s">
        <v>494</v>
      </c>
      <c r="L3" t="s">
        <v>5420</v>
      </c>
      <c r="M3" t="s">
        <v>494</v>
      </c>
    </row>
    <row r="5" spans="1:13" x14ac:dyDescent="0.2">
      <c r="A5" t="s">
        <v>334</v>
      </c>
      <c r="B5">
        <f>VLOOKUP($A5,Tbl_Glob_ParEnt,B$1,FALSE)</f>
        <v>0.32</v>
      </c>
      <c r="C5" s="315">
        <f>VLOOKUP($A5,Tbl_Glob_ParEnt,C$1,FALSE)</f>
        <v>0.08</v>
      </c>
      <c r="D5" s="315">
        <f>VLOOKUP($A5,Tbl_Glob_ParEnt,D$1,FALSE)</f>
        <v>0</v>
      </c>
      <c r="E5" s="315">
        <f>VLOOKUP($A5,Tbl_Glob_ParEnt,E$1,FALSE)</f>
        <v>0</v>
      </c>
      <c r="F5" s="315">
        <f>VLOOKUP($A5,Tbl_Glob_ParEnt,F$1,FALSE)</f>
        <v>8.0000000000000002E-3</v>
      </c>
      <c r="G5" s="315">
        <f>VLOOKUP($A5,Tbl_Glob_ParEnt,G$1,FALSE)</f>
        <v>0.02</v>
      </c>
      <c r="H5" s="315">
        <f>VLOOKUP($A5,Tbl_Glob_ParEnt,H$1,FALSE)</f>
        <v>2.8000000000000001E-2</v>
      </c>
      <c r="I5" s="315">
        <f>VLOOKUP($A5,Tbl_Glob_ParEnt,I$1,FALSE)</f>
        <v>2.4E-2</v>
      </c>
      <c r="J5" s="315">
        <f>VLOOKUP($A5,Tbl_Glob_ParEnt,J$1,FALSE)</f>
        <v>8.0000000000000002E-3</v>
      </c>
      <c r="K5" s="315">
        <f>VLOOKUP($A5,Tbl_Glob_ParEnt,K$1,FALSE)</f>
        <v>0</v>
      </c>
      <c r="L5" s="315">
        <f>VLOOKUP($A5,Tbl_Glob_ParEnt,L$1,FALSE)</f>
        <v>0</v>
      </c>
      <c r="M5" s="315">
        <f>VLOOKUP($A5,Tbl_Glob_ParEnt,M$1,FALSE)</f>
        <v>0</v>
      </c>
    </row>
    <row r="6" spans="1:13" x14ac:dyDescent="0.2">
      <c r="A6" t="s">
        <v>333</v>
      </c>
      <c r="B6" s="315">
        <f>VLOOKUP($A6,Tbl_Glob_ParEnt,B$1,FALSE)</f>
        <v>0.28999999999999998</v>
      </c>
      <c r="C6" s="315">
        <f>VLOOKUP($A6,Tbl_Glob_ParEnt,C$1,FALSE)</f>
        <v>7.4285714285714288E-2</v>
      </c>
      <c r="D6" s="315">
        <f>VLOOKUP($A6,Tbl_Glob_ParEnt,D$1,FALSE)</f>
        <v>0</v>
      </c>
      <c r="E6" s="315">
        <f>VLOOKUP($A6,Tbl_Glob_ParEnt,E$1,FALSE)</f>
        <v>0</v>
      </c>
      <c r="F6" s="315">
        <f>VLOOKUP($A6,Tbl_Glob_ParEnt,F$1,FALSE)</f>
        <v>7.1428571428571426E-3</v>
      </c>
      <c r="G6" s="315">
        <f>VLOOKUP($A6,Tbl_Glob_ParEnt,G$1,FALSE)</f>
        <v>1.7142857142857144E-2</v>
      </c>
      <c r="H6" s="315">
        <f>VLOOKUP($A6,Tbl_Glob_ParEnt,H$1,FALSE)</f>
        <v>2.5714285714285714E-2</v>
      </c>
      <c r="I6" s="315">
        <f>VLOOKUP($A6,Tbl_Glob_ParEnt,I$1,FALSE)</f>
        <v>2.1428571428571429E-2</v>
      </c>
      <c r="J6" s="315">
        <f>VLOOKUP($A6,Tbl_Glob_ParEnt,J$1,FALSE)</f>
        <v>5.7142857142857143E-3</v>
      </c>
      <c r="K6" s="315">
        <f>VLOOKUP($A6,Tbl_Glob_ParEnt,K$1,FALSE)</f>
        <v>0</v>
      </c>
      <c r="L6" s="315">
        <f>VLOOKUP($A6,Tbl_Glob_ParEnt,L$1,FALSE)</f>
        <v>0</v>
      </c>
      <c r="M6" s="315">
        <f>VLOOKUP($A6,Tbl_Glob_ParEnt,M$1,FALSE)</f>
        <v>0</v>
      </c>
    </row>
    <row r="7" spans="1:13" x14ac:dyDescent="0.2">
      <c r="A7" t="s">
        <v>334</v>
      </c>
      <c r="B7" s="315">
        <f>VLOOKUP($A7,Tbl_Glob_ParEnt,B$1,FALSE)</f>
        <v>0.32</v>
      </c>
      <c r="C7" s="315">
        <f>VLOOKUP($A7,Tbl_Glob_ParEnt,C$1,FALSE)</f>
        <v>0.08</v>
      </c>
      <c r="D7" s="315">
        <f>VLOOKUP($A7,Tbl_Glob_ParEnt,D$1,FALSE)</f>
        <v>0</v>
      </c>
      <c r="E7" s="315">
        <f>VLOOKUP($A7,Tbl_Glob_ParEnt,E$1,FALSE)</f>
        <v>0</v>
      </c>
      <c r="F7" s="315">
        <f>VLOOKUP($A7,Tbl_Glob_ParEnt,F$1,FALSE)</f>
        <v>8.0000000000000002E-3</v>
      </c>
      <c r="G7" s="315">
        <f>VLOOKUP($A7,Tbl_Glob_ParEnt,G$1,FALSE)</f>
        <v>0.02</v>
      </c>
      <c r="H7" s="315">
        <f>VLOOKUP($A7,Tbl_Glob_ParEnt,H$1,FALSE)</f>
        <v>2.8000000000000001E-2</v>
      </c>
      <c r="I7" s="315">
        <f>VLOOKUP($A7,Tbl_Glob_ParEnt,I$1,FALSE)</f>
        <v>2.4E-2</v>
      </c>
      <c r="J7" s="315">
        <f>VLOOKUP($A7,Tbl_Glob_ParEnt,J$1,FALSE)</f>
        <v>8.0000000000000002E-3</v>
      </c>
      <c r="K7" s="315">
        <f>VLOOKUP($A7,Tbl_Glob_ParEnt,K$1,FALSE)</f>
        <v>0</v>
      </c>
      <c r="L7" s="315">
        <f>VLOOKUP($A7,Tbl_Glob_ParEnt,L$1,FALSE)</f>
        <v>0</v>
      </c>
      <c r="M7" s="315">
        <f>VLOOKUP($A7,Tbl_Glob_ParEnt,M$1,FALSE)</f>
        <v>0</v>
      </c>
    </row>
    <row r="8" spans="1:13" x14ac:dyDescent="0.2">
      <c r="A8" t="s">
        <v>41</v>
      </c>
      <c r="B8" s="315">
        <f>VLOOKUP($A8,Tbl_Glob_ParEnt,B$1,FALSE)</f>
        <v>0.35</v>
      </c>
      <c r="C8" s="315">
        <f>VLOOKUP($A8,Tbl_Glob_ParEnt,C$1,FALSE)</f>
        <v>8.7999999999999995E-2</v>
      </c>
      <c r="D8" s="315">
        <f>VLOOKUP($A8,Tbl_Glob_ParEnt,D$1,FALSE)</f>
        <v>0</v>
      </c>
      <c r="E8" s="315">
        <f>VLOOKUP($A8,Tbl_Glob_ParEnt,E$1,FALSE)</f>
        <v>0</v>
      </c>
      <c r="F8" s="315">
        <f>VLOOKUP($A8,Tbl_Glob_ParEnt,F$1,FALSE)</f>
        <v>0.01</v>
      </c>
      <c r="G8" s="315">
        <f>VLOOKUP($A8,Tbl_Glob_ParEnt,G$1,FALSE)</f>
        <v>2.5000000000000001E-2</v>
      </c>
      <c r="H8" s="315">
        <f>VLOOKUP($A8,Tbl_Glob_ParEnt,H$1,FALSE)</f>
        <v>1.7999999999999999E-2</v>
      </c>
      <c r="I8" s="315">
        <f>VLOOKUP($A8,Tbl_Glob_ParEnt,I$1,FALSE)</f>
        <v>0.03</v>
      </c>
      <c r="J8" s="315">
        <f>VLOOKUP($A8,Tbl_Glob_ParEnt,J$1,FALSE)</f>
        <v>0.01</v>
      </c>
      <c r="K8" s="315">
        <f>VLOOKUP($A8,Tbl_Glob_ParEnt,K$1,FALSE)</f>
        <v>0</v>
      </c>
      <c r="L8" s="315">
        <f>VLOOKUP($A8,Tbl_Glob_ParEnt,L$1,FALSE)</f>
        <v>0</v>
      </c>
      <c r="M8" s="315">
        <f>VLOOKUP($A8,Tbl_Glob_ParEnt,M$1,FALSE)</f>
        <v>0</v>
      </c>
    </row>
    <row r="9" spans="1:13" x14ac:dyDescent="0.2">
      <c r="A9" t="s">
        <v>42</v>
      </c>
      <c r="B9" s="315">
        <f>VLOOKUP($A9,Tbl_Glob_ParEnt,B$1,FALSE)</f>
        <v>0.33</v>
      </c>
      <c r="C9" s="315">
        <f>VLOOKUP($A9,Tbl_Glob_ParEnt,C$1,FALSE)</f>
        <v>8.3000000000000004E-2</v>
      </c>
      <c r="D9" s="315">
        <f>VLOOKUP($A9,Tbl_Glob_ParEnt,D$1,FALSE)</f>
        <v>0</v>
      </c>
      <c r="E9" s="315">
        <f>VLOOKUP($A9,Tbl_Glob_ParEnt,E$1,FALSE)</f>
        <v>0</v>
      </c>
      <c r="F9" s="315">
        <f>VLOOKUP($A9,Tbl_Glob_ParEnt,F$1,FALSE)</f>
        <v>1.2499999999999999E-2</v>
      </c>
      <c r="G9" s="315">
        <f>VLOOKUP($A9,Tbl_Glob_ParEnt,G$1,FALSE)</f>
        <v>3.1E-2</v>
      </c>
      <c r="H9" s="315">
        <f>VLOOKUP($A9,Tbl_Glob_ParEnt,H$1,FALSE)</f>
        <v>2.5999999999999999E-2</v>
      </c>
      <c r="I9" s="315">
        <f>VLOOKUP($A9,Tbl_Glob_ParEnt,I$1,FALSE)</f>
        <v>3.7999999999999999E-2</v>
      </c>
      <c r="J9" s="315">
        <f>VLOOKUP($A9,Tbl_Glob_ParEnt,J$1,FALSE)</f>
        <v>1.2500000000000001E-2</v>
      </c>
      <c r="K9" s="315">
        <f>VLOOKUP($A9,Tbl_Glob_ParEnt,K$1,FALSE)</f>
        <v>0</v>
      </c>
      <c r="L9" s="315">
        <f>VLOOKUP($A9,Tbl_Glob_ParEnt,L$1,FALSE)</f>
        <v>0</v>
      </c>
      <c r="M9" s="315">
        <f>VLOOKUP($A9,Tbl_Glob_ParEnt,M$1,FALSE)</f>
        <v>0</v>
      </c>
    </row>
    <row r="10" spans="1:13" x14ac:dyDescent="0.2">
      <c r="A10" t="s">
        <v>79</v>
      </c>
      <c r="B10" s="315">
        <f>VLOOKUP($A10,Tbl_Glob_ParEnt,B$1,FALSE)</f>
        <v>0.96</v>
      </c>
      <c r="C10" s="315">
        <f>VLOOKUP($A10,Tbl_Glob_ParEnt,C$1,FALSE)</f>
        <v>7.0000000000000007E-2</v>
      </c>
      <c r="D10" s="315">
        <f>VLOOKUP($A10,Tbl_Glob_ParEnt,D$1,FALSE)</f>
        <v>0.24</v>
      </c>
      <c r="E10" s="315">
        <f>VLOOKUP($A10,Tbl_Glob_ParEnt,E$1,FALSE)</f>
        <v>0</v>
      </c>
      <c r="F10" s="315">
        <f>VLOOKUP($A10,Tbl_Glob_ParEnt,F$1,FALSE)</f>
        <v>4.0500000000000001E-2</v>
      </c>
      <c r="G10" s="315">
        <f>VLOOKUP($A10,Tbl_Glob_ParEnt,G$1,FALSE)</f>
        <v>2.5700000000000001E-2</v>
      </c>
      <c r="H10" s="315">
        <f>VLOOKUP($A10,Tbl_Glob_ParEnt,H$1,FALSE)</f>
        <v>4.1000000000000003E-3</v>
      </c>
      <c r="I10" s="315">
        <f>VLOOKUP($A10,Tbl_Glob_ParEnt,I$1,FALSE)</f>
        <v>1.47E-2</v>
      </c>
      <c r="J10" s="315">
        <f>VLOOKUP($A10,Tbl_Glob_ParEnt,J$1,FALSE)</f>
        <v>5.0000000000000001E-3</v>
      </c>
      <c r="K10" s="315">
        <f>VLOOKUP($A10,Tbl_Glob_ParEnt,K$1,FALSE)</f>
        <v>0</v>
      </c>
      <c r="L10" s="315">
        <f>VLOOKUP($A10,Tbl_Glob_ParEnt,L$1,FALSE)</f>
        <v>0</v>
      </c>
      <c r="M10" s="315">
        <f>VLOOKUP($A10,Tbl_Glob_ParEnt,M$1,FALSE)</f>
        <v>0</v>
      </c>
    </row>
    <row r="11" spans="1:13" x14ac:dyDescent="0.2">
      <c r="A11" s="316" t="s">
        <v>5440</v>
      </c>
    </row>
    <row r="12" spans="1:13" x14ac:dyDescent="0.2">
      <c r="A12" s="315"/>
    </row>
    <row r="13" spans="1:13" x14ac:dyDescent="0.2">
      <c r="A13" s="315" t="s">
        <v>302</v>
      </c>
      <c r="B13" s="315">
        <f>VLOOKUP($A13,Tbl_Glob_ParEnt,B$1,FALSE)</f>
        <v>0.2</v>
      </c>
      <c r="C13" s="315">
        <f>VLOOKUP($A13,Tbl_Glob_ParEnt,C$1,FALSE)</f>
        <v>0</v>
      </c>
      <c r="D13" s="315">
        <f>VLOOKUP($A13,Tbl_Glob_ParEnt,D$1,FALSE)</f>
        <v>0.05</v>
      </c>
      <c r="E13" s="315">
        <f>VLOOKUP($A13,Tbl_Glob_ParEnt,E$1,FALSE)</f>
        <v>0</v>
      </c>
      <c r="F13" s="315">
        <f>VLOOKUP($A13,Tbl_Glob_ParEnt,F$1,FALSE)</f>
        <v>0</v>
      </c>
      <c r="G13" s="315">
        <f>VLOOKUP($A13,Tbl_Glob_ParEnt,G$1,FALSE)</f>
        <v>0</v>
      </c>
      <c r="H13" s="315">
        <f>VLOOKUP($A13,Tbl_Glob_ParEnt,H$1,FALSE)</f>
        <v>0</v>
      </c>
      <c r="I13" s="315">
        <f>VLOOKUP($A13,Tbl_Glob_ParEnt,I$1,FALSE)</f>
        <v>0</v>
      </c>
      <c r="J13" s="315">
        <f>VLOOKUP($A13,Tbl_Glob_ParEnt,J$1,FALSE)</f>
        <v>0</v>
      </c>
      <c r="K13" s="315">
        <f>VLOOKUP($A13,Tbl_Glob_ParEnt,K$1,FALSE)</f>
        <v>0</v>
      </c>
      <c r="L13" s="315">
        <f>VLOOKUP($A13,Tbl_Glob_ParEnt,L$1,FALSE)</f>
        <v>0</v>
      </c>
      <c r="M13" s="315">
        <f>VLOOKUP($A13,Tbl_Glob_ParEnt,M$1,FALSE)</f>
        <v>0</v>
      </c>
    </row>
    <row r="14" spans="1:13" x14ac:dyDescent="0.2">
      <c r="A14" s="315" t="s">
        <v>303</v>
      </c>
      <c r="B14" s="315">
        <f>VLOOKUP($A14,Tbl_Glob_ParEnt,B$1,FALSE)</f>
        <v>0.4</v>
      </c>
      <c r="C14" s="315">
        <f>VLOOKUP($A14,Tbl_Glob_ParEnt,C$1,FALSE)</f>
        <v>0</v>
      </c>
      <c r="D14" s="315">
        <f>VLOOKUP($A14,Tbl_Glob_ParEnt,D$1,FALSE)</f>
        <v>0.1</v>
      </c>
      <c r="E14" s="315">
        <f>VLOOKUP($A14,Tbl_Glob_ParEnt,E$1,FALSE)</f>
        <v>0</v>
      </c>
      <c r="F14" s="315">
        <f>VLOOKUP($A14,Tbl_Glob_ParEnt,F$1,FALSE)</f>
        <v>0</v>
      </c>
      <c r="G14" s="315">
        <f>VLOOKUP($A14,Tbl_Glob_ParEnt,G$1,FALSE)</f>
        <v>0</v>
      </c>
      <c r="H14" s="315">
        <f>VLOOKUP($A14,Tbl_Glob_ParEnt,H$1,FALSE)</f>
        <v>0</v>
      </c>
      <c r="I14" s="315">
        <f>VLOOKUP($A14,Tbl_Glob_ParEnt,I$1,FALSE)</f>
        <v>0</v>
      </c>
      <c r="J14" s="315">
        <f>VLOOKUP($A14,Tbl_Glob_ParEnt,J$1,FALSE)</f>
        <v>0</v>
      </c>
      <c r="K14" s="315">
        <f>VLOOKUP($A14,Tbl_Glob_ParEnt,K$1,FALSE)</f>
        <v>0</v>
      </c>
      <c r="L14" s="315">
        <f>VLOOKUP($A14,Tbl_Glob_ParEnt,L$1,FALSE)</f>
        <v>0</v>
      </c>
      <c r="M14" s="315">
        <f>VLOOKUP($A14,Tbl_Glob_ParEnt,M$1,FALSE)</f>
        <v>0</v>
      </c>
    </row>
    <row r="15" spans="1:13" x14ac:dyDescent="0.2">
      <c r="A15" s="315" t="s">
        <v>85</v>
      </c>
      <c r="B15" s="315">
        <f>VLOOKUP($A15,Tbl_Glob_ParEnt,B$1,FALSE)</f>
        <v>0.5</v>
      </c>
      <c r="C15" s="315">
        <f>VLOOKUP($A15,Tbl_Glob_ParEnt,C$1,FALSE)</f>
        <v>0</v>
      </c>
      <c r="D15" s="315">
        <f>VLOOKUP($A15,Tbl_Glob_ParEnt,D$1,FALSE)</f>
        <v>0.125</v>
      </c>
      <c r="E15" s="315">
        <f>VLOOKUP($A15,Tbl_Glob_ParEnt,E$1,FALSE)</f>
        <v>0</v>
      </c>
      <c r="F15" s="315">
        <f>VLOOKUP($A15,Tbl_Glob_ParEnt,F$1,FALSE)</f>
        <v>0</v>
      </c>
      <c r="G15" s="315">
        <f>VLOOKUP($A15,Tbl_Glob_ParEnt,G$1,FALSE)</f>
        <v>0</v>
      </c>
      <c r="H15" s="315">
        <f>VLOOKUP($A15,Tbl_Glob_ParEnt,H$1,FALSE)</f>
        <v>0</v>
      </c>
      <c r="I15" s="315">
        <f>VLOOKUP($A15,Tbl_Glob_ParEnt,I$1,FALSE)</f>
        <v>0</v>
      </c>
      <c r="J15" s="315">
        <f>VLOOKUP($A15,Tbl_Glob_ParEnt,J$1,FALSE)</f>
        <v>0</v>
      </c>
      <c r="K15" s="315">
        <f>VLOOKUP($A15,Tbl_Glob_ParEnt,K$1,FALSE)</f>
        <v>0</v>
      </c>
      <c r="L15" s="315">
        <f>VLOOKUP($A15,Tbl_Glob_ParEnt,L$1,FALSE)</f>
        <v>0</v>
      </c>
      <c r="M15" s="315">
        <f>VLOOKUP($A15,Tbl_Glob_ParEnt,M$1,FALSE)</f>
        <v>0</v>
      </c>
    </row>
    <row r="16" spans="1:13" x14ac:dyDescent="0.2">
      <c r="A16" s="315" t="s">
        <v>96</v>
      </c>
      <c r="B16" s="315">
        <f>VLOOKUP($A16,Tbl_Glob_ParEnt,B$1,FALSE)</f>
        <v>0.6</v>
      </c>
      <c r="C16" s="315">
        <f>VLOOKUP($A16,Tbl_Glob_ParEnt,C$1,FALSE)</f>
        <v>0</v>
      </c>
      <c r="D16" s="315">
        <f>VLOOKUP($A16,Tbl_Glob_ParEnt,D$1,FALSE)</f>
        <v>0.15</v>
      </c>
      <c r="E16" s="315">
        <f>VLOOKUP($A16,Tbl_Glob_ParEnt,E$1,FALSE)</f>
        <v>0</v>
      </c>
      <c r="F16" s="315">
        <f>VLOOKUP($A16,Tbl_Glob_ParEnt,F$1,FALSE)</f>
        <v>0</v>
      </c>
      <c r="G16" s="315">
        <f>VLOOKUP($A16,Tbl_Glob_ParEnt,G$1,FALSE)</f>
        <v>0</v>
      </c>
      <c r="H16" s="315">
        <f>VLOOKUP($A16,Tbl_Glob_ParEnt,H$1,FALSE)</f>
        <v>0</v>
      </c>
      <c r="I16" s="315">
        <f>VLOOKUP($A16,Tbl_Glob_ParEnt,I$1,FALSE)</f>
        <v>0</v>
      </c>
      <c r="J16" s="315">
        <f>VLOOKUP($A16,Tbl_Glob_ParEnt,J$1,FALSE)</f>
        <v>0</v>
      </c>
      <c r="K16" s="315">
        <f>VLOOKUP($A16,Tbl_Glob_ParEnt,K$1,FALSE)</f>
        <v>0</v>
      </c>
      <c r="L16" s="315">
        <f>VLOOKUP($A16,Tbl_Glob_ParEnt,L$1,FALSE)</f>
        <v>0</v>
      </c>
      <c r="M16" s="315">
        <f>VLOOKUP($A16,Tbl_Glob_ParEnt,M$1,FALSE)</f>
        <v>0</v>
      </c>
    </row>
    <row r="17" spans="1:13" x14ac:dyDescent="0.2">
      <c r="A17" s="315" t="s">
        <v>84</v>
      </c>
      <c r="B17" s="315">
        <f>VLOOKUP($A17,Tbl_Glob_ParEnt,B$1,FALSE)</f>
        <v>0.7</v>
      </c>
      <c r="C17" s="315">
        <f>VLOOKUP($A17,Tbl_Glob_ParEnt,C$1,FALSE)</f>
        <v>0</v>
      </c>
      <c r="D17" s="315">
        <f>VLOOKUP($A17,Tbl_Glob_ParEnt,D$1,FALSE)</f>
        <v>0.17499999999999999</v>
      </c>
      <c r="E17" s="315">
        <f>VLOOKUP($A17,Tbl_Glob_ParEnt,E$1,FALSE)</f>
        <v>0</v>
      </c>
      <c r="F17" s="315">
        <f>VLOOKUP($A17,Tbl_Glob_ParEnt,F$1,FALSE)</f>
        <v>0</v>
      </c>
      <c r="G17" s="315">
        <f>VLOOKUP($A17,Tbl_Glob_ParEnt,G$1,FALSE)</f>
        <v>0</v>
      </c>
      <c r="H17" s="315">
        <f>VLOOKUP($A17,Tbl_Glob_ParEnt,H$1,FALSE)</f>
        <v>0</v>
      </c>
      <c r="I17" s="315">
        <f>VLOOKUP($A17,Tbl_Glob_ParEnt,I$1,FALSE)</f>
        <v>0</v>
      </c>
      <c r="J17" s="315">
        <f>VLOOKUP($A17,Tbl_Glob_ParEnt,J$1,FALSE)</f>
        <v>0</v>
      </c>
      <c r="K17" s="315">
        <f>VLOOKUP($A17,Tbl_Glob_ParEnt,K$1,FALSE)</f>
        <v>0</v>
      </c>
      <c r="L17" s="315">
        <f>VLOOKUP($A17,Tbl_Glob_ParEnt,L$1,FALSE)</f>
        <v>0</v>
      </c>
      <c r="M17" s="315">
        <f>VLOOKUP($A17,Tbl_Glob_ParEnt,M$1,FALSE)</f>
        <v>0</v>
      </c>
    </row>
    <row r="18" spans="1:13" x14ac:dyDescent="0.2">
      <c r="A18" s="315" t="s">
        <v>94</v>
      </c>
      <c r="B18" s="315">
        <f>VLOOKUP($A18,Tbl_Glob_ParEnt,B$1,FALSE)</f>
        <v>0.8</v>
      </c>
      <c r="C18" s="315">
        <f>VLOOKUP($A18,Tbl_Glob_ParEnt,C$1,FALSE)</f>
        <v>0</v>
      </c>
      <c r="D18" s="315">
        <f>VLOOKUP($A18,Tbl_Glob_ParEnt,D$1,FALSE)</f>
        <v>0.2</v>
      </c>
      <c r="E18" s="315">
        <f>VLOOKUP($A18,Tbl_Glob_ParEnt,E$1,FALSE)</f>
        <v>0</v>
      </c>
      <c r="F18" s="315">
        <f>VLOOKUP($A18,Tbl_Glob_ParEnt,F$1,FALSE)</f>
        <v>0</v>
      </c>
      <c r="G18" s="315">
        <f>VLOOKUP($A18,Tbl_Glob_ParEnt,G$1,FALSE)</f>
        <v>0</v>
      </c>
      <c r="H18" s="315">
        <f>VLOOKUP($A18,Tbl_Glob_ParEnt,H$1,FALSE)</f>
        <v>0</v>
      </c>
      <c r="I18" s="315">
        <f>VLOOKUP($A18,Tbl_Glob_ParEnt,I$1,FALSE)</f>
        <v>0</v>
      </c>
      <c r="J18" s="315">
        <f>VLOOKUP($A18,Tbl_Glob_ParEnt,J$1,FALSE)</f>
        <v>0</v>
      </c>
      <c r="K18" s="315">
        <f>VLOOKUP($A18,Tbl_Glob_ParEnt,K$1,FALSE)</f>
        <v>0</v>
      </c>
      <c r="L18" s="315">
        <f>VLOOKUP($A18,Tbl_Glob_ParEnt,L$1,FALSE)</f>
        <v>0</v>
      </c>
      <c r="M18" s="315">
        <f>VLOOKUP($A18,Tbl_Glob_ParEnt,M$1,FALSE)</f>
        <v>0</v>
      </c>
    </row>
    <row r="19" spans="1:13" x14ac:dyDescent="0.2">
      <c r="A19" s="315" t="s">
        <v>218</v>
      </c>
      <c r="B19" s="315">
        <f>VLOOKUP($A19,Tbl_Glob_ParEnt,B$1,FALSE)</f>
        <v>1</v>
      </c>
      <c r="C19" s="315">
        <f>VLOOKUP($A19,Tbl_Glob_ParEnt,C$1,FALSE)</f>
        <v>0</v>
      </c>
      <c r="D19" s="315">
        <f>VLOOKUP($A19,Tbl_Glob_ParEnt,D$1,FALSE)</f>
        <v>0.25</v>
      </c>
      <c r="E19" s="315">
        <f>VLOOKUP($A19,Tbl_Glob_ParEnt,E$1,FALSE)</f>
        <v>0</v>
      </c>
      <c r="F19" s="315">
        <f>VLOOKUP($A19,Tbl_Glob_ParEnt,F$1,FALSE)</f>
        <v>0</v>
      </c>
      <c r="G19" s="315">
        <f>VLOOKUP($A19,Tbl_Glob_ParEnt,G$1,FALSE)</f>
        <v>0</v>
      </c>
      <c r="H19" s="315">
        <f>VLOOKUP($A19,Tbl_Glob_ParEnt,H$1,FALSE)</f>
        <v>0</v>
      </c>
      <c r="I19" s="315">
        <f>VLOOKUP($A19,Tbl_Glob_ParEnt,I$1,FALSE)</f>
        <v>0</v>
      </c>
      <c r="J19" s="315">
        <f>VLOOKUP($A19,Tbl_Glob_ParEnt,J$1,FALSE)</f>
        <v>0</v>
      </c>
      <c r="K19" s="315">
        <f>VLOOKUP($A19,Tbl_Glob_ParEnt,K$1,FALSE)</f>
        <v>0</v>
      </c>
      <c r="L19" s="315">
        <f>VLOOKUP($A19,Tbl_Glob_ParEnt,L$1,FALSE)</f>
        <v>0</v>
      </c>
      <c r="M19" s="315">
        <f>VLOOKUP($A19,Tbl_Glob_ParEnt,M$1,FALSE)</f>
        <v>0</v>
      </c>
    </row>
    <row r="20" spans="1:13" x14ac:dyDescent="0.2">
      <c r="A20" s="315" t="s">
        <v>217</v>
      </c>
      <c r="B20" s="315">
        <f>VLOOKUP($A20,Tbl_Glob_ParEnt,B$1,FALSE)</f>
        <v>1.2</v>
      </c>
      <c r="C20" s="315">
        <f>VLOOKUP($A20,Tbl_Glob_ParEnt,C$1,FALSE)</f>
        <v>0</v>
      </c>
      <c r="D20" s="315">
        <f>VLOOKUP($A20,Tbl_Glob_ParEnt,D$1,FALSE)</f>
        <v>0.3</v>
      </c>
      <c r="E20" s="315">
        <f>VLOOKUP($A20,Tbl_Glob_ParEnt,E$1,FALSE)</f>
        <v>0</v>
      </c>
      <c r="F20" s="315">
        <f>VLOOKUP($A20,Tbl_Glob_ParEnt,F$1,FALSE)</f>
        <v>0</v>
      </c>
      <c r="G20" s="315">
        <f>VLOOKUP($A20,Tbl_Glob_ParEnt,G$1,FALSE)</f>
        <v>0</v>
      </c>
      <c r="H20" s="315">
        <f>VLOOKUP($A20,Tbl_Glob_ParEnt,H$1,FALSE)</f>
        <v>0</v>
      </c>
      <c r="I20" s="315">
        <f>VLOOKUP($A20,Tbl_Glob_ParEnt,I$1,FALSE)</f>
        <v>0</v>
      </c>
      <c r="J20" s="315">
        <f>VLOOKUP($A20,Tbl_Glob_ParEnt,J$1,FALSE)</f>
        <v>0</v>
      </c>
      <c r="K20" s="315">
        <f>VLOOKUP($A20,Tbl_Glob_ParEnt,K$1,FALSE)</f>
        <v>0</v>
      </c>
      <c r="L20" s="315">
        <f>VLOOKUP($A20,Tbl_Glob_ParEnt,L$1,FALSE)</f>
        <v>0</v>
      </c>
      <c r="M20" s="315">
        <f>VLOOKUP($A20,Tbl_Glob_ParEnt,M$1,FALSE)</f>
        <v>0</v>
      </c>
    </row>
    <row r="21" spans="1:13" x14ac:dyDescent="0.2">
      <c r="A21" s="315" t="s">
        <v>267</v>
      </c>
      <c r="B21" s="315">
        <f>VLOOKUP($A21,Tbl_Glob_ParEnt,B$1,FALSE)</f>
        <v>1.6</v>
      </c>
      <c r="C21" s="315">
        <f>VLOOKUP($A21,Tbl_Glob_ParEnt,C$1,FALSE)</f>
        <v>0</v>
      </c>
      <c r="D21" s="315">
        <f>VLOOKUP($A21,Tbl_Glob_ParEnt,D$1,FALSE)</f>
        <v>0.4</v>
      </c>
      <c r="E21" s="315">
        <f>VLOOKUP($A21,Tbl_Glob_ParEnt,E$1,FALSE)</f>
        <v>0</v>
      </c>
      <c r="F21" s="315">
        <f>VLOOKUP($A21,Tbl_Glob_ParEnt,F$1,FALSE)</f>
        <v>0</v>
      </c>
      <c r="G21" s="315">
        <f>VLOOKUP($A21,Tbl_Glob_ParEnt,G$1,FALSE)</f>
        <v>0</v>
      </c>
      <c r="H21" s="315">
        <f>VLOOKUP($A21,Tbl_Glob_ParEnt,H$1,FALSE)</f>
        <v>0</v>
      </c>
      <c r="I21" s="315">
        <f>VLOOKUP($A21,Tbl_Glob_ParEnt,I$1,FALSE)</f>
        <v>0</v>
      </c>
      <c r="J21" s="315">
        <f>VLOOKUP($A21,Tbl_Glob_ParEnt,J$1,FALSE)</f>
        <v>0</v>
      </c>
      <c r="K21" s="315">
        <f>VLOOKUP($A21,Tbl_Glob_ParEnt,K$1,FALSE)</f>
        <v>0</v>
      </c>
      <c r="L21" s="315">
        <f>VLOOKUP($A21,Tbl_Glob_ParEnt,L$1,FALSE)</f>
        <v>0</v>
      </c>
      <c r="M21" s="315">
        <f>VLOOKUP($A21,Tbl_Glob_ParEnt,M$1,FALSE)</f>
        <v>0</v>
      </c>
    </row>
    <row r="22" spans="1:13" x14ac:dyDescent="0.2">
      <c r="A22" s="315" t="s">
        <v>95</v>
      </c>
      <c r="B22" s="315">
        <f>VLOOKUP($A22,Tbl_Glob_ParEnt,B$1,FALSE)</f>
        <v>2</v>
      </c>
      <c r="C22" s="315">
        <f>VLOOKUP($A22,Tbl_Glob_ParEnt,C$1,FALSE)</f>
        <v>0</v>
      </c>
      <c r="D22" s="315">
        <f>VLOOKUP($A22,Tbl_Glob_ParEnt,D$1,FALSE)</f>
        <v>0.5</v>
      </c>
      <c r="E22" s="315">
        <f>VLOOKUP($A22,Tbl_Glob_ParEnt,E$1,FALSE)</f>
        <v>0</v>
      </c>
      <c r="F22" s="315">
        <f>VLOOKUP($A22,Tbl_Glob_ParEnt,F$1,FALSE)</f>
        <v>0</v>
      </c>
      <c r="G22" s="315">
        <f>VLOOKUP($A22,Tbl_Glob_ParEnt,G$1,FALSE)</f>
        <v>0</v>
      </c>
      <c r="H22" s="315">
        <f>VLOOKUP($A22,Tbl_Glob_ParEnt,H$1,FALSE)</f>
        <v>0</v>
      </c>
      <c r="I22" s="315">
        <f>VLOOKUP($A22,Tbl_Glob_ParEnt,I$1,FALSE)</f>
        <v>0</v>
      </c>
      <c r="J22" s="315">
        <f>VLOOKUP($A22,Tbl_Glob_ParEnt,J$1,FALSE)</f>
        <v>0</v>
      </c>
      <c r="K22" s="315">
        <f>VLOOKUP($A22,Tbl_Glob_ParEnt,K$1,FALSE)</f>
        <v>0</v>
      </c>
      <c r="L22" s="315">
        <f>VLOOKUP($A22,Tbl_Glob_ParEnt,L$1,FALSE)</f>
        <v>0</v>
      </c>
      <c r="M22" s="315">
        <f>VLOOKUP($A22,Tbl_Glob_ParEnt,M$1,FALSE)</f>
        <v>0</v>
      </c>
    </row>
    <row r="23" spans="1:13" x14ac:dyDescent="0.2">
      <c r="A23" s="315" t="s">
        <v>457</v>
      </c>
      <c r="B23" s="315">
        <f>VLOOKUP($A23,Tbl_Glob_ParEnt,B$1,FALSE)</f>
        <v>0.2</v>
      </c>
      <c r="C23" s="315">
        <f>VLOOKUP($A23,Tbl_Glob_ParEnt,C$1,FALSE)</f>
        <v>0</v>
      </c>
      <c r="D23" s="315">
        <f>VLOOKUP($A23,Tbl_Glob_ParEnt,D$1,FALSE)</f>
        <v>0.05</v>
      </c>
      <c r="E23" s="315">
        <f>VLOOKUP($A23,Tbl_Glob_ParEnt,E$1,FALSE)</f>
        <v>0</v>
      </c>
      <c r="F23" s="315">
        <f>VLOOKUP($A23,Tbl_Glob_ParEnt,F$1,FALSE)</f>
        <v>7.6999999999999999E-2</v>
      </c>
      <c r="G23" s="315">
        <f>VLOOKUP($A23,Tbl_Glob_ParEnt,G$1,FALSE)</f>
        <v>0</v>
      </c>
      <c r="H23" s="315">
        <f>VLOOKUP($A23,Tbl_Glob_ParEnt,H$1,FALSE)</f>
        <v>0</v>
      </c>
      <c r="I23" s="315">
        <f>VLOOKUP($A23,Tbl_Glob_ParEnt,I$1,FALSE)</f>
        <v>0</v>
      </c>
      <c r="J23" s="315">
        <f>VLOOKUP($A23,Tbl_Glob_ParEnt,J$1,FALSE)</f>
        <v>0</v>
      </c>
      <c r="K23" s="315">
        <f>VLOOKUP($A23,Tbl_Glob_ParEnt,K$1,FALSE)</f>
        <v>0</v>
      </c>
      <c r="L23" s="315">
        <f>VLOOKUP($A23,Tbl_Glob_ParEnt,L$1,FALSE)</f>
        <v>0</v>
      </c>
      <c r="M23" s="315">
        <f>VLOOKUP($A23,Tbl_Glob_ParEnt,M$1,FALSE)</f>
        <v>0</v>
      </c>
    </row>
    <row r="24" spans="1:13" x14ac:dyDescent="0.2">
      <c r="A24" s="315" t="s">
        <v>458</v>
      </c>
      <c r="B24" s="315">
        <f>VLOOKUP($A24,Tbl_Glob_ParEnt,B$1,FALSE)</f>
        <v>0.2</v>
      </c>
      <c r="C24" s="315">
        <f>VLOOKUP($A24,Tbl_Glob_ParEnt,C$1,FALSE)</f>
        <v>0</v>
      </c>
      <c r="D24" s="315">
        <f>VLOOKUP($A24,Tbl_Glob_ParEnt,D$1,FALSE)</f>
        <v>0.05</v>
      </c>
      <c r="E24" s="315">
        <f>VLOOKUP($A24,Tbl_Glob_ParEnt,E$1,FALSE)</f>
        <v>0</v>
      </c>
      <c r="F24" s="315">
        <f>VLOOKUP($A24,Tbl_Glob_ParEnt,F$1,FALSE)</f>
        <v>0.155</v>
      </c>
      <c r="G24" s="315">
        <f>VLOOKUP($A24,Tbl_Glob_ParEnt,G$1,FALSE)</f>
        <v>0</v>
      </c>
      <c r="H24" s="315">
        <f>VLOOKUP($A24,Tbl_Glob_ParEnt,H$1,FALSE)</f>
        <v>0</v>
      </c>
      <c r="I24" s="315">
        <f>VLOOKUP($A24,Tbl_Glob_ParEnt,I$1,FALSE)</f>
        <v>0</v>
      </c>
      <c r="J24" s="315">
        <f>VLOOKUP($A24,Tbl_Glob_ParEnt,J$1,FALSE)</f>
        <v>0</v>
      </c>
      <c r="K24" s="315">
        <f>VLOOKUP($A24,Tbl_Glob_ParEnt,K$1,FALSE)</f>
        <v>0</v>
      </c>
      <c r="L24" s="315">
        <f>VLOOKUP($A24,Tbl_Glob_ParEnt,L$1,FALSE)</f>
        <v>0</v>
      </c>
      <c r="M24" s="315">
        <f>VLOOKUP($A24,Tbl_Glob_ParEnt,M$1,FALSE)</f>
        <v>0</v>
      </c>
    </row>
    <row r="25" spans="1:13" x14ac:dyDescent="0.2">
      <c r="A25" s="315" t="s">
        <v>309</v>
      </c>
      <c r="B25" s="315">
        <f>VLOOKUP($A25,Tbl_Glob_ParEnt,B$1,FALSE)</f>
        <v>0</v>
      </c>
      <c r="C25" s="315">
        <f>VLOOKUP($A25,Tbl_Glob_ParEnt,C$1,FALSE)</f>
        <v>0</v>
      </c>
      <c r="D25" s="315">
        <f>VLOOKUP($A25,Tbl_Glob_ParEnt,D$1,FALSE)</f>
        <v>0</v>
      </c>
      <c r="E25" s="315">
        <f>VLOOKUP($A25,Tbl_Glob_ParEnt,E$1,FALSE)</f>
        <v>0</v>
      </c>
      <c r="F25" s="315">
        <f>VLOOKUP($A25,Tbl_Glob_ParEnt,F$1,FALSE)</f>
        <v>0.155</v>
      </c>
      <c r="G25" s="315">
        <f>VLOOKUP($A25,Tbl_Glob_ParEnt,G$1,FALSE)</f>
        <v>0</v>
      </c>
      <c r="H25" s="315">
        <f>VLOOKUP($A25,Tbl_Glob_ParEnt,H$1,FALSE)</f>
        <v>0</v>
      </c>
      <c r="I25" s="315">
        <f>VLOOKUP($A25,Tbl_Glob_ParEnt,I$1,FALSE)</f>
        <v>0</v>
      </c>
      <c r="J25" s="315">
        <f>VLOOKUP($A25,Tbl_Glob_ParEnt,J$1,FALSE)</f>
        <v>0</v>
      </c>
      <c r="K25" s="315">
        <f>VLOOKUP($A25,Tbl_Glob_ParEnt,K$1,FALSE)</f>
        <v>0</v>
      </c>
      <c r="L25" s="315">
        <f>VLOOKUP($A25,Tbl_Glob_ParEnt,L$1,FALSE)</f>
        <v>0</v>
      </c>
      <c r="M25" s="315">
        <f>VLOOKUP($A25,Tbl_Glob_ParEnt,M$1,FALSE)</f>
        <v>0</v>
      </c>
    </row>
    <row r="26" spans="1:13" x14ac:dyDescent="0.2">
      <c r="A26" s="6" t="s">
        <v>459</v>
      </c>
      <c r="B26" s="315">
        <f>VLOOKUP($A26,Tbl_Glob_ParEnt,B$1,FALSE)</f>
        <v>0</v>
      </c>
      <c r="C26" s="315">
        <f>VLOOKUP($A26,Tbl_Glob_ParEnt,C$1,FALSE)</f>
        <v>0</v>
      </c>
      <c r="D26" s="315">
        <f>VLOOKUP($A26,Tbl_Glob_ParEnt,D$1,FALSE)</f>
        <v>0</v>
      </c>
      <c r="E26" s="315">
        <f>VLOOKUP($A26,Tbl_Glob_ParEnt,E$1,FALSE)</f>
        <v>0</v>
      </c>
      <c r="F26" s="315">
        <f>VLOOKUP($A26,Tbl_Glob_ParEnt,F$1,FALSE)</f>
        <v>0.13100000000000001</v>
      </c>
      <c r="G26" s="315">
        <f>VLOOKUP($A26,Tbl_Glob_ParEnt,G$1,FALSE)</f>
        <v>5.4000000000000003E-3</v>
      </c>
      <c r="H26" s="315">
        <f>VLOOKUP($A26,Tbl_Glob_ParEnt,H$1,FALSE)</f>
        <v>0</v>
      </c>
      <c r="I26" s="315">
        <f>VLOOKUP($A26,Tbl_Glob_ParEnt,I$1,FALSE)</f>
        <v>0</v>
      </c>
      <c r="J26" s="315">
        <f>VLOOKUP($A26,Tbl_Glob_ParEnt,J$1,FALSE)</f>
        <v>0</v>
      </c>
      <c r="K26" s="315">
        <f>VLOOKUP($A26,Tbl_Glob_ParEnt,K$1,FALSE)</f>
        <v>0</v>
      </c>
      <c r="L26" s="315">
        <f>VLOOKUP($A26,Tbl_Glob_ParEnt,L$1,FALSE)</f>
        <v>0</v>
      </c>
      <c r="M26" s="315">
        <f>VLOOKUP($A26,Tbl_Glob_ParEnt,M$1,FALSE)</f>
        <v>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Ent">
    <tabColor rgb="FFFFC000"/>
  </sheetPr>
  <dimension ref="A1:Q56"/>
  <sheetViews>
    <sheetView zoomScale="85" zoomScaleNormal="85" workbookViewId="0">
      <selection activeCell="D48" sqref="D48"/>
    </sheetView>
  </sheetViews>
  <sheetFormatPr defaultColWidth="9.140625" defaultRowHeight="12.75" x14ac:dyDescent="0.2"/>
  <cols>
    <col min="1" max="1" width="22.140625" style="339" bestFit="1" customWidth="1"/>
    <col min="2" max="2" width="8.5703125" style="339" customWidth="1"/>
    <col min="3" max="3" width="9.140625" style="339"/>
    <col min="4" max="5" width="32.85546875" style="339" customWidth="1"/>
    <col min="6" max="16384" width="9.140625" style="339"/>
  </cols>
  <sheetData>
    <row r="1" spans="1:17" x14ac:dyDescent="0.2">
      <c r="A1" s="980" t="s">
        <v>211</v>
      </c>
      <c r="B1" s="980"/>
      <c r="E1" s="339">
        <v>1</v>
      </c>
      <c r="F1" s="339">
        <v>2</v>
      </c>
      <c r="G1" s="339">
        <v>3</v>
      </c>
      <c r="H1" s="339">
        <v>4</v>
      </c>
      <c r="I1" s="339">
        <v>5</v>
      </c>
      <c r="J1" s="339">
        <v>6</v>
      </c>
      <c r="K1" s="339">
        <v>7</v>
      </c>
      <c r="L1" s="339">
        <v>8</v>
      </c>
      <c r="M1" s="339">
        <v>9</v>
      </c>
      <c r="N1" s="339">
        <v>10</v>
      </c>
      <c r="O1" s="339">
        <v>11</v>
      </c>
      <c r="P1" s="339">
        <v>12</v>
      </c>
      <c r="Q1" s="339">
        <v>13</v>
      </c>
    </row>
    <row r="2" spans="1:17" x14ac:dyDescent="0.2">
      <c r="A2" s="150" t="s">
        <v>511</v>
      </c>
      <c r="B2" s="150"/>
      <c r="C2" s="981" t="s">
        <v>5413</v>
      </c>
      <c r="D2" s="981"/>
      <c r="F2" s="339" t="s">
        <v>234</v>
      </c>
      <c r="G2" s="339" t="s">
        <v>196</v>
      </c>
      <c r="H2" s="339" t="s">
        <v>235</v>
      </c>
      <c r="I2" s="339" t="s">
        <v>197</v>
      </c>
      <c r="J2" s="339" t="s">
        <v>229</v>
      </c>
      <c r="K2" s="339" t="s">
        <v>230</v>
      </c>
      <c r="L2" s="339" t="s">
        <v>231</v>
      </c>
      <c r="M2" s="339" t="s">
        <v>236</v>
      </c>
      <c r="N2" s="339" t="s">
        <v>232</v>
      </c>
      <c r="O2" s="339" t="s">
        <v>948</v>
      </c>
      <c r="P2" s="339" t="s">
        <v>949</v>
      </c>
      <c r="Q2" s="339" t="s">
        <v>603</v>
      </c>
    </row>
    <row r="3" spans="1:17" x14ac:dyDescent="0.2">
      <c r="A3" s="150" t="s">
        <v>512</v>
      </c>
      <c r="B3" s="150"/>
      <c r="D3" s="339" t="s">
        <v>5423</v>
      </c>
      <c r="F3" s="339" t="str">
        <f>VLOOKUP(F$2,Tbl_Glob_Conversie,3,FALSE)</f>
        <v>kcal</v>
      </c>
      <c r="G3" s="339" t="str">
        <f>VLOOKUP(G$2,Tbl_Glob_Conversie,3,FALSE)</f>
        <v>gram</v>
      </c>
      <c r="H3" s="339" t="str">
        <f>VLOOKUP(H$2,Tbl_Glob_Conversie,3,FALSE)</f>
        <v>gram</v>
      </c>
      <c r="I3" s="339" t="str">
        <f>VLOOKUP(I$2,Tbl_Glob_Conversie,3,FALSE)</f>
        <v>gram</v>
      </c>
      <c r="J3" s="339" t="str">
        <f>VLOOKUP(J$2,Tbl_Glob_Conversie,3,FALSE)</f>
        <v>mmol</v>
      </c>
      <c r="K3" s="339" t="str">
        <f>VLOOKUP(K$2,Tbl_Glob_Conversie,3,FALSE)</f>
        <v>mmol</v>
      </c>
      <c r="L3" s="339" t="str">
        <f>VLOOKUP(L$2,Tbl_Glob_Conversie,3,FALSE)</f>
        <v>mmol</v>
      </c>
      <c r="M3" s="339" t="str">
        <f>VLOOKUP(M$2,Tbl_Glob_Conversie,3,FALSE)</f>
        <v>mmol</v>
      </c>
      <c r="N3" s="339" t="str">
        <f>VLOOKUP(N$2,Tbl_Glob_Conversie,3,FALSE)</f>
        <v>mmol</v>
      </c>
      <c r="O3" s="339" t="str">
        <f>VLOOKUP(O$2,Tbl_Glob_Conversie,3,FALSE)</f>
        <v>mmol</v>
      </c>
      <c r="P3" s="339" t="str">
        <f>VLOOKUP(P$2,Tbl_Glob_Conversie,3,FALSE)</f>
        <v>IE</v>
      </c>
      <c r="Q3" s="339" t="str">
        <f>VLOOKUP(Q$2,Tbl_Glob_Conversie,3,FALSE)</f>
        <v>mmol</v>
      </c>
    </row>
    <row r="4" spans="1:17" x14ac:dyDescent="0.2">
      <c r="A4" s="150" t="s">
        <v>513</v>
      </c>
      <c r="B4" s="150"/>
    </row>
    <row r="5" spans="1:17" x14ac:dyDescent="0.2">
      <c r="A5" s="150" t="s">
        <v>514</v>
      </c>
      <c r="B5" s="150"/>
      <c r="C5" s="339" t="s">
        <v>951</v>
      </c>
      <c r="D5" s="339" t="str">
        <f>IF(ISBLANK(C5),E5,C5&amp;": "&amp;E5)</f>
        <v>&lt;10 kg: MM</v>
      </c>
      <c r="E5" s="339" t="s">
        <v>165</v>
      </c>
      <c r="F5" s="339">
        <f>VLOOKUP($E5,Tbl_Glob_BerVoeding,F$1,FALSE)</f>
        <v>0.68</v>
      </c>
      <c r="G5" s="339">
        <f>VLOOKUP($E5,Tbl_Glob_BerVoeding,G$1,FALSE)</f>
        <v>0.01</v>
      </c>
      <c r="H5" s="339">
        <f>VLOOKUP($E5,Tbl_Glob_BerVoeding,H$1,FALSE)</f>
        <v>7.0000000000000007E-2</v>
      </c>
      <c r="I5" s="339">
        <f>VLOOKUP($E5,Tbl_Glob_BerVoeding,I$1,FALSE)</f>
        <v>0.04</v>
      </c>
      <c r="J5" s="339">
        <f>VLOOKUP($E5,Tbl_Glob_BerVoeding,J$1,FALSE)</f>
        <v>8.6956000000000012E-3</v>
      </c>
      <c r="K5" s="339">
        <f>VLOOKUP($E5,Tbl_Glob_BerVoeding,K$1,FALSE)</f>
        <v>1.2820500000000002E-2</v>
      </c>
      <c r="L5" s="339">
        <f>VLOOKUP($E5,Tbl_Glob_BerVoeding,L$1,FALSE)</f>
        <v>7.4700000000000001E-3</v>
      </c>
      <c r="M5" s="339">
        <f>VLOOKUP($E5,Tbl_Glob_BerVoeding,M$1,FALSE)</f>
        <v>4.8433499999999997E-3</v>
      </c>
      <c r="N5" s="339">
        <f>VLOOKUP($E5,Tbl_Glob_BerVoeding,N$1,FALSE)</f>
        <v>1.23423E-3</v>
      </c>
      <c r="O5" s="339">
        <f>VLOOKUP($E5,Tbl_Glob_BerVoeding,O$1,FALSE)</f>
        <v>1.7899999999999998E-5</v>
      </c>
      <c r="P5" s="339">
        <f>VLOOKUP($E5,Tbl_Glob_BerVoeding,P$1,FALSE)</f>
        <v>0</v>
      </c>
      <c r="Q5" s="339">
        <f>VLOOKUP($E5,Tbl_Glob_BerVoeding,Q$1,FALSE)</f>
        <v>1.212858E-2</v>
      </c>
    </row>
    <row r="6" spans="1:17" x14ac:dyDescent="0.2">
      <c r="A6" s="150" t="s">
        <v>1103</v>
      </c>
      <c r="B6" s="150"/>
      <c r="C6" s="339" t="s">
        <v>952</v>
      </c>
      <c r="D6" s="339" t="str">
        <f>IF(ISBLANK(C6),E6,C6&amp;": "&amp;E6)</f>
        <v>&lt;3,5 kg: Nutrilon Nenatal Start</v>
      </c>
      <c r="E6" s="339" t="s">
        <v>953</v>
      </c>
      <c r="F6" s="339">
        <f>VLOOKUP($E6,Tbl_Glob_BerVoeding,F$1,FALSE)</f>
        <v>0.8</v>
      </c>
      <c r="G6" s="339">
        <f>VLOOKUP($E6,Tbl_Glob_BerVoeding,G$1,FALSE)</f>
        <v>2.6000000000000002E-2</v>
      </c>
      <c r="H6" s="339">
        <f>VLOOKUP($E6,Tbl_Glob_BerVoeding,H$1,FALSE)</f>
        <v>8.4000000000000005E-2</v>
      </c>
      <c r="I6" s="339">
        <f>VLOOKUP($E6,Tbl_Glob_BerVoeding,I$1,FALSE)</f>
        <v>3.9E-2</v>
      </c>
      <c r="J6" s="339">
        <f>VLOOKUP($E6,Tbl_Glob_BerVoeding,J$1,FALSE)</f>
        <v>3.0434599999999999E-2</v>
      </c>
      <c r="K6" s="339">
        <f>VLOOKUP($E6,Tbl_Glob_BerVoeding,K$1,FALSE)</f>
        <v>2.0512800000000001E-2</v>
      </c>
      <c r="L6" s="339">
        <f>VLOOKUP($E6,Tbl_Glob_BerVoeding,L$1,FALSE)</f>
        <v>2.4899999999999999E-2</v>
      </c>
      <c r="M6" s="339">
        <f>VLOOKUP($E6,Tbl_Glob_BerVoeding,M$1,FALSE)</f>
        <v>1.8081839999999998E-2</v>
      </c>
      <c r="N6" s="339">
        <f>VLOOKUP($E6,Tbl_Glob_BerVoeding,N$1,FALSE)</f>
        <v>3.2912799999999997E-3</v>
      </c>
      <c r="O6" s="339">
        <f>VLOOKUP($E6,Tbl_Glob_BerVoeding,O$1,FALSE)</f>
        <v>2.8639999999999997E-4</v>
      </c>
      <c r="P6" s="339">
        <f>VLOOKUP($E6,Tbl_Glob_BerVoeding,P$1,FALSE)</f>
        <v>1.2</v>
      </c>
      <c r="Q6" s="339">
        <f>VLOOKUP($E6,Tbl_Glob_BerVoeding,Q$1,FALSE)</f>
        <v>2.3975099999999999E-2</v>
      </c>
    </row>
    <row r="7" spans="1:17" x14ac:dyDescent="0.2">
      <c r="C7" s="339" t="s">
        <v>952</v>
      </c>
      <c r="D7" s="339" t="str">
        <f>IF(ISBLANK(C7),E7,C7&amp;": "&amp;E7)</f>
        <v>&lt;3,5 kg: Nutrilon Nenatal 1</v>
      </c>
      <c r="E7" s="486" t="s">
        <v>954</v>
      </c>
      <c r="F7" s="339">
        <f>VLOOKUP($E7,Tbl_Glob_BerVoeding,F$1,FALSE)</f>
        <v>0.75</v>
      </c>
      <c r="G7" s="339">
        <f>VLOOKUP($E7,Tbl_Glob_BerVoeding,G$1,FALSE)</f>
        <v>0.02</v>
      </c>
      <c r="H7" s="339">
        <f>VLOOKUP($E7,Tbl_Glob_BerVoeding,H$1,FALSE)</f>
        <v>7.4999999999999997E-2</v>
      </c>
      <c r="I7" s="339">
        <f>VLOOKUP($E7,Tbl_Glob_BerVoeding,I$1,FALSE)</f>
        <v>0.04</v>
      </c>
      <c r="J7" s="339">
        <f>VLOOKUP($E7,Tbl_Glob_BerVoeding,J$1,FALSE)</f>
        <v>1.217384E-2</v>
      </c>
      <c r="K7" s="339">
        <f>VLOOKUP($E7,Tbl_Glob_BerVoeding,K$1,FALSE)</f>
        <v>1.9743570000000002E-2</v>
      </c>
      <c r="L7" s="339">
        <f>VLOOKUP($E7,Tbl_Glob_BerVoeding,L$1,FALSE)</f>
        <v>2.1662999999999998E-2</v>
      </c>
      <c r="M7" s="339">
        <f>VLOOKUP($E7,Tbl_Glob_BerVoeding,M$1,FALSE)</f>
        <v>1.517583E-2</v>
      </c>
      <c r="N7" s="339">
        <f>VLOOKUP($E7,Tbl_Glob_BerVoeding,N$1,FALSE)</f>
        <v>2.8798700000000001E-3</v>
      </c>
      <c r="O7" s="339">
        <f>VLOOKUP($E7,Tbl_Glob_BerVoeding,O$1,FALSE)</f>
        <v>2.1479999999999999E-4</v>
      </c>
      <c r="P7" s="339">
        <f>VLOOKUP($E7,Tbl_Glob_BerVoeding,P$1,FALSE)</f>
        <v>0.68</v>
      </c>
      <c r="Q7" s="339">
        <f>VLOOKUP($E7,Tbl_Glob_BerVoeding,Q$1,FALSE)</f>
        <v>1.5513299999999999E-2</v>
      </c>
    </row>
    <row r="8" spans="1:17" x14ac:dyDescent="0.2">
      <c r="D8" s="339" t="str">
        <f>IF(ISBLANK(C8),E8,C8&amp;": "&amp;E8)</f>
        <v>Nutrilon Hypoallergeen 1</v>
      </c>
      <c r="E8" s="982" t="s">
        <v>955</v>
      </c>
      <c r="F8" s="339">
        <f>VLOOKUP($E8,Tbl_Glob_BerVoeding,F$1,FALSE)</f>
        <v>0.66</v>
      </c>
      <c r="G8" s="339">
        <f>VLOOKUP($E8,Tbl_Glob_BerVoeding,G$1,FALSE)</f>
        <v>1.4999999999999999E-2</v>
      </c>
      <c r="H8" s="339">
        <f>VLOOKUP($E8,Tbl_Glob_BerVoeding,H$1,FALSE)</f>
        <v>7.2000000000000008E-2</v>
      </c>
      <c r="I8" s="339">
        <f>VLOOKUP($E8,Tbl_Glob_BerVoeding,I$1,FALSE)</f>
        <v>3.4000000000000002E-2</v>
      </c>
      <c r="J8" s="339">
        <f>VLOOKUP($E8,Tbl_Glob_BerVoeding,J$1,FALSE)</f>
        <v>1.0869500000000001E-2</v>
      </c>
      <c r="K8" s="339">
        <f>VLOOKUP($E8,Tbl_Glob_BerVoeding,K$1,FALSE)</f>
        <v>1.8717930000000001E-2</v>
      </c>
      <c r="L8" s="339">
        <f>VLOOKUP($E8,Tbl_Glob_BerVoeding,L$1,FALSE)</f>
        <v>1.1453999999999999E-2</v>
      </c>
      <c r="M8" s="339">
        <f>VLOOKUP($E8,Tbl_Glob_BerVoeding,M$1,FALSE)</f>
        <v>8.3951400000000006E-3</v>
      </c>
      <c r="N8" s="339">
        <f>VLOOKUP($E8,Tbl_Glob_BerVoeding,N$1,FALSE)</f>
        <v>2.0981909999999997E-3</v>
      </c>
      <c r="O8" s="339">
        <f>VLOOKUP($E8,Tbl_Glob_BerVoeding,O$1,FALSE)</f>
        <v>9.4870000000000005E-5</v>
      </c>
      <c r="P8" s="339">
        <f>VLOOKUP($E8,Tbl_Glob_BerVoeding,P$1,FALSE)</f>
        <v>0.48</v>
      </c>
      <c r="Q8" s="339">
        <f>VLOOKUP($E8,Tbl_Glob_BerVoeding,Q$1,FALSE)</f>
        <v>1.1564459999999999E-2</v>
      </c>
    </row>
    <row r="9" spans="1:17" x14ac:dyDescent="0.2">
      <c r="C9" s="339" t="s">
        <v>499</v>
      </c>
      <c r="D9" s="339" t="str">
        <f>IF(ISBLANK(C9),E9,C9&amp;": "&amp;E9)</f>
        <v>3,5-10 kg: Nutrilon Standaard 1</v>
      </c>
      <c r="E9" s="339" t="s">
        <v>608</v>
      </c>
      <c r="F9" s="339">
        <f>VLOOKUP($E9,Tbl_Glob_BerVoeding,F$1,FALSE)</f>
        <v>0.66</v>
      </c>
      <c r="G9" s="339">
        <f>VLOOKUP($E9,Tbl_Glob_BerVoeding,G$1,FALSE)</f>
        <v>1.3000000000000001E-2</v>
      </c>
      <c r="H9" s="339">
        <f>VLOOKUP($E9,Tbl_Glob_BerVoeding,H$1,FALSE)</f>
        <v>7.2999999999999995E-2</v>
      </c>
      <c r="I9" s="339">
        <f>VLOOKUP($E9,Tbl_Glob_BerVoeding,I$1,FALSE)</f>
        <v>3.4000000000000002E-2</v>
      </c>
      <c r="J9" s="339">
        <f>VLOOKUP($E9,Tbl_Glob_BerVoeding,J$1,FALSE)</f>
        <v>7.3912600000000002E-3</v>
      </c>
      <c r="K9" s="339">
        <f>VLOOKUP($E9,Tbl_Glob_BerVoeding,K$1,FALSE)</f>
        <v>1.7435880000000001E-2</v>
      </c>
      <c r="L9" s="339">
        <f>VLOOKUP($E9,Tbl_Glob_BerVoeding,L$1,FALSE)</f>
        <v>1.4193000000000001E-2</v>
      </c>
      <c r="M9" s="339">
        <f>VLOOKUP($E9,Tbl_Glob_BerVoeding,M$1,FALSE)</f>
        <v>1.033248E-2</v>
      </c>
      <c r="N9" s="339">
        <f>VLOOKUP($E9,Tbl_Glob_BerVoeding,N$1,FALSE)</f>
        <v>2.0981909999999997E-3</v>
      </c>
      <c r="O9" s="339">
        <f>VLOOKUP($E9,Tbl_Glob_BerVoeding,O$1,FALSE)</f>
        <v>6.981E-4</v>
      </c>
      <c r="P9" s="339">
        <f>VLOOKUP($E9,Tbl_Glob_BerVoeding,P$1,FALSE)</f>
        <v>3.48</v>
      </c>
      <c r="Q9" s="339">
        <f>VLOOKUP($E9,Tbl_Glob_BerVoeding,Q$1,FALSE)</f>
        <v>1.1846520000000001E-2</v>
      </c>
    </row>
    <row r="10" spans="1:17" x14ac:dyDescent="0.2">
      <c r="C10" s="981" t="s">
        <v>499</v>
      </c>
      <c r="D10" s="339" t="str">
        <f>IF(ISBLANK(C10),E10,C10&amp;": "&amp;E10)</f>
        <v>3,5-10 kg: Nutrilon Standaard 2</v>
      </c>
      <c r="E10" s="339" t="s">
        <v>1018</v>
      </c>
      <c r="F10" s="339">
        <f>VLOOKUP($E10,Tbl_Glob_BerVoeding,F$1,FALSE)</f>
        <v>0.68</v>
      </c>
      <c r="G10" s="339">
        <f>VLOOKUP($E10,Tbl_Glob_BerVoeding,G$1,FALSE)</f>
        <v>1.3999999999999999E-2</v>
      </c>
      <c r="H10" s="339">
        <f>VLOOKUP($E10,Tbl_Glob_BerVoeding,H$1,FALSE)</f>
        <v>8.5999999999999993E-2</v>
      </c>
      <c r="I10" s="339">
        <f>VLOOKUP($E10,Tbl_Glob_BerVoeding,I$1,FALSE)</f>
        <v>0.03</v>
      </c>
      <c r="J10" s="339">
        <f>VLOOKUP($E10,Tbl_Glob_BerVoeding,J$1,FALSE)</f>
        <v>9.9999400000000006E-3</v>
      </c>
      <c r="K10" s="339">
        <f>VLOOKUP($E10,Tbl_Glob_BerVoeding,K$1,FALSE)</f>
        <v>1.8974339999999999E-2</v>
      </c>
      <c r="L10" s="339">
        <f>VLOOKUP($E10,Tbl_Glob_BerVoeding,L$1,FALSE)</f>
        <v>1.6184999999999998E-2</v>
      </c>
      <c r="M10" s="339">
        <f>VLOOKUP($E10,Tbl_Glob_BerVoeding,M$1,FALSE)</f>
        <v>1.162404E-2</v>
      </c>
      <c r="N10" s="339">
        <f>VLOOKUP($E10,Tbl_Glob_BerVoeding,N$1,FALSE)</f>
        <v>1.974768E-3</v>
      </c>
      <c r="O10" s="339">
        <f>VLOOKUP($E10,Tbl_Glob_BerVoeding,O$1,FALSE)</f>
        <v>1.253E-3</v>
      </c>
      <c r="P10" s="339">
        <f>VLOOKUP($E10,Tbl_Glob_BerVoeding,P$1,FALSE)</f>
        <v>0.56000000000000005</v>
      </c>
      <c r="Q10" s="339">
        <f>VLOOKUP($E10,Tbl_Glob_BerVoeding,Q$1,FALSE)</f>
        <v>1.3256820000000001E-2</v>
      </c>
    </row>
    <row r="11" spans="1:17" x14ac:dyDescent="0.2">
      <c r="C11" s="339" t="s">
        <v>951</v>
      </c>
      <c r="D11" s="339" t="str">
        <f>IF(ISBLANK(C11),E11,C11&amp;": "&amp;E11)</f>
        <v>&lt;10 kg: Infatrini</v>
      </c>
      <c r="E11" s="339" t="s">
        <v>17</v>
      </c>
      <c r="F11" s="339">
        <f>VLOOKUP($E11,Tbl_Glob_BerVoeding,F$1,FALSE)</f>
        <v>1</v>
      </c>
      <c r="G11" s="339">
        <f>VLOOKUP($E11,Tbl_Glob_BerVoeding,G$1,FALSE)</f>
        <v>2.6000000000000002E-2</v>
      </c>
      <c r="H11" s="339">
        <f>VLOOKUP($E11,Tbl_Glob_BerVoeding,H$1,FALSE)</f>
        <v>0.10300000000000001</v>
      </c>
      <c r="I11" s="339">
        <f>VLOOKUP($E11,Tbl_Glob_BerVoeding,I$1,FALSE)</f>
        <v>5.4000000000000006E-2</v>
      </c>
      <c r="J11" s="339">
        <f>VLOOKUP($E11,Tbl_Glob_BerVoeding,J$1,FALSE)</f>
        <v>1.6086860000000001E-2</v>
      </c>
      <c r="K11" s="339">
        <f>VLOOKUP($E11,Tbl_Glob_BerVoeding,K$1,FALSE)</f>
        <v>2.4358950000000001E-2</v>
      </c>
      <c r="L11" s="339">
        <f>VLOOKUP($E11,Tbl_Glob_BerVoeding,L$1,FALSE)</f>
        <v>2.4899999999999999E-2</v>
      </c>
      <c r="M11" s="339">
        <f>VLOOKUP($E11,Tbl_Glob_BerVoeding,M$1,FALSE)</f>
        <v>1.6144499999999999E-2</v>
      </c>
      <c r="N11" s="339">
        <f>VLOOKUP($E11,Tbl_Glob_BerVoeding,N$1,FALSE)</f>
        <v>3.7026899999999998E-3</v>
      </c>
      <c r="O11" s="339">
        <f>VLOOKUP($E11,Tbl_Glob_BerVoeding,O$1,FALSE)</f>
        <v>2.1479999999999999E-4</v>
      </c>
      <c r="P11" s="339">
        <f>VLOOKUP($E11,Tbl_Glob_BerVoeding,P$1,FALSE)</f>
        <v>0.76</v>
      </c>
      <c r="Q11" s="339">
        <f>VLOOKUP($E11,Tbl_Glob_BerVoeding,Q$1,FALSE)</f>
        <v>1.7487719999999998E-2</v>
      </c>
    </row>
    <row r="12" spans="1:17" x14ac:dyDescent="0.2">
      <c r="C12" s="339" t="s">
        <v>951</v>
      </c>
      <c r="D12" s="339" t="str">
        <f>IF(ISBLANK(C12),E12,C12&amp;": "&amp;E12)</f>
        <v>&lt;10 kg: Infatrini Peptisorb</v>
      </c>
      <c r="E12" s="339" t="s">
        <v>1040</v>
      </c>
      <c r="F12" s="339">
        <f>VLOOKUP($E12,Tbl_Glob_BerVoeding,F$1,FALSE)</f>
        <v>1</v>
      </c>
      <c r="G12" s="339">
        <f>VLOOKUP($E12,Tbl_Glob_BerVoeding,G$1,FALSE)</f>
        <v>2.6000000000000002E-2</v>
      </c>
      <c r="H12" s="339">
        <f>VLOOKUP($E12,Tbl_Glob_BerVoeding,H$1,FALSE)</f>
        <v>0.10300000000000001</v>
      </c>
      <c r="I12" s="339">
        <f>VLOOKUP($E12,Tbl_Glob_BerVoeding,I$1,FALSE)</f>
        <v>5.4000000000000006E-2</v>
      </c>
      <c r="J12" s="339">
        <f>VLOOKUP($E12,Tbl_Glob_BerVoeding,J$1,FALSE)</f>
        <v>1.391296E-2</v>
      </c>
      <c r="K12" s="339">
        <f>VLOOKUP($E12,Tbl_Glob_BerVoeding,K$1,FALSE)</f>
        <v>2.769228E-2</v>
      </c>
      <c r="L12" s="339">
        <f>VLOOKUP($E12,Tbl_Glob_BerVoeding,L$1,FALSE)</f>
        <v>1.992E-2</v>
      </c>
      <c r="M12" s="339">
        <f>VLOOKUP($E12,Tbl_Glob_BerVoeding,M$1,FALSE)</f>
        <v>1.2915600000000001E-2</v>
      </c>
      <c r="N12" s="339">
        <f>VLOOKUP($E12,Tbl_Glob_BerVoeding,N$1,FALSE)</f>
        <v>3.2912799999999997E-3</v>
      </c>
      <c r="O12" s="339">
        <f>VLOOKUP($E12,Tbl_Glob_BerVoeding,O$1,FALSE)</f>
        <v>1.7899999999999999E-4</v>
      </c>
      <c r="P12" s="339">
        <f>VLOOKUP($E12,Tbl_Glob_BerVoeding,P$1,FALSE)</f>
        <v>0.68</v>
      </c>
      <c r="Q12" s="339">
        <f>VLOOKUP($E12,Tbl_Glob_BerVoeding,Q$1,FALSE)</f>
        <v>1.805184E-2</v>
      </c>
    </row>
    <row r="13" spans="1:17" x14ac:dyDescent="0.2">
      <c r="C13" s="339" t="s">
        <v>951</v>
      </c>
      <c r="D13" s="339" t="str">
        <f>IF(ISBLANK(C13),E13,C13&amp;": "&amp;E13)</f>
        <v>&lt;10 kg: Nutrilon Pepti 1</v>
      </c>
      <c r="E13" s="339" t="s">
        <v>1031</v>
      </c>
      <c r="F13" s="339">
        <f>VLOOKUP($E13,Tbl_Glob_BerVoeding,F$1,FALSE)</f>
        <v>0.67</v>
      </c>
      <c r="G13" s="339">
        <f>VLOOKUP($E13,Tbl_Glob_BerVoeding,G$1,FALSE)</f>
        <v>1.6E-2</v>
      </c>
      <c r="H13" s="339">
        <f>VLOOKUP($E13,Tbl_Glob_BerVoeding,H$1,FALSE)</f>
        <v>7.0000000000000007E-2</v>
      </c>
      <c r="I13" s="339">
        <f>VLOOKUP($E13,Tbl_Glob_BerVoeding,I$1,FALSE)</f>
        <v>3.5000000000000003E-2</v>
      </c>
      <c r="J13" s="339">
        <f>VLOOKUP($E13,Tbl_Glob_BerVoeding,J$1,FALSE)</f>
        <v>8.6956000000000012E-3</v>
      </c>
      <c r="K13" s="339">
        <f>VLOOKUP($E13,Tbl_Glob_BerVoeding,K$1,FALSE)</f>
        <v>2.076921E-2</v>
      </c>
      <c r="L13" s="339">
        <f>VLOOKUP($E13,Tbl_Glob_BerVoeding,L$1,FALSE)</f>
        <v>1.1702999999999998E-2</v>
      </c>
      <c r="M13" s="339">
        <f>VLOOKUP($E13,Tbl_Glob_BerVoeding,M$1,FALSE)</f>
        <v>8.3951400000000006E-3</v>
      </c>
      <c r="N13" s="339">
        <f>VLOOKUP($E13,Tbl_Glob_BerVoeding,N$1,FALSE)</f>
        <v>2.1804729999999996E-3</v>
      </c>
      <c r="O13" s="339">
        <f>VLOOKUP($E13,Tbl_Glob_BerVoeding,O$1,FALSE)</f>
        <v>9.4870000000000005E-5</v>
      </c>
      <c r="P13" s="339">
        <f>VLOOKUP($E13,Tbl_Glob_BerVoeding,P$1,FALSE)</f>
        <v>0.52</v>
      </c>
      <c r="Q13" s="339">
        <f>VLOOKUP($E13,Tbl_Glob_BerVoeding,Q$1,FALSE)</f>
        <v>1.12824E-2</v>
      </c>
    </row>
    <row r="14" spans="1:17" x14ac:dyDescent="0.2">
      <c r="C14" s="339" t="s">
        <v>501</v>
      </c>
      <c r="D14" s="339" t="str">
        <f>IF(ISBLANK(C14),E14,C14&amp;": "&amp;E14)</f>
        <v>10-20 kg: Nutrini Multi Fibre</v>
      </c>
      <c r="E14" s="339" t="s">
        <v>502</v>
      </c>
      <c r="F14" s="339">
        <f>VLOOKUP($E14,Tbl_Glob_BerVoeding,F$1,FALSE)</f>
        <v>1.01</v>
      </c>
      <c r="G14" s="339">
        <f>VLOOKUP($E14,Tbl_Glob_BerVoeding,G$1,FALSE)</f>
        <v>2.7000000000000003E-2</v>
      </c>
      <c r="H14" s="339">
        <f>VLOOKUP($E14,Tbl_Glob_BerVoeding,H$1,FALSE)</f>
        <v>0.12300000000000001</v>
      </c>
      <c r="I14" s="339">
        <f>VLOOKUP($E14,Tbl_Glob_BerVoeding,I$1,FALSE)</f>
        <v>4.4000000000000004E-2</v>
      </c>
      <c r="J14" s="339">
        <f>VLOOKUP($E14,Tbl_Glob_BerVoeding,J$1,FALSE)</f>
        <v>2.60868E-2</v>
      </c>
      <c r="K14" s="339">
        <f>VLOOKUP($E14,Tbl_Glob_BerVoeding,K$1,FALSE)</f>
        <v>2.82051E-2</v>
      </c>
      <c r="L14" s="339">
        <f>VLOOKUP($E14,Tbl_Glob_BerVoeding,L$1,FALSE)</f>
        <v>1.494E-2</v>
      </c>
      <c r="M14" s="339">
        <f>VLOOKUP($E14,Tbl_Glob_BerVoeding,M$1,FALSE)</f>
        <v>1.6144499999999999E-2</v>
      </c>
      <c r="N14" s="339">
        <f>VLOOKUP($E14,Tbl_Glob_BerVoeding,N$1,FALSE)</f>
        <v>4.5255099999999999E-3</v>
      </c>
      <c r="O14" s="339">
        <f>VLOOKUP($E14,Tbl_Glob_BerVoeding,O$1,FALSE)</f>
        <v>1.7899999999999999E-4</v>
      </c>
      <c r="P14" s="339">
        <f>VLOOKUP($E14,Tbl_Glob_BerVoeding,P$1,FALSE)</f>
        <v>0.4</v>
      </c>
      <c r="Q14" s="339">
        <f>VLOOKUP($E14,Tbl_Glob_BerVoeding,Q$1,FALSE)</f>
        <v>2.6795699999999999E-2</v>
      </c>
    </row>
    <row r="15" spans="1:17" x14ac:dyDescent="0.2">
      <c r="C15" s="339" t="s">
        <v>501</v>
      </c>
      <c r="D15" s="339" t="str">
        <f>IF(ISBLANK(C15),E15,C15&amp;": "&amp;E15)</f>
        <v>10-20 kg: Nutrini Energy Multi Fibre</v>
      </c>
      <c r="E15" s="339" t="s">
        <v>503</v>
      </c>
      <c r="F15" s="339">
        <f>VLOOKUP($E15,Tbl_Glob_BerVoeding,F$1,FALSE)</f>
        <v>1.51</v>
      </c>
      <c r="G15" s="339">
        <f>VLOOKUP($E15,Tbl_Glob_BerVoeding,G$1,FALSE)</f>
        <v>0.04</v>
      </c>
      <c r="H15" s="339">
        <f>VLOOKUP($E15,Tbl_Glob_BerVoeding,H$1,FALSE)</f>
        <v>0.185</v>
      </c>
      <c r="I15" s="339">
        <f>VLOOKUP($E15,Tbl_Glob_BerVoeding,I$1,FALSE)</f>
        <v>6.7000000000000004E-2</v>
      </c>
      <c r="J15" s="339">
        <f>VLOOKUP($E15,Tbl_Glob_BerVoeding,J$1,FALSE)</f>
        <v>3.9130200000000004E-2</v>
      </c>
      <c r="K15" s="339">
        <f>VLOOKUP($E15,Tbl_Glob_BerVoeding,K$1,FALSE)</f>
        <v>4.2307650000000002E-2</v>
      </c>
      <c r="L15" s="339">
        <f>VLOOKUP($E15,Tbl_Glob_BerVoeding,L$1,FALSE)</f>
        <v>2.2409999999999996E-2</v>
      </c>
      <c r="M15" s="339">
        <f>VLOOKUP($E15,Tbl_Glob_BerVoeding,M$1,FALSE)</f>
        <v>2.4216749999999999E-2</v>
      </c>
      <c r="N15" s="339">
        <f>VLOOKUP($E15,Tbl_Glob_BerVoeding,N$1,FALSE)</f>
        <v>6.9939699999999995E-3</v>
      </c>
      <c r="O15" s="339">
        <f>VLOOKUP($E15,Tbl_Glob_BerVoeding,O$1,FALSE)</f>
        <v>2.6849999999999997E-4</v>
      </c>
      <c r="P15" s="339">
        <f>VLOOKUP($E15,Tbl_Glob_BerVoeding,P$1,FALSE)</f>
        <v>0.6</v>
      </c>
      <c r="Q15" s="339">
        <f>VLOOKUP($E15,Tbl_Glob_BerVoeding,Q$1,FALSE)</f>
        <v>4.0334579999999995E-2</v>
      </c>
    </row>
    <row r="16" spans="1:17" x14ac:dyDescent="0.2">
      <c r="C16" s="339" t="s">
        <v>501</v>
      </c>
      <c r="D16" s="339" t="str">
        <f>IF(ISBLANK(C16),E16,C16&amp;": "&amp;E16)</f>
        <v>10-20 kg: Nutrini Peptisorb</v>
      </c>
      <c r="E16" s="339" t="s">
        <v>1041</v>
      </c>
      <c r="F16" s="339">
        <f>VLOOKUP($E16,Tbl_Glob_BerVoeding,F$1,FALSE)</f>
        <v>1</v>
      </c>
      <c r="G16" s="339">
        <f>VLOOKUP($E16,Tbl_Glob_BerVoeding,G$1,FALSE)</f>
        <v>2.7999999999999997E-2</v>
      </c>
      <c r="H16" s="339">
        <f>VLOOKUP($E16,Tbl_Glob_BerVoeding,H$1,FALSE)</f>
        <v>0.13699999999999998</v>
      </c>
      <c r="I16" s="339">
        <f>VLOOKUP($E16,Tbl_Glob_BerVoeding,I$1,FALSE)</f>
        <v>3.9E-2</v>
      </c>
      <c r="J16" s="339">
        <f>VLOOKUP($E16,Tbl_Glob_BerVoeding,J$1,FALSE)</f>
        <v>2.60868E-2</v>
      </c>
      <c r="K16" s="339">
        <f>VLOOKUP($E16,Tbl_Glob_BerVoeding,K$1,FALSE)</f>
        <v>2.82051E-2</v>
      </c>
      <c r="L16" s="339">
        <f>VLOOKUP($E16,Tbl_Glob_BerVoeding,L$1,FALSE)</f>
        <v>1.494E-2</v>
      </c>
      <c r="M16" s="339">
        <f>VLOOKUP($E16,Tbl_Glob_BerVoeding,M$1,FALSE)</f>
        <v>1.6144499999999999E-2</v>
      </c>
      <c r="N16" s="339">
        <f>VLOOKUP($E16,Tbl_Glob_BerVoeding,N$1,FALSE)</f>
        <v>4.5255099999999999E-3</v>
      </c>
      <c r="O16" s="339">
        <f>VLOOKUP($E16,Tbl_Glob_BerVoeding,O$1,FALSE)</f>
        <v>1.7899999999999999E-4</v>
      </c>
      <c r="P16" s="339">
        <f>VLOOKUP($E16,Tbl_Glob_BerVoeding,P$1,FALSE)</f>
        <v>0.4</v>
      </c>
      <c r="Q16" s="339">
        <f>VLOOKUP($E16,Tbl_Glob_BerVoeding,Q$1,FALSE)</f>
        <v>2.6795699999999999E-2</v>
      </c>
    </row>
    <row r="17" spans="3:17" x14ac:dyDescent="0.2">
      <c r="C17" s="339" t="s">
        <v>501</v>
      </c>
      <c r="D17" s="339" t="str">
        <f>IF(ISBLANK(C17),E17,C17&amp;": "&amp;E17)</f>
        <v>10-20 kg: Nutrilon Pepti 2</v>
      </c>
      <c r="E17" s="339" t="s">
        <v>1054</v>
      </c>
      <c r="F17" s="339">
        <f>VLOOKUP($E17,Tbl_Glob_BerVoeding,F$1,FALSE)</f>
        <v>0.68</v>
      </c>
      <c r="G17" s="339">
        <f>VLOOKUP($E17,Tbl_Glob_BerVoeding,G$1,FALSE)</f>
        <v>1.6E-2</v>
      </c>
      <c r="H17" s="339">
        <f>VLOOKUP($E17,Tbl_Glob_BerVoeding,H$1,FALSE)</f>
        <v>8.1000000000000003E-2</v>
      </c>
      <c r="I17" s="339">
        <f>VLOOKUP($E17,Tbl_Glob_BerVoeding,I$1,FALSE)</f>
        <v>3.1E-2</v>
      </c>
      <c r="J17" s="339">
        <f>VLOOKUP($E17,Tbl_Glob_BerVoeding,J$1,FALSE)</f>
        <v>1.0869500000000001E-2</v>
      </c>
      <c r="K17" s="339">
        <f>VLOOKUP($E17,Tbl_Glob_BerVoeding,K$1,FALSE)</f>
        <v>1.9999980000000001E-2</v>
      </c>
      <c r="L17" s="339">
        <f>VLOOKUP($E17,Tbl_Glob_BerVoeding,L$1,FALSE)</f>
        <v>1.5687E-2</v>
      </c>
      <c r="M17" s="339">
        <f>VLOOKUP($E17,Tbl_Glob_BerVoeding,M$1,FALSE)</f>
        <v>1.194693E-2</v>
      </c>
      <c r="N17" s="339">
        <f>VLOOKUP($E17,Tbl_Glob_BerVoeding,N$1,FALSE)</f>
        <v>2.262755E-3</v>
      </c>
      <c r="O17" s="339">
        <f>VLOOKUP($E17,Tbl_Glob_BerVoeding,O$1,FALSE)</f>
        <v>1.7899999999999999E-4</v>
      </c>
      <c r="P17" s="339">
        <f>VLOOKUP($E17,Tbl_Glob_BerVoeding,P$1,FALSE)</f>
        <v>0.56000000000000005</v>
      </c>
      <c r="Q17" s="339">
        <f>VLOOKUP($E17,Tbl_Glob_BerVoeding,Q$1,FALSE)</f>
        <v>1.1846520000000001E-2</v>
      </c>
    </row>
    <row r="18" spans="3:17" x14ac:dyDescent="0.2">
      <c r="C18" s="339" t="s">
        <v>504</v>
      </c>
      <c r="D18" s="339" t="str">
        <f>IF(ISBLANK(C18),E18,C18&amp;": "&amp;E18)</f>
        <v>20-45 kg: NutriniMax Multi Fibre</v>
      </c>
      <c r="E18" s="339" t="s">
        <v>505</v>
      </c>
      <c r="F18" s="339">
        <f>VLOOKUP($E18,Tbl_Glob_BerVoeding,F$1,FALSE)</f>
        <v>1.02</v>
      </c>
      <c r="G18" s="339">
        <f>VLOOKUP($E18,Tbl_Glob_BerVoeding,G$1,FALSE)</f>
        <v>3.3000000000000002E-2</v>
      </c>
      <c r="H18" s="339">
        <f>VLOOKUP($E18,Tbl_Glob_BerVoeding,H$1,FALSE)</f>
        <v>0.12300000000000001</v>
      </c>
      <c r="I18" s="339">
        <f>VLOOKUP($E18,Tbl_Glob_BerVoeding,I$1,FALSE)</f>
        <v>4.2000000000000003E-2</v>
      </c>
      <c r="J18" s="339">
        <f>VLOOKUP($E18,Tbl_Glob_BerVoeding,J$1,FALSE)</f>
        <v>3.4782400000000005E-2</v>
      </c>
      <c r="K18" s="339">
        <f>VLOOKUP($E18,Tbl_Glob_BerVoeding,K$1,FALSE)</f>
        <v>3.5384579999999999E-2</v>
      </c>
      <c r="L18" s="339">
        <f>VLOOKUP($E18,Tbl_Glob_BerVoeding,L$1,FALSE)</f>
        <v>1.7429999999999998E-2</v>
      </c>
      <c r="M18" s="339">
        <f>VLOOKUP($E18,Tbl_Glob_BerVoeding,M$1,FALSE)</f>
        <v>1.9373399999999999E-2</v>
      </c>
      <c r="N18" s="339">
        <f>VLOOKUP($E18,Tbl_Glob_BerVoeding,N$1,FALSE)</f>
        <v>6.9939699999999995E-3</v>
      </c>
      <c r="O18" s="339">
        <f>VLOOKUP($E18,Tbl_Glob_BerVoeding,O$1,FALSE)</f>
        <v>2.3269999999999999E-4</v>
      </c>
      <c r="P18" s="339">
        <f>VLOOKUP($E18,Tbl_Glob_BerVoeding,P$1,FALSE)</f>
        <v>0.28000000000000003</v>
      </c>
      <c r="Q18" s="339">
        <f>VLOOKUP($E18,Tbl_Glob_BerVoeding,Q$1,FALSE)</f>
        <v>3.5257499999999997E-2</v>
      </c>
    </row>
    <row r="19" spans="3:17" x14ac:dyDescent="0.2">
      <c r="C19" s="339" t="s">
        <v>504</v>
      </c>
      <c r="D19" s="339" t="str">
        <f>IF(ISBLANK(C19),E19,C19&amp;": "&amp;E19)</f>
        <v>20-45 kg: NutriniMax Energy Multi Fibre</v>
      </c>
      <c r="E19" s="339" t="s">
        <v>506</v>
      </c>
      <c r="F19" s="339">
        <f>VLOOKUP($E19,Tbl_Glob_BerVoeding,F$1,FALSE)</f>
        <v>1.52</v>
      </c>
      <c r="G19" s="339">
        <f>VLOOKUP($E19,Tbl_Glob_BerVoeding,G$1,FALSE)</f>
        <v>4.8000000000000001E-2</v>
      </c>
      <c r="H19" s="339">
        <f>VLOOKUP($E19,Tbl_Glob_BerVoeding,H$1,FALSE)</f>
        <v>0.185</v>
      </c>
      <c r="I19" s="339">
        <f>VLOOKUP($E19,Tbl_Glob_BerVoeding,I$1,FALSE)</f>
        <v>6.3E-2</v>
      </c>
      <c r="J19" s="339">
        <f>VLOOKUP($E19,Tbl_Glob_BerVoeding,J$1,FALSE)</f>
        <v>4.6521460000000001E-2</v>
      </c>
      <c r="K19" s="339">
        <f>VLOOKUP($E19,Tbl_Glob_BerVoeding,K$1,FALSE)</f>
        <v>4.769226E-2</v>
      </c>
      <c r="L19" s="339">
        <f>VLOOKUP($E19,Tbl_Glob_BerVoeding,L$1,FALSE)</f>
        <v>2.3654999999999999E-2</v>
      </c>
      <c r="M19" s="339">
        <f>VLOOKUP($E19,Tbl_Glob_BerVoeding,M$1,FALSE)</f>
        <v>2.9060099999999998E-2</v>
      </c>
      <c r="N19" s="339">
        <f>VLOOKUP($E19,Tbl_Glob_BerVoeding,N$1,FALSE)</f>
        <v>1.069666E-2</v>
      </c>
      <c r="O19" s="339">
        <f>VLOOKUP($E19,Tbl_Glob_BerVoeding,O$1,FALSE)</f>
        <v>3.5799999999999997E-4</v>
      </c>
      <c r="P19" s="339">
        <f>VLOOKUP($E19,Tbl_Glob_BerVoeding,P$1,FALSE)</f>
        <v>0.44</v>
      </c>
      <c r="Q19" s="339">
        <f>VLOOKUP($E19,Tbl_Glob_BerVoeding,Q$1,FALSE)</f>
        <v>4.1462819999999991E-2</v>
      </c>
    </row>
    <row r="20" spans="3:17" x14ac:dyDescent="0.2">
      <c r="C20" s="339" t="s">
        <v>504</v>
      </c>
      <c r="D20" s="339" t="str">
        <f>IF(ISBLANK(C20),E20,C20&amp;": "&amp;E20)</f>
        <v>20-45 kg: Nutrini Peptisorb</v>
      </c>
      <c r="E20" s="339" t="s">
        <v>1041</v>
      </c>
      <c r="F20" s="339">
        <f>VLOOKUP($E20,Tbl_Glob_BerVoeding,F$1,FALSE)</f>
        <v>1</v>
      </c>
      <c r="G20" s="339">
        <f>VLOOKUP($E20,Tbl_Glob_BerVoeding,G$1,FALSE)</f>
        <v>2.7999999999999997E-2</v>
      </c>
      <c r="H20" s="339">
        <f>VLOOKUP($E20,Tbl_Glob_BerVoeding,H$1,FALSE)</f>
        <v>0.13699999999999998</v>
      </c>
      <c r="I20" s="339">
        <f>VLOOKUP($E20,Tbl_Glob_BerVoeding,I$1,FALSE)</f>
        <v>3.9E-2</v>
      </c>
      <c r="J20" s="339">
        <f>VLOOKUP($E20,Tbl_Glob_BerVoeding,J$1,FALSE)</f>
        <v>2.60868E-2</v>
      </c>
      <c r="K20" s="339">
        <f>VLOOKUP($E20,Tbl_Glob_BerVoeding,K$1,FALSE)</f>
        <v>2.82051E-2</v>
      </c>
      <c r="L20" s="339">
        <f>VLOOKUP($E20,Tbl_Glob_BerVoeding,L$1,FALSE)</f>
        <v>1.494E-2</v>
      </c>
      <c r="M20" s="339">
        <f>VLOOKUP($E20,Tbl_Glob_BerVoeding,M$1,FALSE)</f>
        <v>1.6144499999999999E-2</v>
      </c>
      <c r="N20" s="339">
        <f>VLOOKUP($E20,Tbl_Glob_BerVoeding,N$1,FALSE)</f>
        <v>4.5255099999999999E-3</v>
      </c>
      <c r="O20" s="339">
        <f>VLOOKUP($E20,Tbl_Glob_BerVoeding,O$1,FALSE)</f>
        <v>1.7899999999999999E-4</v>
      </c>
      <c r="P20" s="339">
        <f>VLOOKUP($E20,Tbl_Glob_BerVoeding,P$1,FALSE)</f>
        <v>0.4</v>
      </c>
      <c r="Q20" s="339">
        <f>VLOOKUP($E20,Tbl_Glob_BerVoeding,Q$1,FALSE)</f>
        <v>2.6795699999999999E-2</v>
      </c>
    </row>
    <row r="21" spans="3:17" x14ac:dyDescent="0.2">
      <c r="C21" s="339" t="s">
        <v>504</v>
      </c>
      <c r="D21" s="339" t="str">
        <f>IF(ISBLANK(C21),E21,C21&amp;": "&amp;E21)</f>
        <v>20-45 kg: Nutrilon Pepti 2</v>
      </c>
      <c r="E21" s="339" t="s">
        <v>1054</v>
      </c>
      <c r="F21" s="339">
        <f>VLOOKUP($E21,Tbl_Glob_BerVoeding,F$1,FALSE)</f>
        <v>0.68</v>
      </c>
      <c r="G21" s="339">
        <f>VLOOKUP($E21,Tbl_Glob_BerVoeding,G$1,FALSE)</f>
        <v>1.6E-2</v>
      </c>
      <c r="H21" s="339">
        <f>VLOOKUP($E21,Tbl_Glob_BerVoeding,H$1,FALSE)</f>
        <v>8.1000000000000003E-2</v>
      </c>
      <c r="I21" s="339">
        <f>VLOOKUP($E21,Tbl_Glob_BerVoeding,I$1,FALSE)</f>
        <v>3.1E-2</v>
      </c>
      <c r="J21" s="339">
        <f>VLOOKUP($E21,Tbl_Glob_BerVoeding,J$1,FALSE)</f>
        <v>1.0869500000000001E-2</v>
      </c>
      <c r="K21" s="339">
        <f>VLOOKUP($E21,Tbl_Glob_BerVoeding,K$1,FALSE)</f>
        <v>1.9999980000000001E-2</v>
      </c>
      <c r="L21" s="339">
        <f>VLOOKUP($E21,Tbl_Glob_BerVoeding,L$1,FALSE)</f>
        <v>1.5687E-2</v>
      </c>
      <c r="M21" s="339">
        <f>VLOOKUP($E21,Tbl_Glob_BerVoeding,M$1,FALSE)</f>
        <v>1.194693E-2</v>
      </c>
      <c r="N21" s="339">
        <f>VLOOKUP($E21,Tbl_Glob_BerVoeding,N$1,FALSE)</f>
        <v>2.262755E-3</v>
      </c>
      <c r="O21" s="339">
        <f>VLOOKUP($E21,Tbl_Glob_BerVoeding,O$1,FALSE)</f>
        <v>1.7899999999999999E-4</v>
      </c>
      <c r="P21" s="339">
        <f>VLOOKUP($E21,Tbl_Glob_BerVoeding,P$1,FALSE)</f>
        <v>0.56000000000000005</v>
      </c>
      <c r="Q21" s="339">
        <f>VLOOKUP($E21,Tbl_Glob_BerVoeding,Q$1,FALSE)</f>
        <v>1.1846520000000001E-2</v>
      </c>
    </row>
    <row r="22" spans="3:17" x14ac:dyDescent="0.2">
      <c r="C22" s="339" t="s">
        <v>507</v>
      </c>
      <c r="D22" s="339" t="str">
        <f>IF(ISBLANK(C22),E22,C22&amp;": "&amp;E22)</f>
        <v>&gt; 45 kg: Nutrison Multi Fibre</v>
      </c>
      <c r="E22" s="339" t="s">
        <v>508</v>
      </c>
      <c r="F22" s="339">
        <f>VLOOKUP($E22,Tbl_Glob_BerVoeding,F$1,FALSE)</f>
        <v>1.03</v>
      </c>
      <c r="G22" s="339">
        <f>VLOOKUP($E22,Tbl_Glob_BerVoeding,G$1,FALSE)</f>
        <v>0.04</v>
      </c>
      <c r="H22" s="339">
        <f>VLOOKUP($E22,Tbl_Glob_BerVoeding,H$1,FALSE)</f>
        <v>0.12300000000000001</v>
      </c>
      <c r="I22" s="339">
        <f>VLOOKUP($E22,Tbl_Glob_BerVoeding,I$1,FALSE)</f>
        <v>3.9E-2</v>
      </c>
      <c r="J22" s="339">
        <f>VLOOKUP($E22,Tbl_Glob_BerVoeding,J$1,FALSE)</f>
        <v>4.3478000000000003E-2</v>
      </c>
      <c r="K22" s="339">
        <f>VLOOKUP($E22,Tbl_Glob_BerVoeding,K$1,FALSE)</f>
        <v>3.8461500000000003E-2</v>
      </c>
      <c r="L22" s="339">
        <f>VLOOKUP($E22,Tbl_Glob_BerVoeding,L$1,FALSE)</f>
        <v>1.992E-2</v>
      </c>
      <c r="M22" s="339">
        <f>VLOOKUP($E22,Tbl_Glob_BerVoeding,M$1,FALSE)</f>
        <v>2.3248080000000001E-2</v>
      </c>
      <c r="N22" s="339">
        <f>VLOOKUP($E22,Tbl_Glob_BerVoeding,N$1,FALSE)</f>
        <v>9.4624299999999991E-3</v>
      </c>
      <c r="O22" s="339">
        <f>VLOOKUP($E22,Tbl_Glob_BerVoeding,O$1,FALSE)</f>
        <v>2.8639999999999997E-4</v>
      </c>
      <c r="P22" s="339">
        <f>VLOOKUP($E22,Tbl_Glob_BerVoeding,P$1,FALSE)</f>
        <v>0.4</v>
      </c>
      <c r="Q22" s="339">
        <f>VLOOKUP($E22,Tbl_Glob_BerVoeding,Q$1,FALSE)</f>
        <v>3.5257499999999997E-2</v>
      </c>
    </row>
    <row r="23" spans="3:17" x14ac:dyDescent="0.2">
      <c r="C23" s="339" t="s">
        <v>507</v>
      </c>
      <c r="D23" s="339" t="str">
        <f>IF(ISBLANK(C23),E23,C23&amp;": "&amp;E23)</f>
        <v>&gt; 45 kg: Nutrison Energy Multi Fibre</v>
      </c>
      <c r="E23" s="339" t="s">
        <v>509</v>
      </c>
      <c r="F23" s="339">
        <f>VLOOKUP($E23,Tbl_Glob_BerVoeding,F$1,FALSE)</f>
        <v>1.53</v>
      </c>
      <c r="G23" s="339">
        <f>VLOOKUP($E23,Tbl_Glob_BerVoeding,G$1,FALSE)</f>
        <v>0.06</v>
      </c>
      <c r="H23" s="339">
        <f>VLOOKUP($E23,Tbl_Glob_BerVoeding,H$1,FALSE)</f>
        <v>0.184</v>
      </c>
      <c r="I23" s="339">
        <f>VLOOKUP($E23,Tbl_Glob_BerVoeding,I$1,FALSE)</f>
        <v>5.7999999999999996E-2</v>
      </c>
      <c r="J23" s="339">
        <f>VLOOKUP($E23,Tbl_Glob_BerVoeding,J$1,FALSE)</f>
        <v>5.826052000000001E-2</v>
      </c>
      <c r="K23" s="339">
        <f>VLOOKUP($E23,Tbl_Glob_BerVoeding,K$1,FALSE)</f>
        <v>5.153841E-2</v>
      </c>
      <c r="L23" s="339">
        <f>VLOOKUP($E23,Tbl_Glob_BerVoeding,L$1,FALSE)</f>
        <v>2.0915999999999997E-2</v>
      </c>
      <c r="M23" s="339">
        <f>VLOOKUP($E23,Tbl_Glob_BerVoeding,M$1,FALSE)</f>
        <v>2.7122759999999996E-2</v>
      </c>
      <c r="N23" s="339">
        <f>VLOOKUP($E23,Tbl_Glob_BerVoeding,N$1,FALSE)</f>
        <v>1.2342299999999999E-2</v>
      </c>
      <c r="O23" s="339">
        <f>VLOOKUP($E23,Tbl_Glob_BerVoeding,O$1,FALSE)</f>
        <v>4.2959999999999998E-4</v>
      </c>
      <c r="P23" s="339">
        <f>VLOOKUP($E23,Tbl_Glob_BerVoeding,P$1,FALSE)</f>
        <v>0.6</v>
      </c>
      <c r="Q23" s="339">
        <f>VLOOKUP($E23,Tbl_Glob_BerVoeding,Q$1,FALSE)</f>
        <v>2.8205999999999998E-2</v>
      </c>
    </row>
    <row r="24" spans="3:17" x14ac:dyDescent="0.2">
      <c r="C24" s="339" t="s">
        <v>507</v>
      </c>
      <c r="D24" s="339" t="str">
        <f>IF(ISBLANK(C24),E24,C24&amp;": "&amp;E24)</f>
        <v>&gt; 45 kg: Nutrison Adv Peptisorb</v>
      </c>
      <c r="E24" s="339" t="s">
        <v>1042</v>
      </c>
      <c r="F24" s="339">
        <f>VLOOKUP($E24,Tbl_Glob_BerVoeding,F$1,FALSE)</f>
        <v>1</v>
      </c>
      <c r="G24" s="339">
        <f>VLOOKUP($E24,Tbl_Glob_BerVoeding,G$1,FALSE)</f>
        <v>0.04</v>
      </c>
      <c r="H24" s="339">
        <f>VLOOKUP($E24,Tbl_Glob_BerVoeding,H$1,FALSE)</f>
        <v>0.17600000000000002</v>
      </c>
      <c r="I24" s="339">
        <f>VLOOKUP($E24,Tbl_Glob_BerVoeding,I$1,FALSE)</f>
        <v>1.7000000000000001E-2</v>
      </c>
      <c r="J24" s="339">
        <f>VLOOKUP($E24,Tbl_Glob_BerVoeding,J$1,FALSE)</f>
        <v>4.3478000000000003E-2</v>
      </c>
      <c r="K24" s="339">
        <f>VLOOKUP($E24,Tbl_Glob_BerVoeding,K$1,FALSE)</f>
        <v>3.8461500000000003E-2</v>
      </c>
      <c r="L24" s="339">
        <f>VLOOKUP($E24,Tbl_Glob_BerVoeding,L$1,FALSE)</f>
        <v>1.992E-2</v>
      </c>
      <c r="M24" s="339">
        <f>VLOOKUP($E24,Tbl_Glob_BerVoeding,M$1,FALSE)</f>
        <v>2.3248080000000001E-2</v>
      </c>
      <c r="N24" s="339">
        <f>VLOOKUP($E24,Tbl_Glob_BerVoeding,N$1,FALSE)</f>
        <v>9.4624299999999991E-3</v>
      </c>
      <c r="O24" s="339">
        <f>VLOOKUP($E24,Tbl_Glob_BerVoeding,O$1,FALSE)</f>
        <v>2.8639999999999997E-4</v>
      </c>
      <c r="P24" s="339">
        <f>VLOOKUP($E24,Tbl_Glob_BerVoeding,P$1,FALSE)</f>
        <v>0.28000000000000003</v>
      </c>
      <c r="Q24" s="339">
        <f>VLOOKUP($E24,Tbl_Glob_BerVoeding,Q$1,FALSE)</f>
        <v>3.5257499999999997E-2</v>
      </c>
    </row>
    <row r="25" spans="3:17" x14ac:dyDescent="0.2">
      <c r="C25" s="339" t="s">
        <v>507</v>
      </c>
      <c r="D25" s="339" t="str">
        <f>IF(ISBLANK(C25),E25,C25&amp;": "&amp;E25)</f>
        <v>&gt; 45 kg: Nutrilon Pepti 2</v>
      </c>
      <c r="E25" s="339" t="s">
        <v>1054</v>
      </c>
      <c r="F25" s="339">
        <f>VLOOKUP($E25,Tbl_Glob_BerVoeding,F$1,FALSE)</f>
        <v>0.68</v>
      </c>
      <c r="G25" s="339">
        <f>VLOOKUP($E25,Tbl_Glob_BerVoeding,G$1,FALSE)</f>
        <v>1.6E-2</v>
      </c>
      <c r="H25" s="339">
        <f>VLOOKUP($E25,Tbl_Glob_BerVoeding,H$1,FALSE)</f>
        <v>8.1000000000000003E-2</v>
      </c>
      <c r="I25" s="339">
        <f>VLOOKUP($E25,Tbl_Glob_BerVoeding,I$1,FALSE)</f>
        <v>3.1E-2</v>
      </c>
      <c r="J25" s="339">
        <f>VLOOKUP($E25,Tbl_Glob_BerVoeding,J$1,FALSE)</f>
        <v>1.0869500000000001E-2</v>
      </c>
      <c r="K25" s="339">
        <f>VLOOKUP($E25,Tbl_Glob_BerVoeding,K$1,FALSE)</f>
        <v>1.9999980000000001E-2</v>
      </c>
      <c r="L25" s="339">
        <f>VLOOKUP($E25,Tbl_Glob_BerVoeding,L$1,FALSE)</f>
        <v>1.5687E-2</v>
      </c>
      <c r="M25" s="339">
        <f>VLOOKUP($E25,Tbl_Glob_BerVoeding,M$1,FALSE)</f>
        <v>1.194693E-2</v>
      </c>
      <c r="N25" s="339">
        <f>VLOOKUP($E25,Tbl_Glob_BerVoeding,N$1,FALSE)</f>
        <v>2.262755E-3</v>
      </c>
      <c r="O25" s="339">
        <f>VLOOKUP($E25,Tbl_Glob_BerVoeding,O$1,FALSE)</f>
        <v>1.7899999999999999E-4</v>
      </c>
      <c r="P25" s="339">
        <f>VLOOKUP($E25,Tbl_Glob_BerVoeding,P$1,FALSE)</f>
        <v>0.56000000000000005</v>
      </c>
      <c r="Q25" s="339">
        <f>VLOOKUP($E25,Tbl_Glob_BerVoeding,Q$1,FALSE)</f>
        <v>1.1846520000000001E-2</v>
      </c>
    </row>
    <row r="26" spans="3:17" x14ac:dyDescent="0.2">
      <c r="D26" s="339" t="str">
        <f>IF(ISBLANK(C26),E26,C26&amp;": "&amp;E26)</f>
        <v>Nutrilon Neocate</v>
      </c>
      <c r="E26" s="339" t="s">
        <v>956</v>
      </c>
      <c r="F26" s="339">
        <f>VLOOKUP($E26,Tbl_Glob_BerVoeding,F$1,FALSE)</f>
        <v>0.67</v>
      </c>
      <c r="G26" s="339">
        <f>VLOOKUP($E26,Tbl_Glob_BerVoeding,G$1,FALSE)</f>
        <v>1.8000000000000002E-2</v>
      </c>
      <c r="H26" s="339">
        <f>VLOOKUP($E26,Tbl_Glob_BerVoeding,H$1,FALSE)</f>
        <v>7.2000000000000008E-2</v>
      </c>
      <c r="I26" s="339">
        <f>VLOOKUP($E26,Tbl_Glob_BerVoeding,I$1,FALSE)</f>
        <v>3.4000000000000002E-2</v>
      </c>
      <c r="J26" s="339">
        <f>VLOOKUP($E26,Tbl_Glob_BerVoeding,J$1,FALSE)</f>
        <v>1.1347758000000001E-2</v>
      </c>
      <c r="K26" s="339">
        <f>VLOOKUP($E26,Tbl_Glob_BerVoeding,K$1,FALSE)</f>
        <v>1.8589725000000001E-2</v>
      </c>
      <c r="L26" s="339">
        <f>VLOOKUP($E26,Tbl_Glob_BerVoeding,L$1,FALSE)</f>
        <v>1.6334399999999999E-2</v>
      </c>
      <c r="M26" s="339">
        <f>VLOOKUP($E26,Tbl_Glob_BerVoeding,M$1,FALSE)</f>
        <v>1.5208118999999999E-2</v>
      </c>
      <c r="N26" s="339">
        <f>VLOOKUP($E26,Tbl_Glob_BerVoeding,N$1,FALSE)</f>
        <v>2.8798700000000001E-3</v>
      </c>
      <c r="O26" s="339">
        <f>VLOOKUP($E26,Tbl_Glob_BerVoeding,O$1,FALSE)</f>
        <v>1.7899999999999999E-4</v>
      </c>
      <c r="P26" s="339">
        <f>VLOOKUP($E26,Tbl_Glob_BerVoeding,P$1,FALSE)</f>
        <v>0.48</v>
      </c>
      <c r="Q26" s="339">
        <f>VLOOKUP($E26,Tbl_Glob_BerVoeding,Q$1,FALSE)</f>
        <v>1.5033797999999998E-2</v>
      </c>
    </row>
    <row r="27" spans="3:17" x14ac:dyDescent="0.2">
      <c r="D27" s="339" t="str">
        <f>IF(ISBLANK(C27),E27,C27&amp;": "&amp;E27)</f>
        <v>Nutrilon Pepti Junior</v>
      </c>
      <c r="E27" s="486" t="s">
        <v>957</v>
      </c>
      <c r="F27" s="339">
        <f>VLOOKUP($E27,Tbl_Glob_BerVoeding,F$1,FALSE)</f>
        <v>0.66</v>
      </c>
      <c r="G27" s="339">
        <f>VLOOKUP($E27,Tbl_Glob_BerVoeding,G$1,FALSE)</f>
        <v>1.8000000000000002E-2</v>
      </c>
      <c r="H27" s="339">
        <f>VLOOKUP($E27,Tbl_Glob_BerVoeding,H$1,FALSE)</f>
        <v>6.8000000000000005E-2</v>
      </c>
      <c r="I27" s="339">
        <f>VLOOKUP($E27,Tbl_Glob_BerVoeding,I$1,FALSE)</f>
        <v>3.5000000000000003E-2</v>
      </c>
      <c r="J27" s="339">
        <f>VLOOKUP($E27,Tbl_Glob_BerVoeding,J$1,FALSE)</f>
        <v>7.8260400000000011E-3</v>
      </c>
      <c r="K27" s="339">
        <f>VLOOKUP($E27,Tbl_Glob_BerVoeding,K$1,FALSE)</f>
        <v>1.6666650000000002E-2</v>
      </c>
      <c r="L27" s="339">
        <f>VLOOKUP($E27,Tbl_Glob_BerVoeding,L$1,FALSE)</f>
        <v>1.2449999999999999E-2</v>
      </c>
      <c r="M27" s="339">
        <f>VLOOKUP($E27,Tbl_Glob_BerVoeding,M$1,FALSE)</f>
        <v>9.0409199999999992E-3</v>
      </c>
      <c r="N27" s="339">
        <f>VLOOKUP($E27,Tbl_Glob_BerVoeding,N$1,FALSE)</f>
        <v>2.0981909999999997E-3</v>
      </c>
      <c r="O27" s="339">
        <f>VLOOKUP($E27,Tbl_Glob_BerVoeding,O$1,FALSE)</f>
        <v>1.3783E-4</v>
      </c>
      <c r="P27" s="339">
        <f>VLOOKUP($E27,Tbl_Glob_BerVoeding,P$1,FALSE)</f>
        <v>0.52</v>
      </c>
      <c r="Q27" s="339">
        <f>VLOOKUP($E27,Tbl_Glob_BerVoeding,Q$1,FALSE)</f>
        <v>1.12824E-2</v>
      </c>
    </row>
    <row r="28" spans="3:17" x14ac:dyDescent="0.2">
      <c r="D28" s="339" t="str">
        <f>IF(ISBLANK(C28),E28,C28&amp;": "&amp;E28)</f>
        <v>Speciale voeding</v>
      </c>
      <c r="E28" s="339" t="s">
        <v>166</v>
      </c>
    </row>
    <row r="30" spans="3:17" x14ac:dyDescent="0.2">
      <c r="F30" s="339">
        <v>2</v>
      </c>
      <c r="G30" s="339">
        <v>3</v>
      </c>
      <c r="H30" s="339">
        <v>4</v>
      </c>
      <c r="I30" s="339">
        <v>5</v>
      </c>
      <c r="J30" s="339">
        <v>6</v>
      </c>
      <c r="K30" s="339">
        <v>7</v>
      </c>
      <c r="L30" s="339">
        <v>8</v>
      </c>
      <c r="M30" s="339">
        <v>9</v>
      </c>
      <c r="N30" s="339">
        <v>10</v>
      </c>
      <c r="O30" s="339">
        <v>11</v>
      </c>
      <c r="P30" s="339">
        <v>12</v>
      </c>
      <c r="Q30" s="339">
        <v>13</v>
      </c>
    </row>
    <row r="31" spans="3:17" x14ac:dyDescent="0.2">
      <c r="C31" s="339" t="s">
        <v>5414</v>
      </c>
      <c r="F31" s="339" t="s">
        <v>234</v>
      </c>
      <c r="G31" s="339" t="s">
        <v>196</v>
      </c>
      <c r="H31" s="339" t="s">
        <v>235</v>
      </c>
      <c r="I31" s="339" t="s">
        <v>197</v>
      </c>
      <c r="J31" s="339" t="s">
        <v>229</v>
      </c>
      <c r="K31" s="339" t="s">
        <v>230</v>
      </c>
      <c r="L31" s="339" t="s">
        <v>231</v>
      </c>
      <c r="M31" s="339" t="s">
        <v>236</v>
      </c>
      <c r="N31" s="339" t="s">
        <v>232</v>
      </c>
      <c r="O31" s="339" t="s">
        <v>948</v>
      </c>
      <c r="P31" s="339" t="s">
        <v>949</v>
      </c>
      <c r="Q31" s="339" t="s">
        <v>603</v>
      </c>
    </row>
    <row r="32" spans="3:17" x14ac:dyDescent="0.2">
      <c r="D32" s="339" t="s">
        <v>5424</v>
      </c>
      <c r="F32" s="339" t="str">
        <f>VLOOKUP(F$2,Tbl_Glob_Conversie,3,FALSE)</f>
        <v>kcal</v>
      </c>
      <c r="G32" s="339" t="str">
        <f>VLOOKUP(G$2,Tbl_Glob_Conversie,3,FALSE)</f>
        <v>gram</v>
      </c>
      <c r="H32" s="339" t="str">
        <f>VLOOKUP(H$2,Tbl_Glob_Conversie,3,FALSE)</f>
        <v>gram</v>
      </c>
      <c r="I32" s="339" t="str">
        <f>VLOOKUP(I$2,Tbl_Glob_Conversie,3,FALSE)</f>
        <v>gram</v>
      </c>
      <c r="J32" s="339" t="str">
        <f>VLOOKUP(J$2,Tbl_Glob_Conversie,3,FALSE)</f>
        <v>mmol</v>
      </c>
      <c r="K32" s="339" t="str">
        <f>VLOOKUP(K$2,Tbl_Glob_Conversie,3,FALSE)</f>
        <v>mmol</v>
      </c>
      <c r="L32" s="339" t="str">
        <f>VLOOKUP(L$2,Tbl_Glob_Conversie,3,FALSE)</f>
        <v>mmol</v>
      </c>
      <c r="M32" s="339" t="str">
        <f>VLOOKUP(M$2,Tbl_Glob_Conversie,3,FALSE)</f>
        <v>mmol</v>
      </c>
      <c r="N32" s="339" t="str">
        <f>VLOOKUP(N$2,Tbl_Glob_Conversie,3,FALSE)</f>
        <v>mmol</v>
      </c>
      <c r="O32" s="339" t="str">
        <f>VLOOKUP(O$2,Tbl_Glob_Conversie,3,FALSE)</f>
        <v>mmol</v>
      </c>
      <c r="P32" s="339" t="str">
        <f>VLOOKUP(P$2,Tbl_Glob_Conversie,3,FALSE)</f>
        <v>IE</v>
      </c>
      <c r="Q32" s="339" t="str">
        <f>VLOOKUP(Q$2,Tbl_Glob_Conversie,3,FALSE)</f>
        <v>mmol</v>
      </c>
    </row>
    <row r="34" spans="4:17" x14ac:dyDescent="0.2">
      <c r="D34" s="339" t="str">
        <f>IF(C34&lt;&gt;"",C34&amp;": "&amp;E34,E34)</f>
        <v>Nutrilon Nenatal BMF</v>
      </c>
      <c r="E34" s="339" t="s">
        <v>615</v>
      </c>
      <c r="F34" s="339">
        <f>VLOOKUP($E34,Tbl_Glob_BerPoeder,F$1,FALSE)</f>
        <v>3.47</v>
      </c>
      <c r="G34" s="339">
        <f>VLOOKUP($E34,Tbl_Glob_BerPoeder,G$1,FALSE)</f>
        <v>0.252</v>
      </c>
      <c r="H34" s="339">
        <f>VLOOKUP($E34,Tbl_Glob_BerPoeder,H$1,FALSE)</f>
        <v>0.622</v>
      </c>
      <c r="I34" s="339">
        <f>VLOOKUP($E34,Tbl_Glob_BerPoeder,I$1,FALSE)</f>
        <v>0</v>
      </c>
      <c r="J34" s="339">
        <f>VLOOKUP($E34,Tbl_Glob_BerPoeder,J$1,FALSE)</f>
        <v>0.34912834000000004</v>
      </c>
      <c r="K34" s="339">
        <f>VLOOKUP($E34,Tbl_Glob_BerPoeder,K$1,FALSE)</f>
        <v>0.13538448</v>
      </c>
      <c r="L34" s="339">
        <f>VLOOKUP($E34,Tbl_Glob_BerPoeder,L$1,FALSE)</f>
        <v>0.37125899999999995</v>
      </c>
      <c r="M34" s="339">
        <f>VLOOKUP($E34,Tbl_Glob_BerPoeder,M$1,FALSE)</f>
        <v>0.28156007999999999</v>
      </c>
      <c r="N34" s="339">
        <f>VLOOKUP($E34,Tbl_Glob_BerPoeder,N$1,FALSE)</f>
        <v>4.7312149999999997E-2</v>
      </c>
      <c r="O34" s="339">
        <f>VLOOKUP($E34,Tbl_Glob_BerPoeder,O$1,FALSE)</f>
        <v>0</v>
      </c>
      <c r="P34" s="339">
        <f>VLOOKUP($E34,Tbl_Glob_BerPoeder,P$1,FALSE)</f>
        <v>46</v>
      </c>
      <c r="Q34" s="339">
        <f>VLOOKUP($E34,Tbl_Glob_BerPoeder,Q$1,FALSE)</f>
        <v>0.16162037999999998</v>
      </c>
    </row>
    <row r="35" spans="4:17" x14ac:dyDescent="0.2">
      <c r="D35" s="339" t="str">
        <f>IF(C35&lt;&gt;"",C35&amp;": "&amp;E35,E35)</f>
        <v>Hero Baby 1 NS Standaard</v>
      </c>
      <c r="E35" s="486" t="s">
        <v>958</v>
      </c>
      <c r="F35" s="339">
        <f>VLOOKUP($E35,Tbl_Glob_BerPoeder,F$1,FALSE)</f>
        <v>5.09</v>
      </c>
      <c r="G35" s="339">
        <f>VLOOKUP($E35,Tbl_Glob_BerPoeder,G$1,FALSE)</f>
        <v>0.1</v>
      </c>
      <c r="H35" s="339">
        <f>VLOOKUP($E35,Tbl_Glob_BerPoeder,H$1,FALSE)</f>
        <v>0.56000000000000005</v>
      </c>
      <c r="I35" s="339">
        <f>VLOOKUP($E35,Tbl_Glob_BerPoeder,I$1,FALSE)</f>
        <v>0.27</v>
      </c>
      <c r="J35" s="339">
        <f>VLOOKUP($E35,Tbl_Glob_BerPoeder,J$1,FALSE)</f>
        <v>5.2173600000000001E-2</v>
      </c>
      <c r="K35" s="339">
        <f>VLOOKUP($E35,Tbl_Glob_BerPoeder,K$1,FALSE)</f>
        <v>0.11846142</v>
      </c>
      <c r="L35" s="339">
        <f>VLOOKUP($E35,Tbl_Glob_BerPoeder,L$1,FALSE)</f>
        <v>8.4162000000000001E-2</v>
      </c>
      <c r="M35" s="339">
        <f>VLOOKUP($E35,Tbl_Glob_BerPoeder,M$1,FALSE)</f>
        <v>6.4577999999999997E-2</v>
      </c>
      <c r="N35" s="339">
        <f>VLOOKUP($E35,Tbl_Glob_BerPoeder,N$1,FALSE)</f>
        <v>1.2671428E-2</v>
      </c>
      <c r="O35" s="339">
        <f>VLOOKUP($E35,Tbl_Glob_BerPoeder,O$1,FALSE)</f>
        <v>5.5489999999999999E-4</v>
      </c>
      <c r="P35" s="339">
        <f>VLOOKUP($E35,Tbl_Glob_BerPoeder,P$1,FALSE)</f>
        <v>3.68</v>
      </c>
      <c r="Q35" s="339">
        <f>VLOOKUP($E35,Tbl_Glob_BerPoeder,Q$1,FALSE)</f>
        <v>8.6874480000000004E-2</v>
      </c>
    </row>
    <row r="36" spans="4:17" x14ac:dyDescent="0.2">
      <c r="D36" s="339" t="str">
        <f>IF(C36&lt;&gt;"",C36&amp;": "&amp;E36,E36)</f>
        <v>Hero Baby 2 NS Standaard</v>
      </c>
      <c r="E36" s="486" t="s">
        <v>959</v>
      </c>
      <c r="F36" s="339">
        <f>VLOOKUP($E36,Tbl_Glob_BerPoeder,F$1,FALSE)</f>
        <v>4.7</v>
      </c>
      <c r="G36" s="339">
        <f>VLOOKUP($E36,Tbl_Glob_BerPoeder,G$1,FALSE)</f>
        <v>9.5000000000000001E-2</v>
      </c>
      <c r="H36" s="339">
        <f>VLOOKUP($E36,Tbl_Glob_BerPoeder,H$1,FALSE)</f>
        <v>0.64</v>
      </c>
      <c r="I36" s="339">
        <f>VLOOKUP($E36,Tbl_Glob_BerPoeder,I$1,FALSE)</f>
        <v>0.19</v>
      </c>
      <c r="J36" s="339">
        <f>VLOOKUP($E36,Tbl_Glob_BerPoeder,J$1,FALSE)</f>
        <v>6.956480000000001E-2</v>
      </c>
      <c r="K36" s="339">
        <f>VLOOKUP($E36,Tbl_Glob_BerPoeder,K$1,FALSE)</f>
        <v>0.14205113999999999</v>
      </c>
      <c r="L36" s="339">
        <f>VLOOKUP($E36,Tbl_Glob_BerPoeder,L$1,FALSE)</f>
        <v>0.100845</v>
      </c>
      <c r="M36" s="339">
        <f>VLOOKUP($E36,Tbl_Glob_BerPoeder,M$1,FALSE)</f>
        <v>7.8462270000000001E-2</v>
      </c>
      <c r="N36" s="339">
        <f>VLOOKUP($E36,Tbl_Glob_BerPoeder,N$1,FALSE)</f>
        <v>2.139332E-2</v>
      </c>
      <c r="O36" s="339">
        <f>VLOOKUP($E36,Tbl_Glob_BerPoeder,O$1,FALSE)</f>
        <v>1.4678E-3</v>
      </c>
      <c r="P36" s="339">
        <f>VLOOKUP($E36,Tbl_Glob_BerPoeder,P$1,FALSE)</f>
        <v>3.44</v>
      </c>
      <c r="Q36" s="339">
        <f>VLOOKUP($E36,Tbl_Glob_BerPoeder,Q$1,FALSE)</f>
        <v>8.3771819999999997E-2</v>
      </c>
    </row>
    <row r="37" spans="4:17" x14ac:dyDescent="0.2">
      <c r="D37" s="339" t="str">
        <f>IF(C37&lt;&gt;"",C37&amp;": "&amp;E37,E37)</f>
        <v>Hero Baby 1 NS Comfort</v>
      </c>
      <c r="E37" s="486" t="s">
        <v>960</v>
      </c>
      <c r="F37" s="339">
        <f>VLOOKUP($E37,Tbl_Glob_BerPoeder,F$1,FALSE)</f>
        <v>5.03</v>
      </c>
      <c r="G37" s="339">
        <f>VLOOKUP($E37,Tbl_Glob_BerPoeder,G$1,FALSE)</f>
        <v>0.11</v>
      </c>
      <c r="H37" s="339">
        <f>VLOOKUP($E37,Tbl_Glob_BerPoeder,H$1,FALSE)</f>
        <v>0.52</v>
      </c>
      <c r="I37" s="339">
        <f>VLOOKUP($E37,Tbl_Glob_BerPoeder,I$1,FALSE)</f>
        <v>0.27</v>
      </c>
      <c r="J37" s="339">
        <f>VLOOKUP($E37,Tbl_Glob_BerPoeder,J$1,FALSE)</f>
        <v>5.2173600000000001E-2</v>
      </c>
      <c r="K37" s="339">
        <f>VLOOKUP($E37,Tbl_Glob_BerPoeder,K$1,FALSE)</f>
        <v>0.11846142</v>
      </c>
      <c r="L37" s="339">
        <f>VLOOKUP($E37,Tbl_Glob_BerPoeder,L$1,FALSE)</f>
        <v>8.4162000000000001E-2</v>
      </c>
      <c r="M37" s="339">
        <f>VLOOKUP($E37,Tbl_Glob_BerPoeder,M$1,FALSE)</f>
        <v>6.4577999999999997E-2</v>
      </c>
      <c r="N37" s="339">
        <f>VLOOKUP($E37,Tbl_Glob_BerPoeder,N$1,FALSE)</f>
        <v>1.2671428E-2</v>
      </c>
      <c r="O37" s="339">
        <f>VLOOKUP($E37,Tbl_Glob_BerPoeder,O$1,FALSE)</f>
        <v>5.5489999999999999E-4</v>
      </c>
      <c r="P37" s="339">
        <f>VLOOKUP($E37,Tbl_Glob_BerPoeder,P$1,FALSE)</f>
        <v>3.68</v>
      </c>
      <c r="Q37" s="339">
        <f>VLOOKUP($E37,Tbl_Glob_BerPoeder,Q$1,FALSE)</f>
        <v>8.6874480000000004E-2</v>
      </c>
    </row>
    <row r="38" spans="4:17" x14ac:dyDescent="0.2">
      <c r="D38" s="339" t="str">
        <f>IF(C38&lt;&gt;"",C38&amp;": "&amp;E38,E38)</f>
        <v>Hero Baby 2 NS Comfort</v>
      </c>
      <c r="E38" s="486" t="s">
        <v>961</v>
      </c>
      <c r="F38" s="339">
        <f>VLOOKUP($E38,Tbl_Glob_BerPoeder,F$1,FALSE)</f>
        <v>5.03</v>
      </c>
      <c r="G38" s="339">
        <f>VLOOKUP($E38,Tbl_Glob_BerPoeder,G$1,FALSE)</f>
        <v>0.11</v>
      </c>
      <c r="H38" s="339">
        <f>VLOOKUP($E38,Tbl_Glob_BerPoeder,H$1,FALSE)</f>
        <v>0.52</v>
      </c>
      <c r="I38" s="339">
        <f>VLOOKUP($E38,Tbl_Glob_BerPoeder,I$1,FALSE)</f>
        <v>0.27</v>
      </c>
      <c r="J38" s="339">
        <f>VLOOKUP($E38,Tbl_Glob_BerPoeder,J$1,FALSE)</f>
        <v>5.2173600000000001E-2</v>
      </c>
      <c r="K38" s="339">
        <f>VLOOKUP($E38,Tbl_Glob_BerPoeder,K$1,FALSE)</f>
        <v>0.11846142</v>
      </c>
      <c r="L38" s="339">
        <f>VLOOKUP($E38,Tbl_Glob_BerPoeder,L$1,FALSE)</f>
        <v>8.4162000000000001E-2</v>
      </c>
      <c r="M38" s="339">
        <f>VLOOKUP($E38,Tbl_Glob_BerPoeder,M$1,FALSE)</f>
        <v>6.4577999999999997E-2</v>
      </c>
      <c r="N38" s="339">
        <f>VLOOKUP($E38,Tbl_Glob_BerPoeder,N$1,FALSE)</f>
        <v>1.2671428E-2</v>
      </c>
      <c r="O38" s="339">
        <f>VLOOKUP($E38,Tbl_Glob_BerPoeder,O$1,FALSE)</f>
        <v>1.5215000000000001E-3</v>
      </c>
      <c r="P38" s="339">
        <f>VLOOKUP($E38,Tbl_Glob_BerPoeder,P$1,FALSE)</f>
        <v>3.68</v>
      </c>
      <c r="Q38" s="339">
        <f>VLOOKUP($E38,Tbl_Glob_BerPoeder,Q$1,FALSE)</f>
        <v>8.6874480000000004E-2</v>
      </c>
    </row>
    <row r="39" spans="4:17" x14ac:dyDescent="0.2">
      <c r="D39" s="339" t="str">
        <f>IF(C39&lt;&gt;"",C39&amp;": "&amp;E39,E39)</f>
        <v>Hero Baby 1 NS Pep</v>
      </c>
      <c r="E39" s="486" t="s">
        <v>962</v>
      </c>
      <c r="F39" s="339">
        <f>VLOOKUP($E39,Tbl_Glob_BerPoeder,F$1,FALSE)</f>
        <v>4.93</v>
      </c>
      <c r="G39" s="339">
        <f>VLOOKUP($E39,Tbl_Glob_BerPoeder,G$1,FALSE)</f>
        <v>0.13</v>
      </c>
      <c r="H39" s="339">
        <f>VLOOKUP($E39,Tbl_Glob_BerPoeder,H$1,FALSE)</f>
        <v>0.53</v>
      </c>
      <c r="I39" s="339">
        <f>VLOOKUP($E39,Tbl_Glob_BerPoeder,I$1,FALSE)</f>
        <v>0.26</v>
      </c>
      <c r="J39" s="339">
        <f>VLOOKUP($E39,Tbl_Glob_BerPoeder,J$1,FALSE)</f>
        <v>8.8695120000000002E-2</v>
      </c>
      <c r="K39" s="339">
        <f>VLOOKUP($E39,Tbl_Glob_BerPoeder,K$1,FALSE)</f>
        <v>0.1410255</v>
      </c>
      <c r="L39" s="339">
        <f>VLOOKUP($E39,Tbl_Glob_BerPoeder,L$1,FALSE)</f>
        <v>9.9599999999999994E-2</v>
      </c>
      <c r="M39" s="339">
        <f>VLOOKUP($E39,Tbl_Glob_BerPoeder,M$1,FALSE)</f>
        <v>7.4264699999999989E-2</v>
      </c>
      <c r="N39" s="339">
        <f>VLOOKUP($E39,Tbl_Glob_BerPoeder,N$1,FALSE)</f>
        <v>2.0570499999999999E-2</v>
      </c>
      <c r="O39" s="339">
        <f>VLOOKUP($E39,Tbl_Glob_BerPoeder,O$1,FALSE)</f>
        <v>6.265E-4</v>
      </c>
      <c r="P39" s="339">
        <f>VLOOKUP($E39,Tbl_Glob_BerPoeder,P$1,FALSE)</f>
        <v>3.12</v>
      </c>
      <c r="Q39" s="339">
        <f>VLOOKUP($E39,Tbl_Glob_BerPoeder,Q$1,FALSE)</f>
        <v>8.8848899999999981E-2</v>
      </c>
    </row>
    <row r="40" spans="4:17" x14ac:dyDescent="0.2">
      <c r="D40" s="339" t="str">
        <f>IF(C40&lt;&gt;"",C40&amp;": "&amp;E40,E40)</f>
        <v>Hero Baby 2 NS Pep</v>
      </c>
      <c r="E40" s="486" t="s">
        <v>963</v>
      </c>
      <c r="F40" s="339">
        <f>VLOOKUP($E40,Tbl_Glob_BerPoeder,F$1,FALSE)</f>
        <v>4.93</v>
      </c>
      <c r="G40" s="339">
        <f>VLOOKUP($E40,Tbl_Glob_BerPoeder,G$1,FALSE)</f>
        <v>0.13</v>
      </c>
      <c r="H40" s="339">
        <f>VLOOKUP($E40,Tbl_Glob_BerPoeder,H$1,FALSE)</f>
        <v>0.53</v>
      </c>
      <c r="I40" s="339">
        <f>VLOOKUP($E40,Tbl_Glob_BerPoeder,I$1,FALSE)</f>
        <v>0.26</v>
      </c>
      <c r="J40" s="339">
        <f>VLOOKUP($E40,Tbl_Glob_BerPoeder,J$1,FALSE)</f>
        <v>8.8695120000000002E-2</v>
      </c>
      <c r="K40" s="339">
        <f>VLOOKUP($E40,Tbl_Glob_BerPoeder,K$1,FALSE)</f>
        <v>0.1410255</v>
      </c>
      <c r="L40" s="339">
        <f>VLOOKUP($E40,Tbl_Glob_BerPoeder,L$1,FALSE)</f>
        <v>9.9599999999999994E-2</v>
      </c>
      <c r="M40" s="339">
        <f>VLOOKUP($E40,Tbl_Glob_BerPoeder,M$1,FALSE)</f>
        <v>7.4264699999999989E-2</v>
      </c>
      <c r="N40" s="339">
        <f>VLOOKUP($E40,Tbl_Glob_BerPoeder,N$1,FALSE)</f>
        <v>2.0570499999999999E-2</v>
      </c>
      <c r="O40" s="339">
        <f>VLOOKUP($E40,Tbl_Glob_BerPoeder,O$1,FALSE)</f>
        <v>1.2708999999999997E-3</v>
      </c>
      <c r="P40" s="339">
        <f>VLOOKUP($E40,Tbl_Glob_BerPoeder,P$1,FALSE)</f>
        <v>3.12</v>
      </c>
      <c r="Q40" s="339">
        <f>VLOOKUP($E40,Tbl_Glob_BerPoeder,Q$1,FALSE)</f>
        <v>8.8848899999999981E-2</v>
      </c>
    </row>
    <row r="41" spans="4:17" x14ac:dyDescent="0.2">
      <c r="D41" s="339" t="str">
        <f>IF(C41&lt;&gt;"",C41&amp;": "&amp;E41,E41)</f>
        <v>Nutramigen 1 LGG pdr</v>
      </c>
      <c r="E41" s="486" t="s">
        <v>964</v>
      </c>
      <c r="F41" s="339">
        <f>VLOOKUP($E41,Tbl_Glob_BerPoeder,F$1,FALSE)</f>
        <v>5</v>
      </c>
      <c r="G41" s="339">
        <f>VLOOKUP($E41,Tbl_Glob_BerPoeder,G$1,FALSE)</f>
        <v>0.14000000000000001</v>
      </c>
      <c r="H41" s="339">
        <f>VLOOKUP($E41,Tbl_Glob_BerPoeder,H$1,FALSE)</f>
        <v>0.55000000000000004</v>
      </c>
      <c r="I41" s="339">
        <f>VLOOKUP($E41,Tbl_Glob_BerPoeder,I$1,FALSE)</f>
        <v>0.25</v>
      </c>
      <c r="J41" s="339">
        <f>VLOOKUP($E41,Tbl_Glob_BerPoeder,J$1,FALSE)</f>
        <v>0.1043472</v>
      </c>
      <c r="K41" s="339">
        <f>VLOOKUP($E41,Tbl_Glob_BerPoeder,K$1,FALSE)</f>
        <v>0.1564101</v>
      </c>
      <c r="L41" s="339">
        <f>VLOOKUP($E41,Tbl_Glob_BerPoeder,L$1,FALSE)</f>
        <v>0.14068499999999998</v>
      </c>
      <c r="M41" s="339">
        <f>VLOOKUP($E41,Tbl_Glob_BerPoeder,M$1,FALSE)</f>
        <v>0.12592709999999999</v>
      </c>
      <c r="N41" s="339">
        <f>VLOOKUP($E41,Tbl_Glob_BerPoeder,N$1,FALSE)</f>
        <v>2.0570499999999999E-2</v>
      </c>
      <c r="O41" s="339">
        <f>VLOOKUP($E41,Tbl_Glob_BerPoeder,O$1,FALSE)</f>
        <v>1.611E-3</v>
      </c>
      <c r="P41" s="339">
        <f>VLOOKUP($E41,Tbl_Glob_BerPoeder,P$1,FALSE)</f>
        <v>3</v>
      </c>
      <c r="Q41" s="339">
        <f>VLOOKUP($E41,Tbl_Glob_BerPoeder,Q$1,FALSE)</f>
        <v>0.13538879999999998</v>
      </c>
    </row>
    <row r="42" spans="4:17" x14ac:dyDescent="0.2">
      <c r="D42" s="339" t="str">
        <f>IF(C42&lt;&gt;"",C42&amp;": "&amp;E42,E42)</f>
        <v>Nutramigen 2 LGG pdr</v>
      </c>
      <c r="E42" s="486" t="s">
        <v>37</v>
      </c>
      <c r="F42" s="339">
        <f>VLOOKUP($E42,Tbl_Glob_BerPoeder,F$1,FALSE)</f>
        <v>4.66</v>
      </c>
      <c r="G42" s="339">
        <f>VLOOKUP($E42,Tbl_Glob_BerPoeder,G$1,FALSE)</f>
        <v>0.11599999999999999</v>
      </c>
      <c r="H42" s="339">
        <f>VLOOKUP($E42,Tbl_Glob_BerPoeder,H$1,FALSE)</f>
        <v>0.59</v>
      </c>
      <c r="I42" s="339">
        <f>VLOOKUP($E42,Tbl_Glob_BerPoeder,I$1,FALSE)</f>
        <v>0.2</v>
      </c>
      <c r="J42" s="339">
        <f>VLOOKUP($E42,Tbl_Glob_BerPoeder,J$1,FALSE)</f>
        <v>7.478216E-2</v>
      </c>
      <c r="K42" s="339">
        <f>VLOOKUP($E42,Tbl_Glob_BerPoeder,K$1,FALSE)</f>
        <v>0.14564088</v>
      </c>
      <c r="L42" s="339">
        <f>VLOOKUP($E42,Tbl_Glob_BerPoeder,L$1,FALSE)</f>
        <v>0.15886199999999998</v>
      </c>
      <c r="M42" s="339">
        <f>VLOOKUP($E42,Tbl_Glob_BerPoeder,M$1,FALSE)</f>
        <v>0.10849103999999998</v>
      </c>
      <c r="N42" s="339">
        <f>VLOOKUP($E42,Tbl_Glob_BerPoeder,N$1,FALSE)</f>
        <v>1.9336269999999999E-2</v>
      </c>
      <c r="O42" s="339">
        <f>VLOOKUP($E42,Tbl_Glob_BerPoeder,O$1,FALSE)</f>
        <v>1.4678E-3</v>
      </c>
      <c r="P42" s="339">
        <f>VLOOKUP($E42,Tbl_Glob_BerPoeder,P$1,FALSE)</f>
        <v>2.92</v>
      </c>
      <c r="Q42" s="339">
        <f>VLOOKUP($E42,Tbl_Glob_BerPoeder,Q$1,FALSE)</f>
        <v>0.10520837999999999</v>
      </c>
    </row>
    <row r="43" spans="4:17" x14ac:dyDescent="0.2">
      <c r="D43" s="339" t="str">
        <f>IF(C43&lt;&gt;"",C43&amp;": "&amp;E43,E43)</f>
        <v>Nutrison Advanced Peptisorb Powder</v>
      </c>
      <c r="E43" s="486" t="s">
        <v>965</v>
      </c>
      <c r="F43" s="339">
        <f>VLOOKUP($E43,Tbl_Glob_BerPoeder,F$1,FALSE)</f>
        <v>4.0199999999999996</v>
      </c>
      <c r="G43" s="339">
        <f>VLOOKUP($E43,Tbl_Glob_BerPoeder,G$1,FALSE)</f>
        <v>0.14699999999999999</v>
      </c>
      <c r="H43" s="339">
        <f>VLOOKUP($E43,Tbl_Glob_BerPoeder,H$1,FALSE)</f>
        <v>0.71</v>
      </c>
      <c r="I43" s="339">
        <f>VLOOKUP($E43,Tbl_Glob_BerPoeder,I$1,FALSE)</f>
        <v>6.7000000000000004E-2</v>
      </c>
      <c r="J43" s="339">
        <f>VLOOKUP($E43,Tbl_Glob_BerPoeder,J$1,FALSE)</f>
        <v>0.17478156000000003</v>
      </c>
      <c r="K43" s="339">
        <f>VLOOKUP($E43,Tbl_Glob_BerPoeder,K$1,FALSE)</f>
        <v>0.15461522999999999</v>
      </c>
      <c r="L43" s="339">
        <f>VLOOKUP($E43,Tbl_Glob_BerPoeder,L$1,FALSE)</f>
        <v>8.0177999999999999E-2</v>
      </c>
      <c r="M43" s="339">
        <f>VLOOKUP($E43,Tbl_Glob_BerPoeder,M$1,FALSE)</f>
        <v>8.6211629999999997E-2</v>
      </c>
      <c r="N43" s="339">
        <f>VLOOKUP($E43,Tbl_Glob_BerPoeder,N$1,FALSE)</f>
        <v>3.4558439999999996E-2</v>
      </c>
      <c r="O43" s="339">
        <f>VLOOKUP($E43,Tbl_Glob_BerPoeder,O$1,FALSE)</f>
        <v>1.1455999999999999E-3</v>
      </c>
      <c r="P43" s="339">
        <f>VLOOKUP($E43,Tbl_Glob_BerPoeder,P$1,FALSE)</f>
        <v>1.1200000000000001</v>
      </c>
      <c r="Q43" s="339">
        <f>VLOOKUP($E43,Tbl_Glob_BerPoeder,Q$1,FALSE)</f>
        <v>0.14187617999999999</v>
      </c>
    </row>
    <row r="44" spans="4:17" x14ac:dyDescent="0.2">
      <c r="D44" s="339" t="str">
        <f>IF(C44&lt;&gt;"",C44&amp;": "&amp;E44,E44)</f>
        <v>Nutrilon Pepti Junior pdr</v>
      </c>
      <c r="E44" s="486" t="s">
        <v>966</v>
      </c>
      <c r="F44" s="339">
        <f>VLOOKUP($E44,Tbl_Glob_BerPoeder,F$1,FALSE)</f>
        <v>5.15</v>
      </c>
      <c r="G44" s="339">
        <f>VLOOKUP($E44,Tbl_Glob_BerPoeder,G$1,FALSE)</f>
        <v>0.14000000000000001</v>
      </c>
      <c r="H44" s="339">
        <f>VLOOKUP($E44,Tbl_Glob_BerPoeder,H$1,FALSE)</f>
        <v>0.53400000000000003</v>
      </c>
      <c r="I44" s="339">
        <f>VLOOKUP($E44,Tbl_Glob_BerPoeder,I$1,FALSE)</f>
        <v>0.27300000000000002</v>
      </c>
      <c r="J44" s="339">
        <f>VLOOKUP($E44,Tbl_Glob_BerPoeder,J$1,FALSE)</f>
        <v>6.0869199999999998E-2</v>
      </c>
      <c r="K44" s="339">
        <f>VLOOKUP($E44,Tbl_Glob_BerPoeder,K$1,FALSE)</f>
        <v>0.12999987000000002</v>
      </c>
      <c r="L44" s="339">
        <f>VLOOKUP($E44,Tbl_Glob_BerPoeder,L$1,FALSE)</f>
        <v>9.7110000000000002E-2</v>
      </c>
      <c r="M44" s="339">
        <f>VLOOKUP($E44,Tbl_Glob_BerPoeder,M$1,FALSE)</f>
        <v>7.0390019999999998E-2</v>
      </c>
      <c r="N44" s="339">
        <f>VLOOKUP($E44,Tbl_Glob_BerPoeder,N$1,FALSE)</f>
        <v>1.6456399999999996E-2</v>
      </c>
      <c r="O44" s="339">
        <f>VLOOKUP($E44,Tbl_Glob_BerPoeder,O$1,FALSE)</f>
        <v>1.0739999999999999E-3</v>
      </c>
      <c r="P44" s="339">
        <f>VLOOKUP($E44,Tbl_Glob_BerPoeder,P$1,FALSE)</f>
        <v>3.92</v>
      </c>
      <c r="Q44" s="339">
        <f>VLOOKUP($E44,Tbl_Glob_BerPoeder,Q$1,FALSE)</f>
        <v>8.7438599999999991E-2</v>
      </c>
    </row>
    <row r="45" spans="4:17" x14ac:dyDescent="0.2">
      <c r="D45" s="339" t="str">
        <f>IF(C45&lt;&gt;"",C45&amp;": "&amp;E45,E45)</f>
        <v>Nutrilon Nenatal Start pdr</v>
      </c>
      <c r="E45" s="486" t="s">
        <v>967</v>
      </c>
      <c r="F45" s="339">
        <f>VLOOKUP($E45,Tbl_Glob_BerPoeder,F$1,FALSE)</f>
        <v>4.74</v>
      </c>
      <c r="G45" s="339">
        <f>VLOOKUP($E45,Tbl_Glob_BerPoeder,G$1,FALSE)</f>
        <v>0.156</v>
      </c>
      <c r="H45" s="339">
        <f>VLOOKUP($E45,Tbl_Glob_BerPoeder,H$1,FALSE)</f>
        <v>0.22899999999999998</v>
      </c>
      <c r="I45" s="339">
        <f>VLOOKUP($E45,Tbl_Glob_BerPoeder,I$1,FALSE)</f>
        <v>0.498</v>
      </c>
      <c r="J45" s="339">
        <f>VLOOKUP($E45,Tbl_Glob_BerPoeder,J$1,FALSE)</f>
        <v>0.1804337</v>
      </c>
      <c r="K45" s="339">
        <f>VLOOKUP($E45,Tbl_Glob_BerPoeder,K$1,FALSE)</f>
        <v>0.12153833999999999</v>
      </c>
      <c r="L45" s="339">
        <f>VLOOKUP($E45,Tbl_Glob_BerPoeder,L$1,FALSE)</f>
        <v>0.14765699999999998</v>
      </c>
      <c r="M45" s="339">
        <f>VLOOKUP($E45,Tbl_Glob_BerPoeder,M$1,FALSE)</f>
        <v>0.10719947999999999</v>
      </c>
      <c r="N45" s="339">
        <f>VLOOKUP($E45,Tbl_Glob_BerPoeder,N$1,FALSE)</f>
        <v>1.9336269999999999E-2</v>
      </c>
      <c r="O45" s="339">
        <f>VLOOKUP($E45,Tbl_Glob_BerPoeder,O$1,FALSE)</f>
        <v>1.7004999999999998E-3</v>
      </c>
      <c r="P45" s="339">
        <f>VLOOKUP($E45,Tbl_Glob_BerPoeder,P$1,FALSE)</f>
        <v>7.2</v>
      </c>
      <c r="Q45" s="339">
        <f>VLOOKUP($E45,Tbl_Glob_BerPoeder,Q$1,FALSE)</f>
        <v>0.14215823999999999</v>
      </c>
    </row>
    <row r="46" spans="4:17" x14ac:dyDescent="0.2">
      <c r="D46" s="339" t="str">
        <f>IF(C46&lt;&gt;"",C46&amp;": "&amp;E46,E46)</f>
        <v>Nutrilon Nenatal 1</v>
      </c>
      <c r="E46" s="486" t="s">
        <v>954</v>
      </c>
      <c r="F46" s="339">
        <f>VLOOKUP($E46,Tbl_Glob_BerPoeder,F$1,FALSE)</f>
        <v>4.91</v>
      </c>
      <c r="G46" s="339">
        <f>VLOOKUP($E46,Tbl_Glob_BerPoeder,G$1,FALSE)</f>
        <v>0.13400000000000001</v>
      </c>
      <c r="H46" s="339">
        <f>VLOOKUP($E46,Tbl_Glob_BerPoeder,H$1,FALSE)</f>
        <v>0.49099999999999999</v>
      </c>
      <c r="I46" s="339">
        <f>VLOOKUP($E46,Tbl_Glob_BerPoeder,I$1,FALSE)</f>
        <v>0.26</v>
      </c>
      <c r="J46" s="339">
        <f>VLOOKUP($E46,Tbl_Glob_BerPoeder,J$1,FALSE)</f>
        <v>7.9564740000000009E-2</v>
      </c>
      <c r="K46" s="339">
        <f>VLOOKUP($E46,Tbl_Glob_BerPoeder,K$1,FALSE)</f>
        <v>0.12923064000000001</v>
      </c>
      <c r="L46" s="339">
        <f>VLOOKUP($E46,Tbl_Glob_BerPoeder,L$1,FALSE)</f>
        <v>0.141681</v>
      </c>
      <c r="M46" s="339">
        <f>VLOOKUP($E46,Tbl_Glob_BerPoeder,M$1,FALSE)</f>
        <v>9.9450120000000003E-2</v>
      </c>
      <c r="N46" s="339">
        <f>VLOOKUP($E46,Tbl_Glob_BerPoeder,N$1,FALSE)</f>
        <v>1.8924859999999998E-2</v>
      </c>
      <c r="O46" s="339">
        <f>VLOOKUP($E46,Tbl_Glob_BerPoeder,O$1,FALSE)</f>
        <v>1.4141000000000002E-3</v>
      </c>
      <c r="P46" s="339">
        <f>VLOOKUP($E46,Tbl_Glob_BerPoeder,P$1,FALSE)</f>
        <v>4.4000000000000004</v>
      </c>
      <c r="Q46" s="339">
        <f>VLOOKUP($E46,Tbl_Glob_BerPoeder,Q$1,FALSE)</f>
        <v>0.1015416</v>
      </c>
    </row>
    <row r="47" spans="4:17" x14ac:dyDescent="0.2">
      <c r="D47" s="339" t="str">
        <f>IF(C47&lt;&gt;"",C47&amp;": "&amp;E47,E47)</f>
        <v>Nutrilon Nenatal Protein Fortifier</v>
      </c>
      <c r="E47" s="983" t="s">
        <v>968</v>
      </c>
      <c r="F47" s="339">
        <f>VLOOKUP($E47,Tbl_Glob_BerPoeder,F$1,FALSE)</f>
        <v>3.38</v>
      </c>
      <c r="G47" s="339">
        <f>VLOOKUP($E47,Tbl_Glob_BerPoeder,G$1,FALSE)</f>
        <v>0.82099999999999995</v>
      </c>
      <c r="H47" s="339">
        <f>VLOOKUP($E47,Tbl_Glob_BerPoeder,H$1,FALSE)</f>
        <v>2.2000000000000002E-2</v>
      </c>
      <c r="I47" s="339">
        <f>VLOOKUP($E47,Tbl_Glob_BerPoeder,I$1,FALSE)</f>
        <v>1E-3</v>
      </c>
      <c r="J47" s="339">
        <f>VLOOKUP($E47,Tbl_Glob_BerPoeder,J$1,FALSE)</f>
        <v>0.33738928000000001</v>
      </c>
      <c r="K47" s="339">
        <f>VLOOKUP($E47,Tbl_Glob_BerPoeder,K$1,FALSE)</f>
        <v>0.31435866000000001</v>
      </c>
      <c r="L47" s="339">
        <f>VLOOKUP($E47,Tbl_Glob_BerPoeder,L$1,FALSE)</f>
        <v>0.13047599999999998</v>
      </c>
      <c r="M47" s="339">
        <f>VLOOKUP($E47,Tbl_Glob_BerPoeder,M$1,FALSE)</f>
        <v>0.16661123999999997</v>
      </c>
      <c r="N47" s="339">
        <f>VLOOKUP($E47,Tbl_Glob_BerPoeder,N$1,FALSE)</f>
        <v>1.8924859999999998E-2</v>
      </c>
      <c r="O47" s="339">
        <f>VLOOKUP($E47,Tbl_Glob_BerPoeder,O$1,FALSE)</f>
        <v>0</v>
      </c>
      <c r="P47" s="339">
        <f>VLOOKUP($E47,Tbl_Glob_BerPoeder,P$1,FALSE)</f>
        <v>0</v>
      </c>
      <c r="Q47" s="339">
        <f>VLOOKUP($E47,Tbl_Glob_BerPoeder,Q$1,FALSE)</f>
        <v>1.8615959999999997E-2</v>
      </c>
    </row>
    <row r="48" spans="4:17" x14ac:dyDescent="0.2">
      <c r="D48" s="339" t="str">
        <f>IF(C48&lt;&gt;"",C48&amp;": "&amp;E48,E48)</f>
        <v>Calogen neutraal</v>
      </c>
      <c r="E48" s="983" t="s">
        <v>969</v>
      </c>
      <c r="F48" s="339">
        <f>VLOOKUP($E48,Tbl_Glob_BerPoeder,F$1,FALSE)</f>
        <v>4.5</v>
      </c>
      <c r="G48" s="339">
        <f>VLOOKUP($E48,Tbl_Glob_BerPoeder,G$1,FALSE)</f>
        <v>0</v>
      </c>
      <c r="H48" s="339">
        <f>VLOOKUP($E48,Tbl_Glob_BerPoeder,H$1,FALSE)</f>
        <v>0</v>
      </c>
      <c r="I48" s="339">
        <f>VLOOKUP($E48,Tbl_Glob_BerPoeder,I$1,FALSE)</f>
        <v>0.5</v>
      </c>
      <c r="J48" s="339">
        <f>VLOOKUP($E48,Tbl_Glob_BerPoeder,J$1,FALSE)</f>
        <v>3.04346E-3</v>
      </c>
      <c r="K48" s="339">
        <f>VLOOKUP($E48,Tbl_Glob_BerPoeder,K$1,FALSE)</f>
        <v>0</v>
      </c>
      <c r="L48" s="339">
        <f>VLOOKUP($E48,Tbl_Glob_BerPoeder,L$1,FALSE)</f>
        <v>0</v>
      </c>
      <c r="M48" s="339">
        <f>VLOOKUP($E48,Tbl_Glob_BerPoeder,M$1,FALSE)</f>
        <v>0</v>
      </c>
      <c r="N48" s="339">
        <f>VLOOKUP($E48,Tbl_Glob_BerPoeder,N$1,FALSE)</f>
        <v>0</v>
      </c>
      <c r="O48" s="339">
        <f>VLOOKUP($E48,Tbl_Glob_BerPoeder,O$1,FALSE)</f>
        <v>0</v>
      </c>
      <c r="P48" s="339">
        <f>VLOOKUP($E48,Tbl_Glob_BerPoeder,P$1,FALSE)</f>
        <v>0</v>
      </c>
      <c r="Q48" s="339">
        <f>VLOOKUP($E48,Tbl_Glob_BerPoeder,Q$1,FALSE)</f>
        <v>2.8206000000000001E-5</v>
      </c>
    </row>
    <row r="49" spans="4:17" x14ac:dyDescent="0.2">
      <c r="D49" s="339" t="str">
        <f>IF(C49&lt;&gt;"",C49&amp;": "&amp;E49,E49)</f>
        <v>Liquigen</v>
      </c>
      <c r="E49" s="983" t="s">
        <v>970</v>
      </c>
      <c r="F49" s="339">
        <f>VLOOKUP($E49,Tbl_Glob_BerPoeder,F$1,FALSE)</f>
        <v>4.5</v>
      </c>
      <c r="G49" s="339">
        <f>VLOOKUP($E49,Tbl_Glob_BerPoeder,G$1,FALSE)</f>
        <v>0</v>
      </c>
      <c r="H49" s="339">
        <f>VLOOKUP($E49,Tbl_Glob_BerPoeder,H$1,FALSE)</f>
        <v>0</v>
      </c>
      <c r="I49" s="339">
        <f>VLOOKUP($E49,Tbl_Glob_BerPoeder,I$1,FALSE)</f>
        <v>0.5</v>
      </c>
      <c r="J49" s="339">
        <f>VLOOKUP($E49,Tbl_Glob_BerPoeder,J$1,FALSE)</f>
        <v>2.1739000000000003E-3</v>
      </c>
      <c r="K49" s="339">
        <f>VLOOKUP($E49,Tbl_Glob_BerPoeder,K$1,FALSE)</f>
        <v>2.5641000000000001E-5</v>
      </c>
      <c r="L49" s="339">
        <f>VLOOKUP($E49,Tbl_Glob_BerPoeder,L$1,FALSE)</f>
        <v>7.4699999999999986E-5</v>
      </c>
      <c r="M49" s="339">
        <f>VLOOKUP($E49,Tbl_Glob_BerPoeder,M$1,FALSE)</f>
        <v>0</v>
      </c>
      <c r="N49" s="339">
        <f>VLOOKUP($E49,Tbl_Glob_BerPoeder,N$1,FALSE)</f>
        <v>0</v>
      </c>
      <c r="O49" s="339">
        <f>VLOOKUP($E49,Tbl_Glob_BerPoeder,O$1,FALSE)</f>
        <v>0</v>
      </c>
      <c r="P49" s="339">
        <f>VLOOKUP($E49,Tbl_Glob_BerPoeder,P$1,FALSE)</f>
        <v>0</v>
      </c>
      <c r="Q49" s="339">
        <f>VLOOKUP($E49,Tbl_Glob_BerPoeder,Q$1,FALSE)</f>
        <v>2.8205999999999997E-6</v>
      </c>
    </row>
    <row r="50" spans="4:17" x14ac:dyDescent="0.2">
      <c r="D50" s="339" t="str">
        <f>IF(C50&lt;&gt;"",C50&amp;": "&amp;E50,E50)</f>
        <v>Fantomalt</v>
      </c>
      <c r="E50" s="983" t="s">
        <v>553</v>
      </c>
      <c r="F50" s="339">
        <f>VLOOKUP($E50,Tbl_Glob_BerPoeder,F$1,FALSE)</f>
        <v>3.84</v>
      </c>
      <c r="G50" s="339">
        <f>VLOOKUP($E50,Tbl_Glob_BerPoeder,G$1,FALSE)</f>
        <v>0</v>
      </c>
      <c r="H50" s="339">
        <f>VLOOKUP($E50,Tbl_Glob_BerPoeder,H$1,FALSE)</f>
        <v>0.96</v>
      </c>
      <c r="I50" s="339">
        <f>VLOOKUP($E50,Tbl_Glob_BerPoeder,I$1,FALSE)</f>
        <v>0</v>
      </c>
      <c r="J50" s="339">
        <f>VLOOKUP($E50,Tbl_Glob_BerPoeder,J$1,FALSE)</f>
        <v>8.6956000000000002E-4</v>
      </c>
      <c r="K50" s="339">
        <f>VLOOKUP($E50,Tbl_Glob_BerPoeder,K$1,FALSE)</f>
        <v>0</v>
      </c>
      <c r="L50" s="339">
        <f>VLOOKUP($E50,Tbl_Glob_BerPoeder,L$1,FALSE)</f>
        <v>0</v>
      </c>
      <c r="M50" s="339">
        <f>VLOOKUP($E50,Tbl_Glob_BerPoeder,M$1,FALSE)</f>
        <v>0</v>
      </c>
      <c r="N50" s="339">
        <f>VLOOKUP($E50,Tbl_Glob_BerPoeder,N$1,FALSE)</f>
        <v>0</v>
      </c>
      <c r="O50" s="339">
        <f>VLOOKUP($E50,Tbl_Glob_BerPoeder,O$1,FALSE)</f>
        <v>0</v>
      </c>
      <c r="P50" s="339">
        <f>VLOOKUP($E50,Tbl_Glob_BerPoeder,P$1,FALSE)</f>
        <v>0</v>
      </c>
      <c r="Q50" s="339">
        <f>VLOOKUP($E50,Tbl_Glob_BerPoeder,Q$1,FALSE)</f>
        <v>0</v>
      </c>
    </row>
    <row r="51" spans="4:17" x14ac:dyDescent="0.2">
      <c r="D51" s="339" t="str">
        <f>IF(C51&lt;&gt;"",C51&amp;": "&amp;E51,E51)</f>
        <v>Nutrilon Pepti 1 pdr</v>
      </c>
      <c r="E51" s="983" t="s">
        <v>971</v>
      </c>
      <c r="F51" s="339">
        <f>VLOOKUP($E51,Tbl_Glob_BerPoeder,F$1,FALSE)</f>
        <v>4.93</v>
      </c>
      <c r="G51" s="339">
        <f>VLOOKUP($E51,Tbl_Glob_BerPoeder,G$1,FALSE)</f>
        <v>0.11599999999999999</v>
      </c>
      <c r="H51" s="339">
        <f>VLOOKUP($E51,Tbl_Glob_BerPoeder,H$1,FALSE)</f>
        <v>0.51800000000000002</v>
      </c>
      <c r="I51" s="339">
        <f>VLOOKUP($E51,Tbl_Glob_BerPoeder,I$1,FALSE)</f>
        <v>0.25700000000000001</v>
      </c>
      <c r="J51" s="339">
        <f>VLOOKUP($E51,Tbl_Glob_BerPoeder,J$1,FALSE)</f>
        <v>6.5216999999999997E-2</v>
      </c>
      <c r="K51" s="339">
        <f>VLOOKUP($E51,Tbl_Glob_BerPoeder,K$1,FALSE)</f>
        <v>0.15333318000000001</v>
      </c>
      <c r="L51" s="339">
        <f>VLOOKUP($E51,Tbl_Glob_BerPoeder,L$1,FALSE)</f>
        <v>8.6153999999999994E-2</v>
      </c>
      <c r="M51" s="339">
        <f>VLOOKUP($E51,Tbl_Glob_BerPoeder,M$1,FALSE)</f>
        <v>6.1671990000000003E-2</v>
      </c>
      <c r="N51" s="339">
        <f>VLOOKUP($E51,Tbl_Glob_BerPoeder,N$1,FALSE)</f>
        <v>1.6044989999999999E-2</v>
      </c>
      <c r="O51" s="339">
        <f>VLOOKUP($E51,Tbl_Glob_BerPoeder,O$1,FALSE)</f>
        <v>6.981E-4</v>
      </c>
      <c r="P51" s="339">
        <f>VLOOKUP($E51,Tbl_Glob_BerPoeder,P$1,FALSE)</f>
        <v>3.76</v>
      </c>
      <c r="Q51" s="339">
        <f>VLOOKUP($E51,Tbl_Glob_BerPoeder,Q$1,FALSE)</f>
        <v>8.1797399999999992E-2</v>
      </c>
    </row>
    <row r="52" spans="4:17" x14ac:dyDescent="0.2">
      <c r="D52" s="339" t="str">
        <f>IF(C52&lt;&gt;"",C52&amp;": "&amp;E52,E52)</f>
        <v>Nutrilon Hypoallergeen 1 pdr</v>
      </c>
      <c r="E52" s="983" t="s">
        <v>972</v>
      </c>
      <c r="F52" s="339">
        <f>VLOOKUP($E52,Tbl_Glob_BerPoeder,F$1,FALSE)</f>
        <v>4.83</v>
      </c>
      <c r="G52" s="339">
        <f>VLOOKUP($E52,Tbl_Glob_BerPoeder,G$1,FALSE)</f>
        <v>0.11</v>
      </c>
      <c r="H52" s="339">
        <f>VLOOKUP($E52,Tbl_Glob_BerPoeder,H$1,FALSE)</f>
        <v>0.52500000000000002</v>
      </c>
      <c r="I52" s="339">
        <f>VLOOKUP($E52,Tbl_Glob_BerPoeder,I$1,FALSE)</f>
        <v>0.24600000000000002</v>
      </c>
      <c r="J52" s="339">
        <f>VLOOKUP($E52,Tbl_Glob_BerPoeder,J$1,FALSE)</f>
        <v>7.8695180000000003E-2</v>
      </c>
      <c r="K52" s="339">
        <f>VLOOKUP($E52,Tbl_Glob_BerPoeder,K$1,FALSE)</f>
        <v>0.1358973</v>
      </c>
      <c r="L52" s="339">
        <f>VLOOKUP($E52,Tbl_Glob_BerPoeder,L$1,FALSE)</f>
        <v>8.4410999999999986E-2</v>
      </c>
      <c r="M52" s="339">
        <f>VLOOKUP($E52,Tbl_Glob_BerPoeder,M$1,FALSE)</f>
        <v>6.1349099999999997E-2</v>
      </c>
      <c r="N52" s="339">
        <f>VLOOKUP($E52,Tbl_Glob_BerPoeder,N$1,FALSE)</f>
        <v>1.522217E-2</v>
      </c>
      <c r="O52" s="339">
        <f>VLOOKUP($E52,Tbl_Glob_BerPoeder,O$1,FALSE)</f>
        <v>6.981E-4</v>
      </c>
      <c r="P52" s="339">
        <f>VLOOKUP($E52,Tbl_Glob_BerPoeder,P$1,FALSE)</f>
        <v>3.52</v>
      </c>
      <c r="Q52" s="339">
        <f>VLOOKUP($E52,Tbl_Glob_BerPoeder,Q$1,FALSE)</f>
        <v>8.518212E-2</v>
      </c>
    </row>
    <row r="53" spans="4:17" x14ac:dyDescent="0.2">
      <c r="D53" s="339" t="str">
        <f>IF(C53&lt;&gt;"",C53&amp;": "&amp;E53,E53)</f>
        <v>Neocate LCP</v>
      </c>
      <c r="E53" s="983" t="s">
        <v>973</v>
      </c>
      <c r="F53" s="339">
        <f>VLOOKUP($E53,Tbl_Glob_BerPoeder,F$1,FALSE)</f>
        <v>4.83</v>
      </c>
      <c r="G53" s="339">
        <f>VLOOKUP($E53,Tbl_Glob_BerPoeder,G$1,FALSE)</f>
        <v>0.13</v>
      </c>
      <c r="H53" s="339">
        <f>VLOOKUP($E53,Tbl_Glob_BerPoeder,H$1,FALSE)</f>
        <v>0.52500000000000002</v>
      </c>
      <c r="I53" s="339">
        <f>VLOOKUP($E53,Tbl_Glob_BerPoeder,I$1,FALSE)</f>
        <v>0.245</v>
      </c>
      <c r="J53" s="339">
        <f>VLOOKUP($E53,Tbl_Glob_BerPoeder,J$1,FALSE)</f>
        <v>8.2173419999999997E-2</v>
      </c>
      <c r="K53" s="339">
        <f>VLOOKUP($E53,Tbl_Glob_BerPoeder,K$1,FALSE)</f>
        <v>0.13461524999999999</v>
      </c>
      <c r="L53" s="339">
        <f>VLOOKUP($E53,Tbl_Glob_BerPoeder,L$1,FALSE)</f>
        <v>0.11827499999999999</v>
      </c>
      <c r="M53" s="339">
        <f>VLOOKUP($E53,Tbl_Glob_BerPoeder,M$1,FALSE)</f>
        <v>0.11010548999999999</v>
      </c>
      <c r="N53" s="339">
        <f>VLOOKUP($E53,Tbl_Glob_BerPoeder,N$1,FALSE)</f>
        <v>2.0981909999999999E-2</v>
      </c>
      <c r="O53" s="339">
        <f>VLOOKUP($E53,Tbl_Glob_BerPoeder,O$1,FALSE)</f>
        <v>1.2977500000000001E-3</v>
      </c>
      <c r="P53" s="339">
        <f>VLOOKUP($E53,Tbl_Glob_BerPoeder,P$1,FALSE)</f>
        <v>3.52</v>
      </c>
      <c r="Q53" s="339">
        <f>VLOOKUP($E53,Tbl_Glob_BerPoeder,Q$1,FALSE)</f>
        <v>0.10887516</v>
      </c>
    </row>
    <row r="54" spans="4:17" x14ac:dyDescent="0.2">
      <c r="D54" s="339" t="str">
        <f>IF(C54&lt;&gt;"",C54&amp;": "&amp;E54,E54)</f>
        <v>Neocate Junior</v>
      </c>
      <c r="E54" s="983" t="s">
        <v>974</v>
      </c>
      <c r="F54" s="339">
        <f>VLOOKUP($E54,Tbl_Glob_BerPoeder,F$1,FALSE)</f>
        <v>4.75</v>
      </c>
      <c r="G54" s="339">
        <f>VLOOKUP($E54,Tbl_Glob_BerPoeder,G$1,FALSE)</f>
        <v>0.13300000000000001</v>
      </c>
      <c r="H54" s="339">
        <f>VLOOKUP($E54,Tbl_Glob_BerPoeder,H$1,FALSE)</f>
        <v>0.56000000000000005</v>
      </c>
      <c r="I54" s="339">
        <f>VLOOKUP($E54,Tbl_Glob_BerPoeder,I$1,FALSE)</f>
        <v>0.22</v>
      </c>
      <c r="J54" s="339">
        <f>VLOOKUP($E54,Tbl_Glob_BerPoeder,J$1,FALSE)</f>
        <v>0.1239123</v>
      </c>
      <c r="K54" s="339">
        <f>VLOOKUP($E54,Tbl_Glob_BerPoeder,K$1,FALSE)</f>
        <v>0.13999986</v>
      </c>
      <c r="L54" s="339">
        <f>VLOOKUP($E54,Tbl_Glob_BerPoeder,L$1,FALSE)</f>
        <v>0.106572</v>
      </c>
      <c r="M54" s="339">
        <f>VLOOKUP($E54,Tbl_Glob_BerPoeder,M$1,FALSE)</f>
        <v>9.9773009999999995E-2</v>
      </c>
      <c r="N54" s="339">
        <f>VLOOKUP($E54,Tbl_Glob_BerPoeder,N$1,FALSE)</f>
        <v>2.7358764999999997E-2</v>
      </c>
      <c r="O54" s="339">
        <f>VLOOKUP($E54,Tbl_Glob_BerPoeder,O$1,FALSE)</f>
        <v>1.0203E-3</v>
      </c>
      <c r="P54" s="339">
        <f>VLOOKUP($E54,Tbl_Glob_BerPoeder,P$1,FALSE)</f>
        <v>2.48</v>
      </c>
      <c r="Q54" s="339">
        <f>VLOOKUP($E54,Tbl_Glob_BerPoeder,Q$1,FALSE)</f>
        <v>0.12326022</v>
      </c>
    </row>
    <row r="55" spans="4:17" x14ac:dyDescent="0.2">
      <c r="D55" s="388" t="s">
        <v>1026</v>
      </c>
      <c r="E55" s="388" t="s">
        <v>1055</v>
      </c>
      <c r="F55" s="339">
        <f>VLOOKUP($E55,Tbl_Glob_BerPoeder,F$1,FALSE)</f>
        <v>4.84</v>
      </c>
      <c r="G55" s="339">
        <f>VLOOKUP($E55,Tbl_Glob_BerPoeder,G$1,FALSE)</f>
        <v>9.6999999999999989E-2</v>
      </c>
      <c r="H55" s="339">
        <f>VLOOKUP($E55,Tbl_Glob_BerPoeder,H$1,FALSE)</f>
        <v>0.53799999999999992</v>
      </c>
      <c r="I55" s="339">
        <f>VLOOKUP($E55,Tbl_Glob_BerPoeder,I$1,FALSE)</f>
        <v>0.247</v>
      </c>
      <c r="J55" s="339">
        <f>VLOOKUP($E55,Tbl_Glob_BerPoeder,J$1,FALSE)</f>
        <v>5.43475E-2</v>
      </c>
      <c r="K55" s="339">
        <f>VLOOKUP($E55,Tbl_Glob_BerPoeder,K$1,FALSE)</f>
        <v>0.12846141</v>
      </c>
      <c r="L55" s="339">
        <f>VLOOKUP($E55,Tbl_Glob_BerPoeder,L$1,FALSE)</f>
        <v>0.10408199999999999</v>
      </c>
      <c r="M55" s="339">
        <f>VLOOKUP($E55,Tbl_Glob_BerPoeder,M$1,FALSE)</f>
        <v>7.6524929999999991E-2</v>
      </c>
      <c r="N55" s="339">
        <f>VLOOKUP($E55,Tbl_Glob_BerPoeder,N$1,FALSE)</f>
        <v>1.522217E-2</v>
      </c>
      <c r="O55" s="339">
        <f>VLOOKUP($E55,Tbl_Glob_BerPoeder,O$1,FALSE)</f>
        <v>6.981E-4</v>
      </c>
      <c r="P55" s="339">
        <f>VLOOKUP($E55,Tbl_Glob_BerPoeder,P$1,FALSE)</f>
        <v>3.48</v>
      </c>
      <c r="Q55" s="339">
        <f>VLOOKUP($E55,Tbl_Glob_BerPoeder,Q$1,FALSE)</f>
        <v>8.5746240000000001E-2</v>
      </c>
    </row>
    <row r="56" spans="4:17" x14ac:dyDescent="0.2">
      <c r="D56" s="388" t="s">
        <v>1027</v>
      </c>
      <c r="E56" s="388" t="s">
        <v>1027</v>
      </c>
      <c r="F56" s="339">
        <f>VLOOKUP($E56,Tbl_Glob_BerPoeder,F$1,FALSE)</f>
        <v>3.18</v>
      </c>
      <c r="G56" s="339">
        <f>VLOOKUP($E56,Tbl_Glob_BerPoeder,G$1,FALSE)</f>
        <v>0</v>
      </c>
      <c r="H56" s="339">
        <f>VLOOKUP($E56,Tbl_Glob_BerPoeder,H$1,FALSE)</f>
        <v>0.66200000000000003</v>
      </c>
      <c r="I56" s="339">
        <f>VLOOKUP($E56,Tbl_Glob_BerPoeder,I$1,FALSE)</f>
        <v>3.0000000000000001E-3</v>
      </c>
      <c r="J56" s="339">
        <f>VLOOKUP($E56,Tbl_Glob_BerPoeder,J$1,FALSE)</f>
        <v>2.6086799999999999E-3</v>
      </c>
      <c r="K56" s="339">
        <f>VLOOKUP($E56,Tbl_Glob_BerPoeder,K$1,FALSE)</f>
        <v>2.3333310000000003E-2</v>
      </c>
      <c r="L56" s="339">
        <f>VLOOKUP($E56,Tbl_Glob_BerPoeder,L$1,FALSE)</f>
        <v>8.3415000000000003E-2</v>
      </c>
      <c r="M56" s="339">
        <f>VLOOKUP($E56,Tbl_Glob_BerPoeder,M$1,FALSE)</f>
        <v>3.8746799999999997E-3</v>
      </c>
      <c r="N56" s="339">
        <f>VLOOKUP($E56,Tbl_Glob_BerPoeder,N$1,FALSE)</f>
        <v>3.7438309999999995E-3</v>
      </c>
      <c r="O56" s="339">
        <f>VLOOKUP($E56,Tbl_Glob_BerPoeder,O$1,FALSE)</f>
        <v>1.5751999999999999E-3</v>
      </c>
      <c r="P56" s="339">
        <f>VLOOKUP($E56,Tbl_Glob_BerPoeder,P$1,FALSE)</f>
        <v>0</v>
      </c>
      <c r="Q56" s="339">
        <f>VLOOKUP($E56,Tbl_Glob_BerPoeder,Q$1,FALSE)</f>
        <v>3.0744539999999997E-2</v>
      </c>
    </row>
  </sheetData>
  <customSheetViews>
    <customSheetView guid="{33CCADFA-0D48-46A6-8927-2B2144029216}" showRowCol="0" outlineSymbols="0" zeroValues="0">
      <selection activeCell="G47" sqref="G47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ab">
    <tabColor rgb="FF7030A0"/>
    <pageSetUpPr autoPageBreaks="0"/>
  </sheetPr>
  <dimension ref="A1:CC44"/>
  <sheetViews>
    <sheetView zoomScaleNormal="100" workbookViewId="0">
      <pane ySplit="9" topLeftCell="A10" activePane="bottomLeft" state="frozen"/>
      <selection pane="bottomLeft"/>
    </sheetView>
  </sheetViews>
  <sheetFormatPr defaultColWidth="9.140625" defaultRowHeight="12.75" x14ac:dyDescent="0.2"/>
  <cols>
    <col min="1" max="1" width="4.7109375" style="723" customWidth="1"/>
    <col min="2" max="9" width="10.7109375" style="723" customWidth="1"/>
    <col min="10" max="10" width="3.7109375" style="723" customWidth="1"/>
    <col min="11" max="12" width="10.7109375" style="723" customWidth="1"/>
    <col min="13" max="16384" width="9.140625" style="723"/>
  </cols>
  <sheetData>
    <row r="1" spans="1:81" s="642" customFormat="1" ht="17.25" customHeight="1" x14ac:dyDescent="0.2">
      <c r="A1" s="721"/>
      <c r="B1" s="671"/>
      <c r="C1" s="671"/>
      <c r="D1" s="671"/>
      <c r="E1" s="671"/>
      <c r="F1" s="671"/>
      <c r="G1" s="671"/>
      <c r="H1" s="671"/>
      <c r="I1" s="671"/>
      <c r="J1" s="671"/>
      <c r="K1" s="671"/>
      <c r="L1" s="671"/>
      <c r="M1" s="671"/>
      <c r="N1" s="671"/>
      <c r="R1" s="652"/>
      <c r="S1" s="652"/>
      <c r="T1" s="652"/>
      <c r="U1" s="652"/>
      <c r="V1" s="652"/>
      <c r="W1" s="652"/>
      <c r="X1" s="652"/>
    </row>
    <row r="2" spans="1:81" s="642" customFormat="1" ht="17.25" customHeight="1" x14ac:dyDescent="0.2">
      <c r="A2" s="652"/>
      <c r="B2" s="671"/>
      <c r="C2" s="626" t="s">
        <v>304</v>
      </c>
      <c r="D2" s="627">
        <f ca="1">Var_AfspraakDatum</f>
        <v>42750</v>
      </c>
      <c r="E2" s="628"/>
      <c r="F2" s="626" t="s">
        <v>4677</v>
      </c>
      <c r="G2" s="827"/>
      <c r="H2" s="630" t="str">
        <f>PatDetails!B13</f>
        <v/>
      </c>
      <c r="I2" s="626"/>
      <c r="J2" s="671" t="str">
        <f>PatDetails!B21</f>
        <v>Gewicht:</v>
      </c>
      <c r="K2" s="671"/>
      <c r="L2" s="671"/>
      <c r="M2" s="671" t="s">
        <v>519</v>
      </c>
      <c r="N2" s="671">
        <v>0</v>
      </c>
      <c r="R2" s="652"/>
      <c r="S2" s="652"/>
      <c r="T2" s="652"/>
      <c r="U2" s="652"/>
      <c r="V2" s="652"/>
      <c r="W2" s="652"/>
      <c r="X2" s="652"/>
    </row>
    <row r="3" spans="1:81" s="642" customFormat="1" ht="17.25" customHeight="1" x14ac:dyDescent="0.2">
      <c r="A3" s="652"/>
      <c r="B3" s="594"/>
      <c r="C3" s="626" t="s">
        <v>28</v>
      </c>
      <c r="D3" s="631" t="str">
        <f>PatDetails!B19</f>
        <v/>
      </c>
      <c r="E3" s="631"/>
      <c r="F3" s="626" t="s">
        <v>4678</v>
      </c>
      <c r="G3" s="827"/>
      <c r="H3" s="630" t="str">
        <f ca="1">PatDetails!B14</f>
        <v/>
      </c>
      <c r="I3" s="671"/>
      <c r="J3" s="626" t="str">
        <f>PatDetails!B22</f>
        <v>Lengte:</v>
      </c>
      <c r="K3" s="671"/>
      <c r="L3" s="671"/>
      <c r="M3" s="671"/>
      <c r="N3" s="671"/>
      <c r="R3" s="652"/>
      <c r="S3" s="652"/>
      <c r="T3" s="652"/>
      <c r="U3" s="652"/>
      <c r="V3" s="652"/>
      <c r="W3" s="652"/>
      <c r="X3" s="652"/>
    </row>
    <row r="4" spans="1:81" s="642" customFormat="1" ht="17.25" customHeight="1" x14ac:dyDescent="0.2">
      <c r="A4" s="644"/>
      <c r="B4" s="634"/>
      <c r="C4" s="626" t="s">
        <v>4671</v>
      </c>
      <c r="D4" s="626" t="str">
        <f>PatDetails!B15</f>
        <v/>
      </c>
      <c r="E4" s="628"/>
      <c r="F4" s="626" t="s">
        <v>275</v>
      </c>
      <c r="G4" s="828"/>
      <c r="H4" s="635" t="str">
        <f ca="1">PatDetails!B18</f>
        <v/>
      </c>
      <c r="I4" s="626"/>
      <c r="J4" s="626" t="str">
        <f>PatDetails!B23</f>
        <v>Lichamelijk oppervlak:</v>
      </c>
      <c r="K4" s="634"/>
      <c r="L4" s="671"/>
      <c r="M4" s="634"/>
      <c r="N4" s="671"/>
      <c r="R4" s="644"/>
      <c r="S4" s="644"/>
      <c r="T4" s="644"/>
      <c r="U4" s="644"/>
      <c r="V4" s="644"/>
      <c r="W4" s="644"/>
      <c r="X4" s="644"/>
      <c r="Y4" s="649"/>
      <c r="Z4" s="649"/>
      <c r="AA4" s="649"/>
      <c r="AB4" s="649"/>
      <c r="AC4" s="649"/>
      <c r="AD4" s="649"/>
      <c r="AE4" s="649"/>
      <c r="AF4" s="649"/>
      <c r="AG4" s="649"/>
      <c r="AH4" s="649"/>
      <c r="AI4" s="649"/>
      <c r="AJ4" s="649"/>
      <c r="AK4" s="649"/>
      <c r="AL4" s="649"/>
      <c r="AM4" s="649"/>
      <c r="AN4" s="649"/>
      <c r="AO4" s="649"/>
      <c r="AP4" s="649"/>
      <c r="AQ4" s="649"/>
      <c r="AR4" s="649"/>
      <c r="AS4" s="649"/>
      <c r="AT4" s="649"/>
      <c r="AU4" s="649"/>
      <c r="AV4" s="649"/>
      <c r="AW4" s="649"/>
      <c r="AX4" s="649"/>
      <c r="AY4" s="649"/>
      <c r="AZ4" s="649"/>
      <c r="BA4" s="649"/>
      <c r="BB4" s="649"/>
      <c r="BC4" s="649"/>
      <c r="BD4" s="649"/>
      <c r="BE4" s="649"/>
      <c r="BF4" s="649"/>
      <c r="BG4" s="649"/>
      <c r="BH4" s="649"/>
      <c r="BI4" s="649"/>
      <c r="BJ4" s="649"/>
      <c r="BK4" s="649"/>
      <c r="BL4" s="649"/>
      <c r="BM4" s="649"/>
      <c r="BN4" s="649"/>
      <c r="BO4" s="649"/>
      <c r="BP4" s="649"/>
      <c r="BQ4" s="649"/>
      <c r="BR4" s="649"/>
      <c r="BS4" s="649"/>
      <c r="BT4" s="649"/>
      <c r="BU4" s="649"/>
      <c r="BV4" s="649"/>
      <c r="BW4" s="649"/>
      <c r="BX4" s="649"/>
      <c r="BY4" s="649"/>
      <c r="BZ4" s="649"/>
      <c r="CA4" s="649"/>
      <c r="CB4" s="649"/>
      <c r="CC4" s="649"/>
    </row>
    <row r="5" spans="1:81" s="642" customFormat="1" ht="8.1" customHeight="1" x14ac:dyDescent="0.2">
      <c r="A5" s="644"/>
      <c r="B5" s="634"/>
      <c r="C5" s="626"/>
      <c r="D5" s="626"/>
      <c r="E5" s="628"/>
      <c r="F5" s="626"/>
      <c r="G5" s="634"/>
      <c r="H5" s="635"/>
      <c r="I5" s="626"/>
      <c r="J5" s="626"/>
      <c r="K5" s="634"/>
      <c r="L5" s="671"/>
      <c r="M5" s="634"/>
      <c r="N5" s="671"/>
      <c r="R5" s="644"/>
      <c r="S5" s="644"/>
      <c r="T5" s="644"/>
      <c r="U5" s="644"/>
      <c r="V5" s="644"/>
      <c r="W5" s="644"/>
      <c r="X5" s="644"/>
      <c r="Y5" s="649"/>
      <c r="Z5" s="649"/>
      <c r="AA5" s="649"/>
      <c r="AB5" s="649"/>
      <c r="AC5" s="649"/>
      <c r="AD5" s="649"/>
      <c r="AE5" s="649"/>
      <c r="AF5" s="649"/>
      <c r="AG5" s="649"/>
      <c r="AH5" s="649"/>
      <c r="AI5" s="649"/>
      <c r="AJ5" s="649"/>
      <c r="AK5" s="649"/>
      <c r="AL5" s="649"/>
      <c r="AM5" s="649"/>
      <c r="AN5" s="649"/>
      <c r="AO5" s="649"/>
      <c r="AP5" s="649"/>
      <c r="AQ5" s="649"/>
      <c r="AR5" s="649"/>
      <c r="AS5" s="649"/>
      <c r="AT5" s="649"/>
      <c r="AU5" s="649"/>
      <c r="AV5" s="649"/>
      <c r="AW5" s="649"/>
      <c r="AX5" s="649"/>
      <c r="AY5" s="649"/>
      <c r="AZ5" s="649"/>
      <c r="BA5" s="649"/>
      <c r="BB5" s="649"/>
      <c r="BC5" s="649"/>
      <c r="BD5" s="649"/>
      <c r="BE5" s="649"/>
      <c r="BF5" s="649"/>
      <c r="BG5" s="649"/>
      <c r="BH5" s="649"/>
      <c r="BI5" s="649"/>
      <c r="BJ5" s="649"/>
      <c r="BK5" s="649"/>
      <c r="BL5" s="649"/>
      <c r="BM5" s="649"/>
      <c r="BN5" s="649"/>
      <c r="BO5" s="649"/>
      <c r="BP5" s="649"/>
      <c r="BQ5" s="649"/>
      <c r="BR5" s="649"/>
      <c r="BS5" s="649"/>
      <c r="BT5" s="649"/>
      <c r="BU5" s="649"/>
      <c r="BV5" s="649"/>
      <c r="BW5" s="649"/>
      <c r="BX5" s="649"/>
      <c r="BY5" s="649"/>
      <c r="BZ5" s="649"/>
      <c r="CA5" s="649"/>
      <c r="CB5" s="649"/>
      <c r="CC5" s="649"/>
    </row>
    <row r="7" spans="1:81" ht="20.100000000000001" customHeight="1" x14ac:dyDescent="0.2">
      <c r="A7" s="722"/>
      <c r="B7" s="848" t="s">
        <v>147</v>
      </c>
      <c r="C7" s="849"/>
      <c r="D7" s="849" t="s">
        <v>734</v>
      </c>
      <c r="E7" s="849"/>
      <c r="F7" s="849"/>
      <c r="G7" s="848"/>
      <c r="H7" s="850"/>
      <c r="I7" s="848"/>
      <c r="J7" s="851"/>
      <c r="K7" s="851"/>
      <c r="L7" s="851"/>
      <c r="M7" s="851"/>
      <c r="N7" s="851"/>
    </row>
    <row r="8" spans="1:81" x14ac:dyDescent="0.2">
      <c r="A8" s="724"/>
      <c r="B8" s="725"/>
    </row>
    <row r="9" spans="1:81" ht="18.75" customHeight="1" x14ac:dyDescent="0.2">
      <c r="A9" s="724"/>
      <c r="B9" s="812" t="s">
        <v>732</v>
      </c>
      <c r="C9" s="812"/>
      <c r="D9" s="812" t="s">
        <v>451</v>
      </c>
      <c r="E9" s="812"/>
      <c r="F9" s="812" t="s">
        <v>452</v>
      </c>
      <c r="G9" s="812"/>
      <c r="H9" s="812" t="s">
        <v>148</v>
      </c>
      <c r="I9" s="812"/>
      <c r="J9" s="812"/>
      <c r="K9" s="812" t="s">
        <v>18</v>
      </c>
      <c r="L9" s="812"/>
    </row>
    <row r="10" spans="1:81" ht="26.25" customHeight="1" x14ac:dyDescent="0.2">
      <c r="B10" s="857"/>
      <c r="C10" s="858"/>
      <c r="D10" s="857"/>
      <c r="E10" s="857"/>
      <c r="F10" s="857"/>
      <c r="G10" s="857"/>
      <c r="H10" s="857"/>
      <c r="I10" s="857"/>
      <c r="J10" s="726"/>
      <c r="K10" s="857"/>
      <c r="L10" s="857"/>
    </row>
    <row r="11" spans="1:81" ht="26.25" customHeight="1" x14ac:dyDescent="0.2">
      <c r="B11" s="857"/>
      <c r="C11" s="858"/>
      <c r="D11" s="857"/>
      <c r="E11" s="857"/>
      <c r="F11" s="857"/>
      <c r="G11" s="857"/>
      <c r="H11" s="857"/>
      <c r="I11" s="857"/>
      <c r="J11" s="726"/>
      <c r="K11" s="857"/>
      <c r="L11" s="857"/>
    </row>
    <row r="12" spans="1:81" ht="26.25" customHeight="1" x14ac:dyDescent="0.2">
      <c r="A12" s="728"/>
      <c r="B12" s="857"/>
      <c r="C12" s="858"/>
      <c r="D12" s="857"/>
      <c r="E12" s="857"/>
      <c r="F12" s="857"/>
      <c r="G12" s="857"/>
      <c r="H12" s="857"/>
      <c r="I12" s="857"/>
      <c r="J12" s="726"/>
      <c r="K12" s="857"/>
      <c r="L12" s="857"/>
    </row>
    <row r="13" spans="1:81" ht="26.25" customHeight="1" x14ac:dyDescent="0.2">
      <c r="B13" s="857"/>
      <c r="C13" s="858"/>
      <c r="D13" s="857"/>
      <c r="E13" s="857"/>
      <c r="F13" s="857"/>
      <c r="G13" s="857"/>
      <c r="H13" s="857"/>
      <c r="I13" s="857"/>
      <c r="J13" s="726"/>
      <c r="K13" s="857"/>
      <c r="L13" s="857"/>
    </row>
    <row r="14" spans="1:81" ht="26.25" customHeight="1" x14ac:dyDescent="0.2">
      <c r="B14" s="857"/>
      <c r="C14" s="858"/>
      <c r="D14" s="857"/>
      <c r="E14" s="857"/>
      <c r="F14" s="857"/>
      <c r="G14" s="857"/>
      <c r="H14" s="857"/>
      <c r="I14" s="857"/>
      <c r="J14" s="726"/>
      <c r="K14" s="857"/>
      <c r="L14" s="857"/>
    </row>
    <row r="15" spans="1:81" ht="26.25" customHeight="1" x14ac:dyDescent="0.2">
      <c r="B15" s="857"/>
      <c r="C15" s="858"/>
      <c r="D15" s="857"/>
      <c r="E15" s="857"/>
      <c r="F15" s="857"/>
      <c r="G15" s="857"/>
      <c r="H15" s="857"/>
      <c r="I15" s="857"/>
      <c r="J15" s="726"/>
      <c r="K15" s="857"/>
      <c r="L15" s="857"/>
    </row>
    <row r="16" spans="1:81" ht="26.25" customHeight="1" x14ac:dyDescent="0.2">
      <c r="B16" s="857"/>
      <c r="C16" s="858"/>
      <c r="D16" s="857"/>
      <c r="E16" s="857"/>
      <c r="F16" s="857"/>
      <c r="G16" s="857"/>
      <c r="H16" s="857"/>
      <c r="I16" s="857"/>
      <c r="J16" s="726"/>
      <c r="K16" s="857"/>
      <c r="L16" s="857"/>
    </row>
    <row r="17" spans="2:12" ht="26.25" customHeight="1" x14ac:dyDescent="0.2">
      <c r="B17" s="857"/>
      <c r="C17" s="858"/>
      <c r="D17" s="857"/>
      <c r="E17" s="857"/>
      <c r="F17" s="857"/>
      <c r="G17" s="857"/>
      <c r="H17" s="857"/>
      <c r="I17" s="857"/>
      <c r="J17" s="726"/>
      <c r="K17" s="857"/>
      <c r="L17" s="857"/>
    </row>
    <row r="18" spans="2:12" ht="26.25" customHeight="1" x14ac:dyDescent="0.2">
      <c r="B18" s="857"/>
      <c r="C18" s="858"/>
      <c r="D18" s="857"/>
      <c r="E18" s="857"/>
      <c r="F18" s="857"/>
      <c r="G18" s="857"/>
      <c r="H18" s="857"/>
      <c r="I18" s="857"/>
      <c r="J18" s="726"/>
      <c r="K18" s="857"/>
      <c r="L18" s="857"/>
    </row>
    <row r="19" spans="2:12" ht="26.25" customHeight="1" x14ac:dyDescent="0.2">
      <c r="B19" s="857"/>
      <c r="C19" s="858"/>
      <c r="D19" s="857"/>
      <c r="E19" s="857"/>
      <c r="F19" s="857"/>
      <c r="G19" s="857"/>
      <c r="H19" s="857"/>
      <c r="I19" s="857"/>
      <c r="J19" s="726"/>
      <c r="K19" s="857"/>
      <c r="L19" s="857"/>
    </row>
    <row r="20" spans="2:12" ht="26.25" customHeight="1" x14ac:dyDescent="0.2">
      <c r="B20" s="857"/>
      <c r="C20" s="858"/>
      <c r="D20" s="857"/>
      <c r="E20" s="857"/>
      <c r="F20" s="857"/>
      <c r="G20" s="857"/>
      <c r="H20" s="857"/>
      <c r="I20" s="857"/>
      <c r="J20" s="726"/>
      <c r="K20" s="857"/>
      <c r="L20" s="857"/>
    </row>
    <row r="21" spans="2:12" ht="26.25" customHeight="1" x14ac:dyDescent="0.2">
      <c r="B21" s="857"/>
      <c r="C21" s="858"/>
      <c r="D21" s="857"/>
      <c r="E21" s="857"/>
      <c r="F21" s="857"/>
      <c r="G21" s="857"/>
      <c r="H21" s="857"/>
      <c r="I21" s="857"/>
      <c r="J21" s="726"/>
      <c r="K21" s="857"/>
      <c r="L21" s="857"/>
    </row>
    <row r="22" spans="2:12" ht="26.25" customHeight="1" x14ac:dyDescent="0.2">
      <c r="B22" s="857"/>
      <c r="C22" s="858"/>
      <c r="D22" s="857"/>
      <c r="E22" s="857"/>
      <c r="F22" s="857"/>
      <c r="G22" s="857"/>
      <c r="H22" s="857"/>
      <c r="I22" s="857"/>
      <c r="J22" s="726"/>
      <c r="K22" s="857"/>
      <c r="L22" s="857"/>
    </row>
    <row r="23" spans="2:12" ht="26.25" customHeight="1" x14ac:dyDescent="0.2">
      <c r="B23" s="857"/>
      <c r="C23" s="858"/>
      <c r="D23" s="857"/>
      <c r="E23" s="857"/>
      <c r="F23" s="857"/>
      <c r="G23" s="857"/>
      <c r="H23" s="857"/>
      <c r="I23" s="857"/>
      <c r="J23" s="726"/>
      <c r="K23" s="857"/>
      <c r="L23" s="857"/>
    </row>
    <row r="24" spans="2:12" ht="26.25" customHeight="1" x14ac:dyDescent="0.2">
      <c r="B24" s="857"/>
      <c r="C24" s="858"/>
      <c r="D24" s="857"/>
      <c r="E24" s="857"/>
      <c r="F24" s="857"/>
      <c r="G24" s="857"/>
      <c r="H24" s="857"/>
      <c r="I24" s="857"/>
      <c r="J24" s="726"/>
      <c r="K24" s="857"/>
      <c r="L24" s="857"/>
    </row>
    <row r="25" spans="2:12" ht="26.25" customHeight="1" x14ac:dyDescent="0.2">
      <c r="B25" s="857"/>
      <c r="C25" s="858"/>
      <c r="D25" s="857"/>
      <c r="E25" s="857"/>
      <c r="F25" s="857"/>
      <c r="G25" s="857"/>
      <c r="H25" s="857"/>
      <c r="I25" s="857"/>
      <c r="J25" s="726"/>
      <c r="K25" s="857"/>
      <c r="L25" s="857"/>
    </row>
    <row r="26" spans="2:12" ht="26.25" customHeight="1" x14ac:dyDescent="0.2">
      <c r="B26" s="857"/>
      <c r="C26" s="858"/>
      <c r="D26" s="857"/>
      <c r="E26" s="857"/>
      <c r="F26" s="857"/>
      <c r="G26" s="857"/>
      <c r="H26" s="857"/>
      <c r="I26" s="857"/>
      <c r="J26" s="726"/>
      <c r="K26" s="857"/>
      <c r="L26" s="857"/>
    </row>
    <row r="27" spans="2:12" ht="26.25" customHeight="1" x14ac:dyDescent="0.2">
      <c r="B27" s="857"/>
      <c r="C27" s="858"/>
      <c r="D27" s="857"/>
      <c r="E27" s="857"/>
      <c r="F27" s="857"/>
      <c r="G27" s="857"/>
      <c r="H27" s="857"/>
      <c r="I27" s="857"/>
      <c r="J27" s="726"/>
      <c r="K27" s="857"/>
      <c r="L27" s="857"/>
    </row>
    <row r="28" spans="2:12" ht="26.25" customHeight="1" x14ac:dyDescent="0.2">
      <c r="B28" s="857"/>
      <c r="C28" s="858"/>
      <c r="D28" s="857"/>
      <c r="E28" s="857"/>
      <c r="F28" s="857"/>
      <c r="G28" s="857"/>
      <c r="H28" s="857"/>
      <c r="I28" s="857"/>
      <c r="J28" s="726"/>
      <c r="K28" s="857"/>
      <c r="L28" s="857"/>
    </row>
    <row r="29" spans="2:12" ht="26.25" customHeight="1" x14ac:dyDescent="0.2">
      <c r="B29" s="857"/>
      <c r="C29" s="858"/>
      <c r="D29" s="857"/>
      <c r="E29" s="857"/>
      <c r="F29" s="857"/>
      <c r="G29" s="857"/>
      <c r="H29" s="857"/>
      <c r="I29" s="857"/>
      <c r="J29" s="726"/>
      <c r="K29" s="857"/>
      <c r="L29" s="857"/>
    </row>
    <row r="30" spans="2:12" ht="26.25" customHeight="1" x14ac:dyDescent="0.2">
      <c r="B30" s="857"/>
      <c r="C30" s="858"/>
      <c r="D30" s="857"/>
      <c r="E30" s="857"/>
      <c r="F30" s="857"/>
      <c r="G30" s="857"/>
      <c r="H30" s="857"/>
      <c r="I30" s="857"/>
      <c r="J30" s="726"/>
      <c r="K30" s="857"/>
      <c r="L30" s="857"/>
    </row>
    <row r="31" spans="2:12" ht="26.25" customHeight="1" x14ac:dyDescent="0.2">
      <c r="B31" s="857"/>
      <c r="C31" s="858"/>
      <c r="D31" s="857"/>
      <c r="E31" s="857"/>
      <c r="F31" s="857"/>
      <c r="G31" s="857"/>
      <c r="H31" s="857"/>
      <c r="I31" s="857"/>
      <c r="J31" s="726"/>
      <c r="K31" s="857"/>
      <c r="L31" s="857"/>
    </row>
    <row r="32" spans="2:12" ht="26.25" customHeight="1" x14ac:dyDescent="0.2">
      <c r="B32" s="857"/>
      <c r="C32" s="858"/>
      <c r="D32" s="857"/>
      <c r="E32" s="857"/>
      <c r="F32" s="857"/>
      <c r="G32" s="857"/>
      <c r="H32" s="857"/>
      <c r="I32" s="857"/>
      <c r="J32" s="726"/>
      <c r="K32" s="857"/>
      <c r="L32" s="857"/>
    </row>
    <row r="33" spans="2:12" ht="26.25" customHeight="1" x14ac:dyDescent="0.2">
      <c r="B33" s="857"/>
      <c r="C33" s="858"/>
      <c r="D33" s="857"/>
      <c r="E33" s="857"/>
      <c r="F33" s="857"/>
      <c r="G33" s="857"/>
      <c r="H33" s="857"/>
      <c r="I33" s="857"/>
      <c r="J33" s="726"/>
      <c r="K33" s="857"/>
      <c r="L33" s="857"/>
    </row>
    <row r="34" spans="2:12" ht="26.25" customHeight="1" x14ac:dyDescent="0.2">
      <c r="B34" s="857"/>
      <c r="C34" s="858"/>
      <c r="D34" s="857"/>
      <c r="E34" s="857"/>
      <c r="F34" s="857"/>
      <c r="G34" s="857"/>
      <c r="H34" s="857"/>
      <c r="I34" s="857"/>
      <c r="J34" s="726"/>
      <c r="K34" s="857"/>
      <c r="L34" s="857"/>
    </row>
    <row r="35" spans="2:12" ht="26.25" customHeight="1" x14ac:dyDescent="0.2">
      <c r="B35" s="857"/>
      <c r="C35" s="858"/>
      <c r="D35" s="857"/>
      <c r="E35" s="857"/>
      <c r="F35" s="857"/>
      <c r="G35" s="857"/>
      <c r="H35" s="857"/>
      <c r="I35" s="857"/>
      <c r="J35" s="726"/>
      <c r="K35" s="857"/>
      <c r="L35" s="857"/>
    </row>
    <row r="36" spans="2:12" ht="26.25" customHeight="1" x14ac:dyDescent="0.2">
      <c r="B36" s="857"/>
      <c r="C36" s="858"/>
      <c r="D36" s="857"/>
      <c r="E36" s="857"/>
      <c r="F36" s="857"/>
      <c r="G36" s="857"/>
      <c r="H36" s="857"/>
      <c r="I36" s="857"/>
      <c r="J36" s="726"/>
      <c r="K36" s="857"/>
      <c r="L36" s="857"/>
    </row>
    <row r="37" spans="2:12" ht="26.25" customHeight="1" x14ac:dyDescent="0.2">
      <c r="B37" s="857"/>
      <c r="C37" s="858"/>
      <c r="D37" s="857"/>
      <c r="E37" s="857"/>
      <c r="F37" s="857"/>
      <c r="G37" s="857"/>
      <c r="H37" s="857"/>
      <c r="I37" s="857"/>
      <c r="J37" s="726"/>
      <c r="K37" s="857"/>
      <c r="L37" s="857"/>
    </row>
    <row r="38" spans="2:12" ht="26.25" customHeight="1" x14ac:dyDescent="0.2">
      <c r="B38" s="857"/>
      <c r="C38" s="858"/>
      <c r="D38" s="857"/>
      <c r="E38" s="857"/>
      <c r="F38" s="857"/>
      <c r="G38" s="857"/>
      <c r="H38" s="857"/>
      <c r="I38" s="857"/>
      <c r="J38" s="726"/>
      <c r="K38" s="857"/>
      <c r="L38" s="857"/>
    </row>
    <row r="39" spans="2:12" ht="26.25" customHeight="1" x14ac:dyDescent="0.2">
      <c r="B39" s="857"/>
      <c r="C39" s="858"/>
      <c r="D39" s="857"/>
      <c r="E39" s="857"/>
      <c r="F39" s="857"/>
      <c r="G39" s="857"/>
      <c r="H39" s="857"/>
      <c r="I39" s="857"/>
      <c r="J39" s="726"/>
      <c r="K39" s="857"/>
      <c r="L39" s="857"/>
    </row>
    <row r="40" spans="2:12" ht="26.25" customHeight="1" x14ac:dyDescent="0.2">
      <c r="B40" s="857"/>
      <c r="C40" s="858"/>
      <c r="D40" s="857"/>
      <c r="E40" s="857"/>
      <c r="F40" s="857"/>
      <c r="G40" s="857"/>
      <c r="H40" s="857"/>
      <c r="I40" s="857"/>
      <c r="J40" s="726"/>
      <c r="K40" s="857"/>
      <c r="L40" s="857"/>
    </row>
    <row r="41" spans="2:12" ht="26.25" customHeight="1" x14ac:dyDescent="0.2">
      <c r="B41" s="857"/>
      <c r="C41" s="858"/>
      <c r="D41" s="857"/>
      <c r="E41" s="857"/>
      <c r="F41" s="857"/>
      <c r="G41" s="857"/>
      <c r="H41" s="857"/>
      <c r="I41" s="857"/>
      <c r="J41" s="726"/>
      <c r="K41" s="857"/>
      <c r="L41" s="857"/>
    </row>
    <row r="42" spans="2:12" ht="15.95" customHeight="1" x14ac:dyDescent="0.2">
      <c r="B42" s="726"/>
      <c r="C42" s="727"/>
      <c r="D42" s="726"/>
      <c r="E42" s="726"/>
      <c r="F42" s="726"/>
      <c r="G42" s="726"/>
      <c r="H42" s="726"/>
      <c r="I42" s="726"/>
      <c r="J42" s="726"/>
      <c r="K42" s="726"/>
      <c r="L42" s="726"/>
    </row>
    <row r="43" spans="2:12" ht="20.100000000000001" customHeight="1" x14ac:dyDescent="0.2">
      <c r="B43" s="813" t="s">
        <v>292</v>
      </c>
      <c r="C43" s="813"/>
      <c r="D43" s="877" t="str">
        <f>IF(_Ped_Lab_Opm=0,"",_Ped_Lab_Opm)</f>
        <v/>
      </c>
      <c r="E43" s="878"/>
      <c r="F43" s="878"/>
      <c r="G43" s="878"/>
      <c r="H43" s="878"/>
      <c r="I43" s="878"/>
      <c r="J43" s="878"/>
      <c r="K43" s="878"/>
      <c r="L43" s="878"/>
    </row>
    <row r="44" spans="2:12" ht="20.100000000000001" customHeight="1" x14ac:dyDescent="0.2">
      <c r="B44" s="813"/>
      <c r="C44" s="813"/>
      <c r="D44" s="878"/>
      <c r="E44" s="878"/>
      <c r="F44" s="878"/>
      <c r="G44" s="878"/>
      <c r="H44" s="878"/>
      <c r="I44" s="878"/>
      <c r="J44" s="878"/>
      <c r="K44" s="878"/>
      <c r="L44" s="878"/>
    </row>
  </sheetData>
  <mergeCells count="1">
    <mergeCell ref="D43:L44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heck Box 1">
              <controlPr defaultSize="0" autoFill="0" autoLine="0" autoPict="0">
                <anchor moveWithCells="1">
                  <from>
                    <xdr:col>1</xdr:col>
                    <xdr:colOff>47625</xdr:colOff>
                    <xdr:row>9</xdr:row>
                    <xdr:rowOff>0</xdr:rowOff>
                  </from>
                  <to>
                    <xdr:col>2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eck Box 2">
              <controlPr defaultSize="0" autoFill="0" autoLine="0" autoPict="0">
                <anchor moveWithCells="1">
                  <from>
                    <xdr:col>1</xdr:col>
                    <xdr:colOff>47625</xdr:colOff>
                    <xdr:row>10</xdr:row>
                    <xdr:rowOff>0</xdr:rowOff>
                  </from>
                  <to>
                    <xdr:col>2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Check Box 3">
              <controlPr defaultSize="0" autoFill="0" autoLine="0" autoPict="0">
                <anchor moveWithCells="1">
                  <from>
                    <xdr:col>1</xdr:col>
                    <xdr:colOff>47625</xdr:colOff>
                    <xdr:row>12</xdr:row>
                    <xdr:rowOff>0</xdr:rowOff>
                  </from>
                  <to>
                    <xdr:col>2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Check Box 4">
              <controlPr defaultSize="0" autoFill="0" autoLine="0" autoPict="0">
                <anchor moveWithCells="1">
                  <from>
                    <xdr:col>1</xdr:col>
                    <xdr:colOff>47625</xdr:colOff>
                    <xdr:row>13</xdr:row>
                    <xdr:rowOff>0</xdr:rowOff>
                  </from>
                  <to>
                    <xdr:col>2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Check Box 5">
              <controlPr defaultSize="0" autoFill="0" autoLine="0" autoPict="0">
                <anchor moveWithCells="1">
                  <from>
                    <xdr:col>1</xdr:col>
                    <xdr:colOff>38100</xdr:colOff>
                    <xdr:row>18</xdr:row>
                    <xdr:rowOff>0</xdr:rowOff>
                  </from>
                  <to>
                    <xdr:col>2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Check Box 6">
              <controlPr defaultSize="0" autoFill="0" autoLine="0" autoPict="0">
                <anchor moveWithCells="1">
                  <from>
                    <xdr:col>1</xdr:col>
                    <xdr:colOff>47625</xdr:colOff>
                    <xdr:row>17</xdr:row>
                    <xdr:rowOff>0</xdr:rowOff>
                  </from>
                  <to>
                    <xdr:col>2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Check Box 7">
              <controlPr defaultSize="0" autoFill="0" autoLine="0" autoPict="0">
                <anchor moveWithCells="1">
                  <from>
                    <xdr:col>1</xdr:col>
                    <xdr:colOff>47625</xdr:colOff>
                    <xdr:row>35</xdr:row>
                    <xdr:rowOff>0</xdr:rowOff>
                  </from>
                  <to>
                    <xdr:col>2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Check Box 8">
              <controlPr defaultSize="0" autoFill="0" autoLine="0" autoPict="0">
                <anchor moveWithCells="1">
                  <from>
                    <xdr:col>1</xdr:col>
                    <xdr:colOff>47625</xdr:colOff>
                    <xdr:row>20</xdr:row>
                    <xdr:rowOff>0</xdr:rowOff>
                  </from>
                  <to>
                    <xdr:col>2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Check Box 9">
              <controlPr defaultSize="0" autoFill="0" autoLine="0" autoPict="0">
                <anchor moveWithCells="1">
                  <from>
                    <xdr:col>1</xdr:col>
                    <xdr:colOff>47625</xdr:colOff>
                    <xdr:row>23</xdr:row>
                    <xdr:rowOff>0</xdr:rowOff>
                  </from>
                  <to>
                    <xdr:col>2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Check Box 10">
              <controlPr defaultSize="0" autoFill="0" autoLine="0" autoPict="0">
                <anchor moveWithCells="1">
                  <from>
                    <xdr:col>1</xdr:col>
                    <xdr:colOff>47625</xdr:colOff>
                    <xdr:row>24</xdr:row>
                    <xdr:rowOff>0</xdr:rowOff>
                  </from>
                  <to>
                    <xdr:col>2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Check Box 11">
              <controlPr defaultSize="0" autoFill="0" autoLine="0" autoPict="0">
                <anchor moveWithCells="1">
                  <from>
                    <xdr:col>1</xdr:col>
                    <xdr:colOff>47625</xdr:colOff>
                    <xdr:row>25</xdr:row>
                    <xdr:rowOff>0</xdr:rowOff>
                  </from>
                  <to>
                    <xdr:col>2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Check Box 12">
              <controlPr defaultSize="0" autoFill="0" autoLine="0" autoPict="0">
                <anchor moveWithCells="1">
                  <from>
                    <xdr:col>1</xdr:col>
                    <xdr:colOff>38100</xdr:colOff>
                    <xdr:row>16</xdr:row>
                    <xdr:rowOff>0</xdr:rowOff>
                  </from>
                  <to>
                    <xdr:col>2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Check Box 13">
              <controlPr defaultSize="0" autoFill="0" autoLine="0" autoPict="0">
                <anchor moveWithCells="1">
                  <from>
                    <xdr:col>1</xdr:col>
                    <xdr:colOff>47625</xdr:colOff>
                    <xdr:row>33</xdr:row>
                    <xdr:rowOff>19050</xdr:rowOff>
                  </from>
                  <to>
                    <xdr:col>2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Check Box 14">
              <controlPr defaultSize="0" autoFill="0" autoLine="0" autoPict="0">
                <anchor moveWithCells="1">
                  <from>
                    <xdr:col>5</xdr:col>
                    <xdr:colOff>47625</xdr:colOff>
                    <xdr:row>9</xdr:row>
                    <xdr:rowOff>0</xdr:rowOff>
                  </from>
                  <to>
                    <xdr:col>6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Check Box 15">
              <controlPr defaultSize="0" autoFill="0" autoLine="0" autoPict="0">
                <anchor moveWithCells="1">
                  <from>
                    <xdr:col>5</xdr:col>
                    <xdr:colOff>47625</xdr:colOff>
                    <xdr:row>10</xdr:row>
                    <xdr:rowOff>0</xdr:rowOff>
                  </from>
                  <to>
                    <xdr:col>6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Check Box 16">
              <controlPr defaultSize="0" autoFill="0" autoLine="0" autoPict="0">
                <anchor moveWithCells="1">
                  <from>
                    <xdr:col>5</xdr:col>
                    <xdr:colOff>47625</xdr:colOff>
                    <xdr:row>12</xdr:row>
                    <xdr:rowOff>0</xdr:rowOff>
                  </from>
                  <to>
                    <xdr:col>6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Check Box 17">
              <controlPr defaultSize="0" autoFill="0" autoLine="0" autoPict="0">
                <anchor moveWithCells="1">
                  <from>
                    <xdr:col>5</xdr:col>
                    <xdr:colOff>47625</xdr:colOff>
                    <xdr:row>13</xdr:row>
                    <xdr:rowOff>0</xdr:rowOff>
                  </from>
                  <to>
                    <xdr:col>6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Check Box 18">
              <controlPr defaultSize="0" autoFill="0" autoLine="0" autoPict="0">
                <anchor moveWithCells="1">
                  <from>
                    <xdr:col>5</xdr:col>
                    <xdr:colOff>38100</xdr:colOff>
                    <xdr:row>18</xdr:row>
                    <xdr:rowOff>0</xdr:rowOff>
                  </from>
                  <to>
                    <xdr:col>6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Check Box 19">
              <controlPr defaultSize="0" autoFill="0" autoLine="0" autoPict="0">
                <anchor moveWithCells="1">
                  <from>
                    <xdr:col>5</xdr:col>
                    <xdr:colOff>47625</xdr:colOff>
                    <xdr:row>17</xdr:row>
                    <xdr:rowOff>0</xdr:rowOff>
                  </from>
                  <to>
                    <xdr:col>6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Check Box 20">
              <controlPr defaultSize="0" autoFill="0" autoLine="0" autoPict="0">
                <anchor moveWithCells="1">
                  <from>
                    <xdr:col>5</xdr:col>
                    <xdr:colOff>47625</xdr:colOff>
                    <xdr:row>35</xdr:row>
                    <xdr:rowOff>0</xdr:rowOff>
                  </from>
                  <to>
                    <xdr:col>6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Check Box 21">
              <controlPr defaultSize="0" autoFill="0" autoLine="0" autoPict="0">
                <anchor moveWithCells="1">
                  <from>
                    <xdr:col>5</xdr:col>
                    <xdr:colOff>47625</xdr:colOff>
                    <xdr:row>20</xdr:row>
                    <xdr:rowOff>0</xdr:rowOff>
                  </from>
                  <to>
                    <xdr:col>6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Check Box 22">
              <controlPr defaultSize="0" autoFill="0" autoLine="0" autoPict="0">
                <anchor moveWithCells="1">
                  <from>
                    <xdr:col>5</xdr:col>
                    <xdr:colOff>47625</xdr:colOff>
                    <xdr:row>23</xdr:row>
                    <xdr:rowOff>0</xdr:rowOff>
                  </from>
                  <to>
                    <xdr:col>6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Check Box 23">
              <controlPr defaultSize="0" autoFill="0" autoLine="0" autoPict="0">
                <anchor moveWithCells="1">
                  <from>
                    <xdr:col>5</xdr:col>
                    <xdr:colOff>47625</xdr:colOff>
                    <xdr:row>24</xdr:row>
                    <xdr:rowOff>0</xdr:rowOff>
                  </from>
                  <to>
                    <xdr:col>6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Check Box 24">
              <controlPr defaultSize="0" autoFill="0" autoLine="0" autoPict="0">
                <anchor moveWithCells="1">
                  <from>
                    <xdr:col>5</xdr:col>
                    <xdr:colOff>47625</xdr:colOff>
                    <xdr:row>25</xdr:row>
                    <xdr:rowOff>0</xdr:rowOff>
                  </from>
                  <to>
                    <xdr:col>6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Check Box 25">
              <controlPr defaultSize="0" autoFill="0" autoLine="0" autoPict="0">
                <anchor moveWithCells="1">
                  <from>
                    <xdr:col>5</xdr:col>
                    <xdr:colOff>38100</xdr:colOff>
                    <xdr:row>16</xdr:row>
                    <xdr:rowOff>0</xdr:rowOff>
                  </from>
                  <to>
                    <xdr:col>6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Check Box 26">
              <controlPr defaultSize="0" autoFill="0" autoLine="0" autoPict="0">
                <anchor moveWithCells="1">
                  <from>
                    <xdr:col>5</xdr:col>
                    <xdr:colOff>47625</xdr:colOff>
                    <xdr:row>33</xdr:row>
                    <xdr:rowOff>19050</xdr:rowOff>
                  </from>
                  <to>
                    <xdr:col>6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0</xdr:rowOff>
                  </from>
                  <to>
                    <xdr:col>8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0</xdr:rowOff>
                  </from>
                  <to>
                    <xdr:col>8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0</xdr:rowOff>
                  </from>
                  <to>
                    <xdr:col>8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0</xdr:rowOff>
                  </from>
                  <to>
                    <xdr:col>8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Check Box 31">
              <controlPr defaultSize="0" autoFill="0" autoLine="0" autoPict="0">
                <anchor moveWithCells="1">
                  <from>
                    <xdr:col>7</xdr:col>
                    <xdr:colOff>38100</xdr:colOff>
                    <xdr:row>18</xdr:row>
                    <xdr:rowOff>0</xdr:rowOff>
                  </from>
                  <to>
                    <xdr:col>8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0</xdr:rowOff>
                  </from>
                  <to>
                    <xdr:col>8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0</xdr:rowOff>
                  </from>
                  <to>
                    <xdr:col>8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0</xdr:rowOff>
                  </from>
                  <to>
                    <xdr:col>8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0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0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0</xdr:rowOff>
                  </from>
                  <to>
                    <xdr:col>8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Check Box 38">
              <controlPr defaultSize="0" autoFill="0" autoLine="0" autoPict="0">
                <anchor moveWithCells="1">
                  <from>
                    <xdr:col>7</xdr:col>
                    <xdr:colOff>38100</xdr:colOff>
                    <xdr:row>16</xdr:row>
                    <xdr:rowOff>0</xdr:rowOff>
                  </from>
                  <to>
                    <xdr:col>8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19050</xdr:rowOff>
                  </from>
                  <to>
                    <xdr:col>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Check Box 40">
              <controlPr defaultSize="0" autoFill="0" autoLine="0" autoPict="0">
                <anchor moveWithCells="1">
                  <from>
                    <xdr:col>10</xdr:col>
                    <xdr:colOff>47625</xdr:colOff>
                    <xdr:row>9</xdr:row>
                    <xdr:rowOff>0</xdr:rowOff>
                  </from>
                  <to>
                    <xdr:col>11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Check Box 41">
              <controlPr defaultSize="0" autoFill="0" autoLine="0" autoPict="0">
                <anchor moveWithCells="1">
                  <from>
                    <xdr:col>10</xdr:col>
                    <xdr:colOff>47625</xdr:colOff>
                    <xdr:row>10</xdr:row>
                    <xdr:rowOff>0</xdr:rowOff>
                  </from>
                  <to>
                    <xdr:col>11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Check Box 42">
              <controlPr defaultSize="0" autoFill="0" autoLine="0" autoPict="0">
                <anchor moveWithCells="1">
                  <from>
                    <xdr:col>10</xdr:col>
                    <xdr:colOff>47625</xdr:colOff>
                    <xdr:row>12</xdr:row>
                    <xdr:rowOff>0</xdr:rowOff>
                  </from>
                  <to>
                    <xdr:col>11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Check Box 43">
              <controlPr defaultSize="0" autoFill="0" autoLine="0" autoPict="0">
                <anchor moveWithCells="1">
                  <from>
                    <xdr:col>10</xdr:col>
                    <xdr:colOff>47625</xdr:colOff>
                    <xdr:row>13</xdr:row>
                    <xdr:rowOff>0</xdr:rowOff>
                  </from>
                  <to>
                    <xdr:col>11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Check Box 44">
              <controlPr defaultSize="0" autoFill="0" autoLine="0" autoPict="0">
                <anchor moveWithCells="1">
                  <from>
                    <xdr:col>10</xdr:col>
                    <xdr:colOff>38100</xdr:colOff>
                    <xdr:row>18</xdr:row>
                    <xdr:rowOff>0</xdr:rowOff>
                  </from>
                  <to>
                    <xdr:col>11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Check Box 45">
              <controlPr defaultSize="0" autoFill="0" autoLine="0" autoPict="0">
                <anchor moveWithCells="1">
                  <from>
                    <xdr:col>10</xdr:col>
                    <xdr:colOff>47625</xdr:colOff>
                    <xdr:row>17</xdr:row>
                    <xdr:rowOff>0</xdr:rowOff>
                  </from>
                  <to>
                    <xdr:col>11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Check Box 46">
              <controlPr defaultSize="0" autoFill="0" autoLine="0" autoPict="0">
                <anchor moveWithCells="1">
                  <from>
                    <xdr:col>10</xdr:col>
                    <xdr:colOff>47625</xdr:colOff>
                    <xdr:row>35</xdr:row>
                    <xdr:rowOff>0</xdr:rowOff>
                  </from>
                  <to>
                    <xdr:col>11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Check Box 47">
              <controlPr defaultSize="0" autoFill="0" autoLine="0" autoPict="0">
                <anchor moveWithCells="1">
                  <from>
                    <xdr:col>10</xdr:col>
                    <xdr:colOff>47625</xdr:colOff>
                    <xdr:row>20</xdr:row>
                    <xdr:rowOff>0</xdr:rowOff>
                  </from>
                  <to>
                    <xdr:col>11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Check Box 48">
              <controlPr defaultSize="0" autoFill="0" autoLine="0" autoPict="0">
                <anchor moveWithCells="1">
                  <from>
                    <xdr:col>10</xdr:col>
                    <xdr:colOff>47625</xdr:colOff>
                    <xdr:row>23</xdr:row>
                    <xdr:rowOff>0</xdr:rowOff>
                  </from>
                  <to>
                    <xdr:col>11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Check Box 49">
              <controlPr defaultSize="0" autoFill="0" autoLine="0" autoPict="0">
                <anchor moveWithCells="1">
                  <from>
                    <xdr:col>10</xdr:col>
                    <xdr:colOff>47625</xdr:colOff>
                    <xdr:row>24</xdr:row>
                    <xdr:rowOff>0</xdr:rowOff>
                  </from>
                  <to>
                    <xdr:col>11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Check Box 50">
              <controlPr defaultSize="0" autoFill="0" autoLine="0" autoPict="0">
                <anchor moveWithCells="1">
                  <from>
                    <xdr:col>10</xdr:col>
                    <xdr:colOff>47625</xdr:colOff>
                    <xdr:row>25</xdr:row>
                    <xdr:rowOff>0</xdr:rowOff>
                  </from>
                  <to>
                    <xdr:col>11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Check Box 51">
              <controlPr defaultSize="0" autoFill="0" autoLine="0" autoPict="0">
                <anchor moveWithCells="1">
                  <from>
                    <xdr:col>10</xdr:col>
                    <xdr:colOff>38100</xdr:colOff>
                    <xdr:row>16</xdr:row>
                    <xdr:rowOff>0</xdr:rowOff>
                  </from>
                  <to>
                    <xdr:col>11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Check Box 52">
              <controlPr defaultSize="0" autoFill="0" autoLine="0" autoPict="0">
                <anchor moveWithCells="1">
                  <from>
                    <xdr:col>10</xdr:col>
                    <xdr:colOff>47625</xdr:colOff>
                    <xdr:row>33</xdr:row>
                    <xdr:rowOff>19050</xdr:rowOff>
                  </from>
                  <to>
                    <xdr:col>11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Check Box 53">
              <controlPr defaultSize="0" autoFill="0" autoLine="0" autoPict="0">
                <anchor moveWithCells="1">
                  <from>
                    <xdr:col>1</xdr:col>
                    <xdr:colOff>47625</xdr:colOff>
                    <xdr:row>32</xdr:row>
                    <xdr:rowOff>19050</xdr:rowOff>
                  </from>
                  <to>
                    <xdr:col>2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Check Box 54">
              <controlPr defaultSize="0" autoFill="0" autoLine="0" autoPict="0">
                <anchor moveWithCells="1">
                  <from>
                    <xdr:col>5</xdr:col>
                    <xdr:colOff>47625</xdr:colOff>
                    <xdr:row>32</xdr:row>
                    <xdr:rowOff>19050</xdr:rowOff>
                  </from>
                  <to>
                    <xdr:col>6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19050</xdr:rowOff>
                  </from>
                  <to>
                    <xdr:col>8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Check Box 56">
              <controlPr defaultSize="0" autoFill="0" autoLine="0" autoPict="0">
                <anchor moveWithCells="1">
                  <from>
                    <xdr:col>10</xdr:col>
                    <xdr:colOff>47625</xdr:colOff>
                    <xdr:row>32</xdr:row>
                    <xdr:rowOff>19050</xdr:rowOff>
                  </from>
                  <to>
                    <xdr:col>11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Check Box 57">
              <controlPr defaultSize="0" autoFill="0" autoLine="0" autoPict="0">
                <anchor moveWithCells="1">
                  <from>
                    <xdr:col>1</xdr:col>
                    <xdr:colOff>47625</xdr:colOff>
                    <xdr:row>11</xdr:row>
                    <xdr:rowOff>0</xdr:rowOff>
                  </from>
                  <to>
                    <xdr:col>2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Check Box 58">
              <controlPr defaultSize="0" autoFill="0" autoLine="0" autoPict="0">
                <anchor moveWithCells="1">
                  <from>
                    <xdr:col>5</xdr:col>
                    <xdr:colOff>47625</xdr:colOff>
                    <xdr:row>11</xdr:row>
                    <xdr:rowOff>0</xdr:rowOff>
                  </from>
                  <to>
                    <xdr:col>6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0</xdr:rowOff>
                  </from>
                  <to>
                    <xdr:col>8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Check Box 60">
              <controlPr defaultSize="0" autoFill="0" autoLine="0" autoPict="0">
                <anchor moveWithCells="1">
                  <from>
                    <xdr:col>10</xdr:col>
                    <xdr:colOff>47625</xdr:colOff>
                    <xdr:row>11</xdr:row>
                    <xdr:rowOff>0</xdr:rowOff>
                  </from>
                  <to>
                    <xdr:col>11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Check Box 61">
              <controlPr defaultSize="0" autoFill="0" autoLine="0" autoPict="0">
                <anchor moveWithCells="1">
                  <from>
                    <xdr:col>1</xdr:col>
                    <xdr:colOff>47625</xdr:colOff>
                    <xdr:row>21</xdr:row>
                    <xdr:rowOff>0</xdr:rowOff>
                  </from>
                  <to>
                    <xdr:col>2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Check Box 62">
              <controlPr defaultSize="0" autoFill="0" autoLine="0" autoPict="0">
                <anchor moveWithCells="1">
                  <from>
                    <xdr:col>5</xdr:col>
                    <xdr:colOff>47625</xdr:colOff>
                    <xdr:row>21</xdr:row>
                    <xdr:rowOff>0</xdr:rowOff>
                  </from>
                  <to>
                    <xdr:col>6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0</xdr:rowOff>
                  </from>
                  <to>
                    <xdr:col>8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Check Box 64">
              <controlPr defaultSize="0" autoFill="0" autoLine="0" autoPict="0">
                <anchor moveWithCells="1">
                  <from>
                    <xdr:col>10</xdr:col>
                    <xdr:colOff>47625</xdr:colOff>
                    <xdr:row>21</xdr:row>
                    <xdr:rowOff>0</xdr:rowOff>
                  </from>
                  <to>
                    <xdr:col>11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Check Box 65">
              <controlPr defaultSize="0" autoFill="0" autoLine="0" autoPict="0">
                <anchor moveWithCells="1">
                  <from>
                    <xdr:col>3</xdr:col>
                    <xdr:colOff>47625</xdr:colOff>
                    <xdr:row>9</xdr:row>
                    <xdr:rowOff>0</xdr:rowOff>
                  </from>
                  <to>
                    <xdr:col>4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Check Box 66">
              <controlPr defaultSize="0" autoFill="0" autoLine="0" autoPict="0">
                <anchor moveWithCells="1">
                  <from>
                    <xdr:col>3</xdr:col>
                    <xdr:colOff>47625</xdr:colOff>
                    <xdr:row>10</xdr:row>
                    <xdr:rowOff>0</xdr:rowOff>
                  </from>
                  <to>
                    <xdr:col>4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Check Box 67">
              <controlPr defaultSize="0" autoFill="0" autoLine="0" autoPict="0">
                <anchor moveWithCells="1">
                  <from>
                    <xdr:col>3</xdr:col>
                    <xdr:colOff>47625</xdr:colOff>
                    <xdr:row>12</xdr:row>
                    <xdr:rowOff>0</xdr:rowOff>
                  </from>
                  <to>
                    <xdr:col>4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Check Box 68">
              <controlPr defaultSize="0" autoFill="0" autoLine="0" autoPict="0">
                <anchor moveWithCells="1">
                  <from>
                    <xdr:col>3</xdr:col>
                    <xdr:colOff>47625</xdr:colOff>
                    <xdr:row>13</xdr:row>
                    <xdr:rowOff>0</xdr:rowOff>
                  </from>
                  <to>
                    <xdr:col>4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Check Box 69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0</xdr:rowOff>
                  </from>
                  <to>
                    <xdr:col>4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Check Box 70">
              <controlPr defaultSize="0" autoFill="0" autoLine="0" autoPict="0">
                <anchor moveWithCells="1">
                  <from>
                    <xdr:col>3</xdr:col>
                    <xdr:colOff>47625</xdr:colOff>
                    <xdr:row>17</xdr:row>
                    <xdr:rowOff>0</xdr:rowOff>
                  </from>
                  <to>
                    <xdr:col>4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Check Box 71">
              <controlPr defaultSize="0" autoFill="0" autoLine="0" autoPict="0">
                <anchor moveWithCells="1">
                  <from>
                    <xdr:col>3</xdr:col>
                    <xdr:colOff>47625</xdr:colOff>
                    <xdr:row>35</xdr:row>
                    <xdr:rowOff>0</xdr:rowOff>
                  </from>
                  <to>
                    <xdr:col>4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Check Box 72">
              <controlPr defaultSize="0" autoFill="0" autoLine="0" autoPict="0">
                <anchor moveWithCells="1">
                  <from>
                    <xdr:col>3</xdr:col>
                    <xdr:colOff>47625</xdr:colOff>
                    <xdr:row>20</xdr:row>
                    <xdr:rowOff>0</xdr:rowOff>
                  </from>
                  <to>
                    <xdr:col>4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Check Box 73">
              <controlPr defaultSize="0" autoFill="0" autoLine="0" autoPict="0">
                <anchor moveWithCells="1">
                  <from>
                    <xdr:col>3</xdr:col>
                    <xdr:colOff>47625</xdr:colOff>
                    <xdr:row>23</xdr:row>
                    <xdr:rowOff>0</xdr:rowOff>
                  </from>
                  <to>
                    <xdr:col>4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Check Box 74">
              <controlPr defaultSize="0" autoFill="0" autoLine="0" autoPict="0">
                <anchor moveWithCells="1">
                  <from>
                    <xdr:col>3</xdr:col>
                    <xdr:colOff>47625</xdr:colOff>
                    <xdr:row>24</xdr:row>
                    <xdr:rowOff>0</xdr:rowOff>
                  </from>
                  <to>
                    <xdr:col>4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Check Box 75">
              <controlPr defaultSize="0" autoFill="0" autoLine="0" autoPict="0">
                <anchor moveWithCells="1">
                  <from>
                    <xdr:col>3</xdr:col>
                    <xdr:colOff>47625</xdr:colOff>
                    <xdr:row>25</xdr:row>
                    <xdr:rowOff>0</xdr:rowOff>
                  </from>
                  <to>
                    <xdr:col>4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Check Box 76">
              <controlPr defaultSize="0" autoFill="0" autoLine="0" autoPict="0">
                <anchor moveWithCells="1">
                  <from>
                    <xdr:col>3</xdr:col>
                    <xdr:colOff>38100</xdr:colOff>
                    <xdr:row>16</xdr:row>
                    <xdr:rowOff>0</xdr:rowOff>
                  </from>
                  <to>
                    <xdr:col>4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Check Box 77">
              <controlPr defaultSize="0" autoFill="0" autoLine="0" autoPict="0">
                <anchor moveWithCells="1">
                  <from>
                    <xdr:col>3</xdr:col>
                    <xdr:colOff>47625</xdr:colOff>
                    <xdr:row>33</xdr:row>
                    <xdr:rowOff>19050</xdr:rowOff>
                  </from>
                  <to>
                    <xdr:col>4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Check Box 78">
              <controlPr defaultSize="0" autoFill="0" autoLine="0" autoPict="0">
                <anchor moveWithCells="1">
                  <from>
                    <xdr:col>3</xdr:col>
                    <xdr:colOff>47625</xdr:colOff>
                    <xdr:row>32</xdr:row>
                    <xdr:rowOff>19050</xdr:rowOff>
                  </from>
                  <to>
                    <xdr:col>4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Check Box 79">
              <controlPr defaultSize="0" autoFill="0" autoLine="0" autoPict="0">
                <anchor moveWithCells="1">
                  <from>
                    <xdr:col>3</xdr:col>
                    <xdr:colOff>47625</xdr:colOff>
                    <xdr:row>11</xdr:row>
                    <xdr:rowOff>0</xdr:rowOff>
                  </from>
                  <to>
                    <xdr:col>4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Check Box 80">
              <controlPr defaultSize="0" autoFill="0" autoLine="0" autoPict="0">
                <anchor moveWithCells="1">
                  <from>
                    <xdr:col>3</xdr:col>
                    <xdr:colOff>47625</xdr:colOff>
                    <xdr:row>21</xdr:row>
                    <xdr:rowOff>0</xdr:rowOff>
                  </from>
                  <to>
                    <xdr:col>4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84" name="Check Box 113">
              <controlPr defaultSize="0" autoFill="0" autoLine="0" autoPict="0">
                <anchor moveWithCells="1">
                  <from>
                    <xdr:col>1</xdr:col>
                    <xdr:colOff>47625</xdr:colOff>
                    <xdr:row>31</xdr:row>
                    <xdr:rowOff>19050</xdr:rowOff>
                  </from>
                  <to>
                    <xdr:col>2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85" name="Check Box 114">
              <controlPr defaultSize="0" autoFill="0" autoLine="0" autoPict="0">
                <anchor moveWithCells="1">
                  <from>
                    <xdr:col>5</xdr:col>
                    <xdr:colOff>47625</xdr:colOff>
                    <xdr:row>31</xdr:row>
                    <xdr:rowOff>19050</xdr:rowOff>
                  </from>
                  <to>
                    <xdr:col>6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19050</xdr:rowOff>
                  </from>
                  <to>
                    <xdr:col>8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87" name="Check Box 116">
              <controlPr defaultSize="0" autoFill="0" autoLine="0" autoPict="0">
                <anchor moveWithCells="1">
                  <from>
                    <xdr:col>10</xdr:col>
                    <xdr:colOff>47625</xdr:colOff>
                    <xdr:row>31</xdr:row>
                    <xdr:rowOff>19050</xdr:rowOff>
                  </from>
                  <to>
                    <xdr:col>11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88" name="Check Box 117">
              <controlPr defaultSize="0" autoFill="0" autoLine="0" autoPict="0">
                <anchor moveWithCells="1">
                  <from>
                    <xdr:col>3</xdr:col>
                    <xdr:colOff>47625</xdr:colOff>
                    <xdr:row>31</xdr:row>
                    <xdr:rowOff>19050</xdr:rowOff>
                  </from>
                  <to>
                    <xdr:col>4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89" name="Check Box 120">
              <controlPr defaultSize="0" autoFill="0" autoLine="0" autoPict="0">
                <anchor moveWithCells="1">
                  <from>
                    <xdr:col>1</xdr:col>
                    <xdr:colOff>47625</xdr:colOff>
                    <xdr:row>37</xdr:row>
                    <xdr:rowOff>19050</xdr:rowOff>
                  </from>
                  <to>
                    <xdr:col>2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90" name="Check Box 121">
              <controlPr defaultSize="0" autoFill="0" autoLine="0" autoPict="0">
                <anchor moveWithCells="1">
                  <from>
                    <xdr:col>5</xdr:col>
                    <xdr:colOff>47625</xdr:colOff>
                    <xdr:row>37</xdr:row>
                    <xdr:rowOff>19050</xdr:rowOff>
                  </from>
                  <to>
                    <xdr:col>6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19050</xdr:rowOff>
                  </from>
                  <to>
                    <xdr:col>8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92" name="Check Box 123">
              <controlPr defaultSize="0" autoFill="0" autoLine="0" autoPict="0">
                <anchor moveWithCells="1">
                  <from>
                    <xdr:col>10</xdr:col>
                    <xdr:colOff>47625</xdr:colOff>
                    <xdr:row>37</xdr:row>
                    <xdr:rowOff>19050</xdr:rowOff>
                  </from>
                  <to>
                    <xdr:col>11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93" name="Check Box 124">
              <controlPr defaultSize="0" autoFill="0" autoLine="0" autoPict="0">
                <anchor moveWithCells="1">
                  <from>
                    <xdr:col>3</xdr:col>
                    <xdr:colOff>47625</xdr:colOff>
                    <xdr:row>37</xdr:row>
                    <xdr:rowOff>19050</xdr:rowOff>
                  </from>
                  <to>
                    <xdr:col>4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94" name="Check Box 127">
              <controlPr defaultSize="0" autoFill="0" autoLine="0" autoPict="0">
                <anchor moveWithCells="1">
                  <from>
                    <xdr:col>1</xdr:col>
                    <xdr:colOff>47625</xdr:colOff>
                    <xdr:row>14</xdr:row>
                    <xdr:rowOff>0</xdr:rowOff>
                  </from>
                  <to>
                    <xdr:col>2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95" name="Check Box 128">
              <controlPr defaultSize="0" autoFill="0" autoLine="0" autoPict="0">
                <anchor moveWithCells="1">
                  <from>
                    <xdr:col>5</xdr:col>
                    <xdr:colOff>47625</xdr:colOff>
                    <xdr:row>14</xdr:row>
                    <xdr:rowOff>0</xdr:rowOff>
                  </from>
                  <to>
                    <xdr:col>6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0</xdr:rowOff>
                  </from>
                  <to>
                    <xdr:col>8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97" name="Check Box 130">
              <controlPr defaultSize="0" autoFill="0" autoLine="0" autoPict="0">
                <anchor moveWithCells="1">
                  <from>
                    <xdr:col>10</xdr:col>
                    <xdr:colOff>47625</xdr:colOff>
                    <xdr:row>14</xdr:row>
                    <xdr:rowOff>0</xdr:rowOff>
                  </from>
                  <to>
                    <xdr:col>11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98" name="Check Box 131">
              <controlPr defaultSize="0" autoFill="0" autoLine="0" autoPict="0">
                <anchor moveWithCells="1">
                  <from>
                    <xdr:col>3</xdr:col>
                    <xdr:colOff>47625</xdr:colOff>
                    <xdr:row>14</xdr:row>
                    <xdr:rowOff>0</xdr:rowOff>
                  </from>
                  <to>
                    <xdr:col>4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99" name="Check Box 134">
              <controlPr defaultSize="0" autoFill="0" autoLine="0" autoPict="0">
                <anchor moveWithCells="1">
                  <from>
                    <xdr:col>1</xdr:col>
                    <xdr:colOff>47625</xdr:colOff>
                    <xdr:row>15</xdr:row>
                    <xdr:rowOff>0</xdr:rowOff>
                  </from>
                  <to>
                    <xdr:col>2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00" name="Check Box 135">
              <controlPr defaultSize="0" autoFill="0" autoLine="0" autoPict="0">
                <anchor moveWithCells="1">
                  <from>
                    <xdr:col>5</xdr:col>
                    <xdr:colOff>47625</xdr:colOff>
                    <xdr:row>15</xdr:row>
                    <xdr:rowOff>0</xdr:rowOff>
                  </from>
                  <to>
                    <xdr:col>6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0</xdr:rowOff>
                  </from>
                  <to>
                    <xdr:col>8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02" name="Check Box 137">
              <controlPr defaultSize="0" autoFill="0" autoLine="0" autoPict="0">
                <anchor moveWithCells="1">
                  <from>
                    <xdr:col>10</xdr:col>
                    <xdr:colOff>47625</xdr:colOff>
                    <xdr:row>15</xdr:row>
                    <xdr:rowOff>0</xdr:rowOff>
                  </from>
                  <to>
                    <xdr:col>11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03" name="Check Box 138">
              <controlPr defaultSize="0" autoFill="0" autoLine="0" autoPict="0">
                <anchor moveWithCells="1">
                  <from>
                    <xdr:col>3</xdr:col>
                    <xdr:colOff>47625</xdr:colOff>
                    <xdr:row>15</xdr:row>
                    <xdr:rowOff>0</xdr:rowOff>
                  </from>
                  <to>
                    <xdr:col>4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04" name="Check Box 141">
              <controlPr defaultSize="0" autoFill="0" autoLine="0" autoPict="0">
                <anchor moveWithCells="1">
                  <from>
                    <xdr:col>1</xdr:col>
                    <xdr:colOff>38100</xdr:colOff>
                    <xdr:row>19</xdr:row>
                    <xdr:rowOff>0</xdr:rowOff>
                  </from>
                  <to>
                    <xdr:col>2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05" name="Check Box 142">
              <controlPr defaultSize="0" autoFill="0" autoLine="0" autoPict="0">
                <anchor moveWithCells="1">
                  <from>
                    <xdr:col>5</xdr:col>
                    <xdr:colOff>38100</xdr:colOff>
                    <xdr:row>19</xdr:row>
                    <xdr:rowOff>0</xdr:rowOff>
                  </from>
                  <to>
                    <xdr:col>6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06" name="Check Box 143">
              <controlPr defaultSize="0" autoFill="0" autoLine="0" autoPict="0">
                <anchor moveWithCells="1">
                  <from>
                    <xdr:col>7</xdr:col>
                    <xdr:colOff>38100</xdr:colOff>
                    <xdr:row>19</xdr:row>
                    <xdr:rowOff>0</xdr:rowOff>
                  </from>
                  <to>
                    <xdr:col>8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07" name="Check Box 144">
              <controlPr defaultSize="0" autoFill="0" autoLine="0" autoPict="0">
                <anchor moveWithCells="1">
                  <from>
                    <xdr:col>10</xdr:col>
                    <xdr:colOff>38100</xdr:colOff>
                    <xdr:row>19</xdr:row>
                    <xdr:rowOff>0</xdr:rowOff>
                  </from>
                  <to>
                    <xdr:col>11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08" name="Check Box 145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0</xdr:rowOff>
                  </from>
                  <to>
                    <xdr:col>4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09" name="Check Box 148">
              <controlPr defaultSize="0" autoFill="0" autoLine="0" autoPict="0">
                <anchor moveWithCells="1">
                  <from>
                    <xdr:col>1</xdr:col>
                    <xdr:colOff>47625</xdr:colOff>
                    <xdr:row>26</xdr:row>
                    <xdr:rowOff>0</xdr:rowOff>
                  </from>
                  <to>
                    <xdr:col>2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10" name="Check Box 149">
              <controlPr defaultSize="0" autoFill="0" autoLine="0" autoPict="0">
                <anchor moveWithCells="1">
                  <from>
                    <xdr:col>5</xdr:col>
                    <xdr:colOff>47625</xdr:colOff>
                    <xdr:row>26</xdr:row>
                    <xdr:rowOff>0</xdr:rowOff>
                  </from>
                  <to>
                    <xdr:col>6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12" name="Check Box 151">
              <controlPr defaultSize="0" autoFill="0" autoLine="0" autoPict="0">
                <anchor moveWithCells="1">
                  <from>
                    <xdr:col>10</xdr:col>
                    <xdr:colOff>47625</xdr:colOff>
                    <xdr:row>26</xdr:row>
                    <xdr:rowOff>0</xdr:rowOff>
                  </from>
                  <to>
                    <xdr:col>11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13" name="Check Box 152">
              <controlPr defaultSize="0" autoFill="0" autoLine="0" autoPict="0">
                <anchor moveWithCells="1">
                  <from>
                    <xdr:col>3</xdr:col>
                    <xdr:colOff>47625</xdr:colOff>
                    <xdr:row>26</xdr:row>
                    <xdr:rowOff>0</xdr:rowOff>
                  </from>
                  <to>
                    <xdr:col>4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14" name="Check Box 155">
              <controlPr defaultSize="0" autoFill="0" autoLine="0" autoPict="0">
                <anchor moveWithCells="1">
                  <from>
                    <xdr:col>1</xdr:col>
                    <xdr:colOff>47625</xdr:colOff>
                    <xdr:row>27</xdr:row>
                    <xdr:rowOff>0</xdr:rowOff>
                  </from>
                  <to>
                    <xdr:col>2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15" name="Check Box 156">
              <controlPr defaultSize="0" autoFill="0" autoLine="0" autoPict="0">
                <anchor moveWithCells="1">
                  <from>
                    <xdr:col>5</xdr:col>
                    <xdr:colOff>47625</xdr:colOff>
                    <xdr:row>27</xdr:row>
                    <xdr:rowOff>0</xdr:rowOff>
                  </from>
                  <to>
                    <xdr:col>6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0</xdr:rowOff>
                  </from>
                  <to>
                    <xdr:col>8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17" name="Check Box 158">
              <controlPr defaultSize="0" autoFill="0" autoLine="0" autoPict="0">
                <anchor moveWithCells="1">
                  <from>
                    <xdr:col>10</xdr:col>
                    <xdr:colOff>47625</xdr:colOff>
                    <xdr:row>27</xdr:row>
                    <xdr:rowOff>0</xdr:rowOff>
                  </from>
                  <to>
                    <xdr:col>11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18" name="Check Box 159">
              <controlPr defaultSize="0" autoFill="0" autoLine="0" autoPict="0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4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19" name="Check Box 162">
              <controlPr defaultSize="0" autoFill="0" autoLine="0" autoPict="0">
                <anchor moveWithCells="1">
                  <from>
                    <xdr:col>1</xdr:col>
                    <xdr:colOff>47625</xdr:colOff>
                    <xdr:row>28</xdr:row>
                    <xdr:rowOff>0</xdr:rowOff>
                  </from>
                  <to>
                    <xdr:col>2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20" name="Check Box 163">
              <controlPr defaultSize="0" autoFill="0" autoLine="0" autoPict="0">
                <anchor moveWithCells="1">
                  <from>
                    <xdr:col>5</xdr:col>
                    <xdr:colOff>47625</xdr:colOff>
                    <xdr:row>28</xdr:row>
                    <xdr:rowOff>0</xdr:rowOff>
                  </from>
                  <to>
                    <xdr:col>6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0</xdr:rowOff>
                  </from>
                  <to>
                    <xdr:col>8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22" name="Check Box 165">
              <controlPr defaultSize="0" autoFill="0" autoLine="0" autoPict="0">
                <anchor moveWithCells="1">
                  <from>
                    <xdr:col>10</xdr:col>
                    <xdr:colOff>47625</xdr:colOff>
                    <xdr:row>28</xdr:row>
                    <xdr:rowOff>0</xdr:rowOff>
                  </from>
                  <to>
                    <xdr:col>11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23" name="Check Box 166">
              <controlPr defaultSize="0" autoFill="0" autoLine="0" autoPict="0">
                <anchor moveWithCells="1">
                  <from>
                    <xdr:col>3</xdr:col>
                    <xdr:colOff>47625</xdr:colOff>
                    <xdr:row>28</xdr:row>
                    <xdr:rowOff>0</xdr:rowOff>
                  </from>
                  <to>
                    <xdr:col>4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24" name="Check Box 169">
              <controlPr defaultSize="0" autoFill="0" autoLine="0" autoPict="0">
                <anchor moveWithCells="1">
                  <from>
                    <xdr:col>1</xdr:col>
                    <xdr:colOff>47625</xdr:colOff>
                    <xdr:row>29</xdr:row>
                    <xdr:rowOff>0</xdr:rowOff>
                  </from>
                  <to>
                    <xdr:col>2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25" name="Check Box 170">
              <controlPr defaultSize="0" autoFill="0" autoLine="0" autoPict="0">
                <anchor moveWithCells="1">
                  <from>
                    <xdr:col>5</xdr:col>
                    <xdr:colOff>47625</xdr:colOff>
                    <xdr:row>29</xdr:row>
                    <xdr:rowOff>0</xdr:rowOff>
                  </from>
                  <to>
                    <xdr:col>6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0</xdr:rowOff>
                  </from>
                  <to>
                    <xdr:col>8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27" name="Check Box 172">
              <controlPr defaultSize="0" autoFill="0" autoLine="0" autoPict="0">
                <anchor moveWithCells="1">
                  <from>
                    <xdr:col>10</xdr:col>
                    <xdr:colOff>47625</xdr:colOff>
                    <xdr:row>29</xdr:row>
                    <xdr:rowOff>0</xdr:rowOff>
                  </from>
                  <to>
                    <xdr:col>11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28" name="Check Box 173">
              <controlPr defaultSize="0" autoFill="0" autoLine="0" autoPict="0">
                <anchor moveWithCells="1">
                  <from>
                    <xdr:col>3</xdr:col>
                    <xdr:colOff>47625</xdr:colOff>
                    <xdr:row>29</xdr:row>
                    <xdr:rowOff>0</xdr:rowOff>
                  </from>
                  <to>
                    <xdr:col>4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29" name="Check Box 176">
              <controlPr defaultSize="0" autoFill="0" autoLine="0" autoPict="0">
                <anchor moveWithCells="1">
                  <from>
                    <xdr:col>1</xdr:col>
                    <xdr:colOff>47625</xdr:colOff>
                    <xdr:row>30</xdr:row>
                    <xdr:rowOff>0</xdr:rowOff>
                  </from>
                  <to>
                    <xdr:col>2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30" name="Check Box 177">
              <controlPr defaultSize="0" autoFill="0" autoLine="0" autoPict="0">
                <anchor moveWithCells="1">
                  <from>
                    <xdr:col>5</xdr:col>
                    <xdr:colOff>47625</xdr:colOff>
                    <xdr:row>30</xdr:row>
                    <xdr:rowOff>0</xdr:rowOff>
                  </from>
                  <to>
                    <xdr:col>6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30</xdr:row>
                    <xdr:rowOff>0</xdr:rowOff>
                  </from>
                  <to>
                    <xdr:col>8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32" name="Check Box 179">
              <controlPr defaultSize="0" autoFill="0" autoLine="0" autoPict="0">
                <anchor moveWithCells="1">
                  <from>
                    <xdr:col>10</xdr:col>
                    <xdr:colOff>47625</xdr:colOff>
                    <xdr:row>30</xdr:row>
                    <xdr:rowOff>0</xdr:rowOff>
                  </from>
                  <to>
                    <xdr:col>11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33" name="Check Box 180">
              <controlPr defaultSize="0" autoFill="0" autoLine="0" autoPict="0">
                <anchor moveWithCells="1">
                  <from>
                    <xdr:col>3</xdr:col>
                    <xdr:colOff>47625</xdr:colOff>
                    <xdr:row>30</xdr:row>
                    <xdr:rowOff>0</xdr:rowOff>
                  </from>
                  <to>
                    <xdr:col>4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34" name="Check Box 183">
              <controlPr defaultSize="0" autoFill="0" autoLine="0" autoPict="0">
                <anchor moveWithCells="1">
                  <from>
                    <xdr:col>1</xdr:col>
                    <xdr:colOff>47625</xdr:colOff>
                    <xdr:row>34</xdr:row>
                    <xdr:rowOff>0</xdr:rowOff>
                  </from>
                  <to>
                    <xdr:col>2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35" name="Check Box 184">
              <controlPr defaultSize="0" autoFill="0" autoLine="0" autoPict="0">
                <anchor moveWithCells="1">
                  <from>
                    <xdr:col>5</xdr:col>
                    <xdr:colOff>47625</xdr:colOff>
                    <xdr:row>34</xdr:row>
                    <xdr:rowOff>0</xdr:rowOff>
                  </from>
                  <to>
                    <xdr:col>6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0</xdr:rowOff>
                  </from>
                  <to>
                    <xdr:col>8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37" name="Check Box 186">
              <controlPr defaultSize="0" autoFill="0" autoLine="0" autoPict="0">
                <anchor moveWithCells="1">
                  <from>
                    <xdr:col>10</xdr:col>
                    <xdr:colOff>47625</xdr:colOff>
                    <xdr:row>34</xdr:row>
                    <xdr:rowOff>0</xdr:rowOff>
                  </from>
                  <to>
                    <xdr:col>11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38" name="Check Box 187">
              <controlPr defaultSize="0" autoFill="0" autoLine="0" autoPict="0">
                <anchor moveWithCells="1">
                  <from>
                    <xdr:col>3</xdr:col>
                    <xdr:colOff>47625</xdr:colOff>
                    <xdr:row>34</xdr:row>
                    <xdr:rowOff>0</xdr:rowOff>
                  </from>
                  <to>
                    <xdr:col>4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47625</xdr:colOff>
                    <xdr:row>22</xdr:row>
                    <xdr:rowOff>19050</xdr:rowOff>
                  </from>
                  <to>
                    <xdr:col>2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47625</xdr:colOff>
                    <xdr:row>22</xdr:row>
                    <xdr:rowOff>19050</xdr:rowOff>
                  </from>
                  <to>
                    <xdr:col>6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19050</xdr:rowOff>
                  </from>
                  <to>
                    <xdr:col>8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42" name="Check Box 193">
              <controlPr defaultSize="0" autoFill="0" autoLine="0" autoPict="0" altText="Fosfaat">
                <anchor moveWithCells="1">
                  <from>
                    <xdr:col>10</xdr:col>
                    <xdr:colOff>47625</xdr:colOff>
                    <xdr:row>22</xdr:row>
                    <xdr:rowOff>19050</xdr:rowOff>
                  </from>
                  <to>
                    <xdr:col>11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47625</xdr:colOff>
                    <xdr:row>22</xdr:row>
                    <xdr:rowOff>19050</xdr:rowOff>
                  </from>
                  <to>
                    <xdr:col>4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144" name="Check Box 197">
              <controlPr defaultSize="0" autoFill="0" autoLine="0" autoPict="0" altText="d-dimeren">
                <anchor moveWithCells="1">
                  <from>
                    <xdr:col>1</xdr:col>
                    <xdr:colOff>47625</xdr:colOff>
                    <xdr:row>36</xdr:row>
                    <xdr:rowOff>19050</xdr:rowOff>
                  </from>
                  <to>
                    <xdr:col>2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145" name="Check Box 198">
              <controlPr defaultSize="0" autoFill="0" autoLine="0" autoPict="0" altText="d-dimeren">
                <anchor moveWithCells="1">
                  <from>
                    <xdr:col>5</xdr:col>
                    <xdr:colOff>47625</xdr:colOff>
                    <xdr:row>36</xdr:row>
                    <xdr:rowOff>19050</xdr:rowOff>
                  </from>
                  <to>
                    <xdr:col>6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146" name="Check Box 199">
              <controlPr defaultSize="0" autoFill="0" autoLine="0" autoPict="0" altText="d-dimeren">
                <anchor moveWithCells="1">
                  <from>
                    <xdr:col>7</xdr:col>
                    <xdr:colOff>47625</xdr:colOff>
                    <xdr:row>36</xdr:row>
                    <xdr:rowOff>19050</xdr:rowOff>
                  </from>
                  <to>
                    <xdr:col>8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147" name="Check Box 200">
              <controlPr defaultSize="0" autoFill="0" autoLine="0" autoPict="0" altText="d-dimeren">
                <anchor moveWithCells="1">
                  <from>
                    <xdr:col>10</xdr:col>
                    <xdr:colOff>47625</xdr:colOff>
                    <xdr:row>36</xdr:row>
                    <xdr:rowOff>19050</xdr:rowOff>
                  </from>
                  <to>
                    <xdr:col>11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148" name="Check Box 201">
              <controlPr defaultSize="0" autoFill="0" autoLine="0" autoPict="0" altText="d-dimeren">
                <anchor moveWithCells="1">
                  <from>
                    <xdr:col>3</xdr:col>
                    <xdr:colOff>47625</xdr:colOff>
                    <xdr:row>36</xdr:row>
                    <xdr:rowOff>19050</xdr:rowOff>
                  </from>
                  <to>
                    <xdr:col>4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149" name="Check Box 204">
              <controlPr defaultSize="0" autoFill="0" autoLine="0" autoPict="0" altText="ACT">
                <anchor moveWithCells="1">
                  <from>
                    <xdr:col>1</xdr:col>
                    <xdr:colOff>47625</xdr:colOff>
                    <xdr:row>40</xdr:row>
                    <xdr:rowOff>19050</xdr:rowOff>
                  </from>
                  <to>
                    <xdr:col>2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150" name="Check Box 205">
              <controlPr defaultSize="0" autoFill="0" autoLine="0" autoPict="0">
                <anchor moveWithCells="1">
                  <from>
                    <xdr:col>1</xdr:col>
                    <xdr:colOff>47625</xdr:colOff>
                    <xdr:row>38</xdr:row>
                    <xdr:rowOff>19050</xdr:rowOff>
                  </from>
                  <to>
                    <xdr:col>2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151" name="Check Box 206">
              <controlPr defaultSize="0" autoFill="0" autoLine="0" autoPict="0">
                <anchor moveWithCells="1">
                  <from>
                    <xdr:col>5</xdr:col>
                    <xdr:colOff>47625</xdr:colOff>
                    <xdr:row>38</xdr:row>
                    <xdr:rowOff>19050</xdr:rowOff>
                  </from>
                  <to>
                    <xdr:col>6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152" name="Check Box 207">
              <controlPr defaultSize="0" autoFill="0" autoLine="0" autoPict="0">
                <anchor moveWithCells="1">
                  <from>
                    <xdr:col>7</xdr:col>
                    <xdr:colOff>47625</xdr:colOff>
                    <xdr:row>38</xdr:row>
                    <xdr:rowOff>19050</xdr:rowOff>
                  </from>
                  <to>
                    <xdr:col>8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153" name="Check Box 208">
              <controlPr defaultSize="0" autoFill="0" autoLine="0" autoPict="0">
                <anchor moveWithCells="1">
                  <from>
                    <xdr:col>10</xdr:col>
                    <xdr:colOff>47625</xdr:colOff>
                    <xdr:row>38</xdr:row>
                    <xdr:rowOff>19050</xdr:rowOff>
                  </from>
                  <to>
                    <xdr:col>11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154" name="Check Box 209">
              <controlPr defaultSize="0" autoFill="0" autoLine="0" autoPict="0">
                <anchor moveWithCells="1">
                  <from>
                    <xdr:col>3</xdr:col>
                    <xdr:colOff>47625</xdr:colOff>
                    <xdr:row>38</xdr:row>
                    <xdr:rowOff>19050</xdr:rowOff>
                  </from>
                  <to>
                    <xdr:col>4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155" name="Check Box 212">
              <controlPr defaultSize="0" autoFill="0" autoLine="0" autoPict="0">
                <anchor moveWithCells="1">
                  <from>
                    <xdr:col>1</xdr:col>
                    <xdr:colOff>47625</xdr:colOff>
                    <xdr:row>39</xdr:row>
                    <xdr:rowOff>19050</xdr:rowOff>
                  </from>
                  <to>
                    <xdr:col>2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156" name="Check Box 213">
              <controlPr defaultSize="0" autoFill="0" autoLine="0" autoPict="0">
                <anchor moveWithCells="1">
                  <from>
                    <xdr:col>5</xdr:col>
                    <xdr:colOff>47625</xdr:colOff>
                    <xdr:row>39</xdr:row>
                    <xdr:rowOff>19050</xdr:rowOff>
                  </from>
                  <to>
                    <xdr:col>6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157" name="Check Box 214">
              <controlPr defaultSize="0" autoFill="0" autoLine="0" autoPict="0">
                <anchor moveWithCells="1">
                  <from>
                    <xdr:col>7</xdr:col>
                    <xdr:colOff>47625</xdr:colOff>
                    <xdr:row>39</xdr:row>
                    <xdr:rowOff>19050</xdr:rowOff>
                  </from>
                  <to>
                    <xdr:col>8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158" name="Check Box 215">
              <controlPr defaultSize="0" autoFill="0" autoLine="0" autoPict="0">
                <anchor moveWithCells="1">
                  <from>
                    <xdr:col>10</xdr:col>
                    <xdr:colOff>47625</xdr:colOff>
                    <xdr:row>39</xdr:row>
                    <xdr:rowOff>19050</xdr:rowOff>
                  </from>
                  <to>
                    <xdr:col>11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4" r:id="rId159" name="Check Box 216">
              <controlPr defaultSize="0" autoFill="0" autoLine="0" autoPict="0">
                <anchor moveWithCells="1">
                  <from>
                    <xdr:col>3</xdr:col>
                    <xdr:colOff>47625</xdr:colOff>
                    <xdr:row>39</xdr:row>
                    <xdr:rowOff>19050</xdr:rowOff>
                  </from>
                  <to>
                    <xdr:col>4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Lab">
    <tabColor rgb="FF92D050"/>
  </sheetPr>
  <dimension ref="A1:P35"/>
  <sheetViews>
    <sheetView workbookViewId="0">
      <selection activeCell="M43" sqref="M43"/>
    </sheetView>
  </sheetViews>
  <sheetFormatPr defaultColWidth="9.140625" defaultRowHeight="12.75" x14ac:dyDescent="0.2"/>
  <cols>
    <col min="1" max="16384" width="9.140625" style="154"/>
  </cols>
  <sheetData>
    <row r="1" spans="1:16" x14ac:dyDescent="0.2">
      <c r="A1" s="355"/>
    </row>
    <row r="3" spans="1:16" x14ac:dyDescent="0.2">
      <c r="A3" s="170" t="s">
        <v>731</v>
      </c>
      <c r="B3" s="154" t="s">
        <v>732</v>
      </c>
      <c r="D3" s="170" t="s">
        <v>451</v>
      </c>
      <c r="E3" s="154" t="b">
        <v>1</v>
      </c>
      <c r="F3" s="170" t="s">
        <v>452</v>
      </c>
      <c r="G3" s="154" t="b">
        <v>1</v>
      </c>
      <c r="H3" s="170" t="s">
        <v>148</v>
      </c>
      <c r="I3" s="154" t="b">
        <v>1</v>
      </c>
      <c r="K3" s="170" t="s">
        <v>733</v>
      </c>
      <c r="M3" s="170"/>
      <c r="O3" s="170"/>
    </row>
    <row r="4" spans="1:16" x14ac:dyDescent="0.2">
      <c r="B4" s="154" t="str">
        <f>IF(C4,"A","")</f>
        <v/>
      </c>
      <c r="C4" s="507" t="b">
        <v>0</v>
      </c>
      <c r="D4" s="154" t="str">
        <f>IF(E4,"A","")</f>
        <v/>
      </c>
      <c r="E4" s="507" t="b">
        <v>0</v>
      </c>
      <c r="F4" s="154" t="str">
        <f>IF(G4,"A","")</f>
        <v/>
      </c>
      <c r="G4" s="507" t="b">
        <v>0</v>
      </c>
      <c r="H4" s="154" t="str">
        <f>IF(I4,"A","")</f>
        <v/>
      </c>
      <c r="I4" s="507" t="b">
        <v>0</v>
      </c>
      <c r="K4" s="154" t="str">
        <f>IF(L4,"A","")</f>
        <v/>
      </c>
      <c r="L4" s="507" t="b">
        <v>0</v>
      </c>
      <c r="N4" s="355"/>
      <c r="P4" s="355"/>
    </row>
    <row r="5" spans="1:16" x14ac:dyDescent="0.2">
      <c r="B5" s="154" t="str">
        <f>IF(C5,"Na K","")</f>
        <v/>
      </c>
      <c r="C5" s="507" t="b">
        <v>0</v>
      </c>
      <c r="D5" s="154" t="str">
        <f>IF(E5,"Na K","")</f>
        <v/>
      </c>
      <c r="E5" s="507" t="b">
        <v>0</v>
      </c>
      <c r="F5" s="154" t="str">
        <f>IF(G5,"Na K","")</f>
        <v/>
      </c>
      <c r="G5" s="507" t="b">
        <v>0</v>
      </c>
      <c r="H5" s="154" t="str">
        <f>IF(I5,"Na K","")</f>
        <v/>
      </c>
      <c r="I5" s="507" t="b">
        <v>0</v>
      </c>
      <c r="K5" s="154" t="str">
        <f>IF(L5,"Na K","")</f>
        <v/>
      </c>
      <c r="L5" s="507" t="b">
        <v>0</v>
      </c>
      <c r="N5" s="355"/>
      <c r="P5" s="355"/>
    </row>
    <row r="6" spans="1:16" x14ac:dyDescent="0.2">
      <c r="A6" s="355"/>
      <c r="B6" s="154" t="str">
        <f>IF(C6,"Cl","")</f>
        <v/>
      </c>
      <c r="C6" s="507" t="b">
        <v>0</v>
      </c>
      <c r="D6" s="154" t="str">
        <f>IF(E6,"Cl","")</f>
        <v/>
      </c>
      <c r="E6" s="507" t="b">
        <v>0</v>
      </c>
      <c r="F6" s="154" t="str">
        <f>IF(G6,"Cl","")</f>
        <v/>
      </c>
      <c r="G6" s="507" t="b">
        <v>0</v>
      </c>
      <c r="H6" s="154" t="str">
        <f>IF(I6,"Cl","")</f>
        <v/>
      </c>
      <c r="I6" s="507" t="b">
        <v>0</v>
      </c>
      <c r="K6" s="154" t="str">
        <f>IF(L6,"Cl","")</f>
        <v/>
      </c>
      <c r="L6" s="507" t="b">
        <v>0</v>
      </c>
      <c r="N6" s="355"/>
      <c r="P6" s="355"/>
    </row>
    <row r="7" spans="1:16" x14ac:dyDescent="0.2">
      <c r="B7" s="154" t="str">
        <f>IF(C7,"Gluc","")</f>
        <v/>
      </c>
      <c r="C7" s="507" t="b">
        <v>0</v>
      </c>
      <c r="D7" s="154" t="str">
        <f>IF(E7,"Gluc","")</f>
        <v/>
      </c>
      <c r="E7" s="507" t="b">
        <v>0</v>
      </c>
      <c r="F7" s="154" t="str">
        <f>IF(G7,"Gluc","")</f>
        <v/>
      </c>
      <c r="G7" s="507" t="b">
        <v>0</v>
      </c>
      <c r="H7" s="154" t="str">
        <f>IF(I7,"Gluc","")</f>
        <v/>
      </c>
      <c r="I7" s="507" t="b">
        <v>0</v>
      </c>
      <c r="K7" s="154" t="str">
        <f>IF(L7,"Gluc","")</f>
        <v/>
      </c>
      <c r="L7" s="507" t="b">
        <v>0</v>
      </c>
      <c r="N7" s="355"/>
      <c r="P7" s="355"/>
    </row>
    <row r="8" spans="1:16" x14ac:dyDescent="0.2">
      <c r="B8" s="154" t="str">
        <f>IF(C8,"Hb Ht","")</f>
        <v/>
      </c>
      <c r="C8" s="507" t="b">
        <v>0</v>
      </c>
      <c r="D8" s="154" t="str">
        <f>IF(E8,"Hb Ht","")</f>
        <v/>
      </c>
      <c r="E8" s="507" t="b">
        <v>0</v>
      </c>
      <c r="F8" s="154" t="str">
        <f>IF(G8,"Hb Ht","")</f>
        <v/>
      </c>
      <c r="G8" s="507" t="b">
        <v>0</v>
      </c>
      <c r="H8" s="154" t="str">
        <f>IF(I8,"Hb Ht","")</f>
        <v/>
      </c>
      <c r="I8" s="507" t="b">
        <v>0</v>
      </c>
      <c r="K8" s="154" t="str">
        <f>IF(L8,"Hb Ht","")</f>
        <v/>
      </c>
      <c r="L8" s="507" t="b">
        <v>0</v>
      </c>
      <c r="N8" s="355"/>
      <c r="P8" s="355"/>
    </row>
    <row r="9" spans="1:16" x14ac:dyDescent="0.2">
      <c r="B9" s="154" t="str">
        <f>IF(C9,"L","")</f>
        <v/>
      </c>
      <c r="C9" s="507" t="b">
        <v>0</v>
      </c>
      <c r="D9" s="154" t="str">
        <f>IF(E9,"L","")</f>
        <v/>
      </c>
      <c r="E9" s="507" t="b">
        <v>0</v>
      </c>
      <c r="F9" s="154" t="str">
        <f>IF(G9,"L","")</f>
        <v/>
      </c>
      <c r="G9" s="507" t="b">
        <v>0</v>
      </c>
      <c r="H9" s="154" t="str">
        <f>IF(I9,"L","")</f>
        <v/>
      </c>
      <c r="I9" s="507" t="b">
        <v>0</v>
      </c>
      <c r="K9" s="154" t="str">
        <f>IF(L9,"L","")</f>
        <v/>
      </c>
      <c r="L9" s="507" t="b">
        <v>0</v>
      </c>
      <c r="N9" s="355"/>
      <c r="P9" s="355"/>
    </row>
    <row r="10" spans="1:16" x14ac:dyDescent="0.2">
      <c r="B10" s="154" t="str">
        <f>IF(C10,"T","")</f>
        <v/>
      </c>
      <c r="C10" s="507" t="b">
        <v>0</v>
      </c>
      <c r="D10" s="154" t="str">
        <f>IF(E10,"T","")</f>
        <v/>
      </c>
      <c r="E10" s="507" t="b">
        <v>0</v>
      </c>
      <c r="F10" s="154" t="str">
        <f>IF(G10,"T","")</f>
        <v/>
      </c>
      <c r="G10" s="507" t="b">
        <v>0</v>
      </c>
      <c r="H10" s="154" t="str">
        <f>IF(I10,"T","")</f>
        <v/>
      </c>
      <c r="I10" s="507" t="b">
        <v>0</v>
      </c>
      <c r="K10" s="154" t="str">
        <f>IF(L10,"T","")</f>
        <v/>
      </c>
      <c r="L10" s="507" t="b">
        <v>0</v>
      </c>
      <c r="N10" s="355"/>
      <c r="P10" s="355"/>
    </row>
    <row r="11" spans="1:16" x14ac:dyDescent="0.2">
      <c r="B11" s="154" t="str">
        <f>IF(C11,"CRP","")</f>
        <v/>
      </c>
      <c r="C11" s="507" t="b">
        <v>0</v>
      </c>
      <c r="D11" s="154" t="str">
        <f>IF(E11,"CRP","")</f>
        <v/>
      </c>
      <c r="E11" s="507" t="b">
        <v>0</v>
      </c>
      <c r="F11" s="154" t="str">
        <f>IF(G11,"CRP","")</f>
        <v/>
      </c>
      <c r="G11" s="507" t="b">
        <v>0</v>
      </c>
      <c r="H11" s="154" t="str">
        <f>IF(I11,"CRP","")</f>
        <v/>
      </c>
      <c r="I11" s="507" t="b">
        <v>0</v>
      </c>
      <c r="K11" s="154" t="str">
        <f>IF(L11,"CRP","")</f>
        <v/>
      </c>
      <c r="L11" s="507" t="b">
        <v>0</v>
      </c>
      <c r="N11" s="355"/>
      <c r="P11" s="355"/>
    </row>
    <row r="12" spans="1:16" x14ac:dyDescent="0.2">
      <c r="B12" s="154" t="str">
        <f>IF(C12,"Lac","")</f>
        <v/>
      </c>
      <c r="C12" s="507" t="b">
        <v>0</v>
      </c>
      <c r="D12" s="154" t="str">
        <f>IF(E12,"Lac","")</f>
        <v/>
      </c>
      <c r="E12" s="507" t="b">
        <v>0</v>
      </c>
      <c r="F12" s="154" t="str">
        <f>IF(G12,"Lac","")</f>
        <v/>
      </c>
      <c r="G12" s="507" t="b">
        <v>0</v>
      </c>
      <c r="H12" s="154" t="str">
        <f>IF(I12,"Lac","")</f>
        <v/>
      </c>
      <c r="I12" s="507" t="b">
        <v>0</v>
      </c>
      <c r="K12" s="154" t="str">
        <f>IF(L12,"Lac","")</f>
        <v/>
      </c>
      <c r="L12" s="507" t="b">
        <v>0</v>
      </c>
      <c r="N12" s="355"/>
      <c r="P12" s="355"/>
    </row>
    <row r="13" spans="1:16" x14ac:dyDescent="0.2">
      <c r="B13" s="154" t="str">
        <f>IF(C13,"Ur","")</f>
        <v/>
      </c>
      <c r="C13" s="507" t="b">
        <v>0</v>
      </c>
      <c r="D13" s="154" t="str">
        <f>IF(E13,"Ur","")</f>
        <v/>
      </c>
      <c r="E13" s="507" t="b">
        <v>0</v>
      </c>
      <c r="F13" s="154" t="str">
        <f>IF(G13,"Ur","")</f>
        <v/>
      </c>
      <c r="G13" s="507" t="b">
        <v>0</v>
      </c>
      <c r="H13" s="154" t="str">
        <f>IF(I13,"Ur","")</f>
        <v/>
      </c>
      <c r="I13" s="507" t="b">
        <v>0</v>
      </c>
      <c r="K13" s="154" t="str">
        <f>IF(L13,"Ur","")</f>
        <v/>
      </c>
      <c r="L13" s="507" t="b">
        <v>0</v>
      </c>
      <c r="N13" s="355"/>
      <c r="P13" s="355"/>
    </row>
    <row r="14" spans="1:16" x14ac:dyDescent="0.2">
      <c r="B14" s="154" t="str">
        <f>IF(C14,"Kr","")</f>
        <v/>
      </c>
      <c r="C14" s="507" t="b">
        <v>0</v>
      </c>
      <c r="D14" s="154" t="str">
        <f>IF(E14,"Kr","")</f>
        <v/>
      </c>
      <c r="E14" s="507" t="b">
        <v>0</v>
      </c>
      <c r="F14" s="154" t="str">
        <f>IF(G14,"Kr","")</f>
        <v/>
      </c>
      <c r="G14" s="507" t="b">
        <v>0</v>
      </c>
      <c r="H14" s="154" t="str">
        <f>IF(I14,"Kr","")</f>
        <v/>
      </c>
      <c r="I14" s="507" t="b">
        <v>0</v>
      </c>
      <c r="K14" s="154" t="str">
        <f>IF(L14,"Kr","")</f>
        <v/>
      </c>
      <c r="L14" s="507" t="b">
        <v>0</v>
      </c>
      <c r="N14" s="355"/>
      <c r="P14" s="355"/>
    </row>
    <row r="15" spans="1:16" x14ac:dyDescent="0.2">
      <c r="B15" s="154" t="str">
        <f>IF(C15,"Ca++","")</f>
        <v/>
      </c>
      <c r="C15" s="507" t="b">
        <v>0</v>
      </c>
      <c r="D15" s="154" t="str">
        <f>IF(E15,"Ca++","")</f>
        <v/>
      </c>
      <c r="E15" s="507" t="b">
        <v>0</v>
      </c>
      <c r="F15" s="154" t="str">
        <f>IF(G15,"Ca++","")</f>
        <v/>
      </c>
      <c r="G15" s="507" t="b">
        <v>0</v>
      </c>
      <c r="H15" s="154" t="str">
        <f>IF(I15,"Ca++","")</f>
        <v/>
      </c>
      <c r="I15" s="507" t="b">
        <v>0</v>
      </c>
      <c r="K15" s="154" t="str">
        <f>IF(L15,"Ca++","")</f>
        <v/>
      </c>
      <c r="L15" s="507" t="b">
        <v>0</v>
      </c>
      <c r="N15" s="355"/>
      <c r="P15" s="355"/>
    </row>
    <row r="16" spans="1:16" x14ac:dyDescent="0.2">
      <c r="B16" s="154" t="str">
        <f>IF(C16,"Mg++","")</f>
        <v/>
      </c>
      <c r="C16" s="507" t="b">
        <v>0</v>
      </c>
      <c r="D16" s="154" t="str">
        <f>IF(E16,"Mg++","")</f>
        <v/>
      </c>
      <c r="E16" s="507" t="b">
        <v>0</v>
      </c>
      <c r="F16" s="154" t="str">
        <f>IF(G16,"Mg++","")</f>
        <v/>
      </c>
      <c r="G16" s="507" t="b">
        <v>0</v>
      </c>
      <c r="H16" s="154" t="str">
        <f>IF(I16,"Mg++","")</f>
        <v/>
      </c>
      <c r="I16" s="507" t="b">
        <v>0</v>
      </c>
      <c r="K16" s="154" t="str">
        <f>IF(L16,"Mg++","")</f>
        <v/>
      </c>
      <c r="L16" s="507" t="b">
        <v>0</v>
      </c>
      <c r="N16" s="355"/>
      <c r="P16" s="355"/>
    </row>
    <row r="17" spans="2:16" x14ac:dyDescent="0.2">
      <c r="B17" s="154" t="str">
        <f>IF(C17,"Fosfaat","")</f>
        <v/>
      </c>
      <c r="C17" s="507" t="b">
        <v>0</v>
      </c>
      <c r="D17" s="154" t="str">
        <f>IF(E17,"Fosfaat","")</f>
        <v/>
      </c>
      <c r="E17" s="507" t="b">
        <v>0</v>
      </c>
      <c r="F17" s="154" t="str">
        <f>IF(G17,"Fosfaat","")</f>
        <v/>
      </c>
      <c r="G17" s="507" t="b">
        <v>0</v>
      </c>
      <c r="H17" s="154" t="str">
        <f>IF(I17,"Fosfaat","")</f>
        <v/>
      </c>
      <c r="I17" s="507" t="b">
        <v>0</v>
      </c>
      <c r="K17" s="154" t="str">
        <f>IF(L17,"Fosfaat","")</f>
        <v/>
      </c>
      <c r="L17" s="507" t="b">
        <v>0</v>
      </c>
      <c r="N17" s="355"/>
      <c r="P17" s="355"/>
    </row>
    <row r="18" spans="2:16" x14ac:dyDescent="0.2">
      <c r="B18" s="154" t="str">
        <f>IF(C18,"Alb","")</f>
        <v/>
      </c>
      <c r="C18" s="507" t="b">
        <v>0</v>
      </c>
      <c r="D18" s="154" t="str">
        <f>IF(E18,"Alb","")</f>
        <v/>
      </c>
      <c r="E18" s="507" t="b">
        <v>0</v>
      </c>
      <c r="F18" s="154" t="str">
        <f>IF(G18,"Alb","")</f>
        <v/>
      </c>
      <c r="G18" s="507" t="b">
        <v>0</v>
      </c>
      <c r="H18" s="154" t="str">
        <f>IF(I18,"Alb","")</f>
        <v/>
      </c>
      <c r="I18" s="507" t="b">
        <v>0</v>
      </c>
      <c r="K18" s="154" t="str">
        <f>IF(L18,"Alb","")</f>
        <v/>
      </c>
      <c r="L18" s="507" t="b">
        <v>0</v>
      </c>
      <c r="N18" s="355"/>
      <c r="P18" s="355"/>
    </row>
    <row r="19" spans="2:16" x14ac:dyDescent="0.2">
      <c r="B19" s="154" t="str">
        <f>IF(C19,"Ca","")</f>
        <v/>
      </c>
      <c r="C19" s="507" t="b">
        <v>0</v>
      </c>
      <c r="D19" s="154" t="str">
        <f>IF(E19,"Ca","")</f>
        <v/>
      </c>
      <c r="E19" s="507" t="b">
        <v>0</v>
      </c>
      <c r="F19" s="154" t="str">
        <f>IF(G19,"Ca","")</f>
        <v/>
      </c>
      <c r="G19" s="507" t="b">
        <v>0</v>
      </c>
      <c r="H19" s="154" t="str">
        <f>IF(I19,"Ca","")</f>
        <v/>
      </c>
      <c r="I19" s="507" t="b">
        <v>0</v>
      </c>
      <c r="K19" s="154" t="str">
        <f>IF(L19,"Ca","")</f>
        <v/>
      </c>
      <c r="L19" s="507" t="b">
        <v>0</v>
      </c>
      <c r="N19" s="355"/>
      <c r="P19" s="355"/>
    </row>
    <row r="20" spans="2:16" x14ac:dyDescent="0.2">
      <c r="B20" s="154" t="str">
        <f>IF(C20,"ASAT","")</f>
        <v/>
      </c>
      <c r="C20" s="507" t="b">
        <v>0</v>
      </c>
      <c r="D20" s="154" t="str">
        <f>IF(E20,"ASAT","")</f>
        <v/>
      </c>
      <c r="E20" s="507" t="b">
        <v>0</v>
      </c>
      <c r="F20" s="154" t="str">
        <f>IF(G20,"ASAT","")</f>
        <v/>
      </c>
      <c r="G20" s="507" t="b">
        <v>0</v>
      </c>
      <c r="H20" s="154" t="str">
        <f>IF(I20,"ASAT","")</f>
        <v/>
      </c>
      <c r="I20" s="507" t="b">
        <v>0</v>
      </c>
      <c r="K20" s="154" t="str">
        <f>IF(L20,"ASAT","")</f>
        <v/>
      </c>
      <c r="L20" s="507" t="b">
        <v>0</v>
      </c>
      <c r="N20" s="355"/>
      <c r="P20" s="355"/>
    </row>
    <row r="21" spans="2:16" x14ac:dyDescent="0.2">
      <c r="B21" s="154" t="str">
        <f>IF(C21,"ALAT","")</f>
        <v/>
      </c>
      <c r="C21" s="507" t="b">
        <v>0</v>
      </c>
      <c r="D21" s="154" t="str">
        <f>IF(E21,"ALAT","")</f>
        <v/>
      </c>
      <c r="E21" s="507" t="b">
        <v>0</v>
      </c>
      <c r="F21" s="154" t="str">
        <f>IF(G21,"ALAT","")</f>
        <v/>
      </c>
      <c r="G21" s="507" t="b">
        <v>0</v>
      </c>
      <c r="H21" s="154" t="str">
        <f>IF(I21,"ALAT","")</f>
        <v/>
      </c>
      <c r="I21" s="507" t="b">
        <v>0</v>
      </c>
      <c r="K21" s="154" t="str">
        <f>IF(L21,"Alat","")</f>
        <v/>
      </c>
      <c r="L21" s="507" t="b">
        <v>0</v>
      </c>
      <c r="N21" s="355"/>
      <c r="P21" s="355"/>
    </row>
    <row r="22" spans="2:16" x14ac:dyDescent="0.2">
      <c r="B22" s="154" t="str">
        <f>IF(C22,"GGT","")</f>
        <v/>
      </c>
      <c r="C22" s="507" t="b">
        <v>0</v>
      </c>
      <c r="D22" s="154" t="str">
        <f>IF(E22,"GGT","")</f>
        <v/>
      </c>
      <c r="E22" s="507" t="b">
        <v>0</v>
      </c>
      <c r="F22" s="154" t="str">
        <f>IF(G22,"GGT","")</f>
        <v/>
      </c>
      <c r="G22" s="507" t="b">
        <v>0</v>
      </c>
      <c r="H22" s="154" t="str">
        <f>IF(I22,"GGT","")</f>
        <v/>
      </c>
      <c r="I22" s="507" t="b">
        <v>0</v>
      </c>
      <c r="K22" s="154" t="str">
        <f>IF(L22,"GGT","")</f>
        <v/>
      </c>
      <c r="L22" s="507" t="b">
        <v>0</v>
      </c>
      <c r="N22" s="355"/>
      <c r="P22" s="355"/>
    </row>
    <row r="23" spans="2:16" x14ac:dyDescent="0.2">
      <c r="B23" s="154" t="str">
        <f>IF(C23,"AF","")</f>
        <v/>
      </c>
      <c r="C23" s="507" t="b">
        <v>0</v>
      </c>
      <c r="D23" s="154" t="str">
        <f>IF(E23,"AF","")</f>
        <v/>
      </c>
      <c r="E23" s="507" t="b">
        <v>0</v>
      </c>
      <c r="F23" s="154" t="str">
        <f>IF(G23,"AF","")</f>
        <v/>
      </c>
      <c r="G23" s="507" t="b">
        <v>0</v>
      </c>
      <c r="H23" s="154" t="str">
        <f>IF(I23,"AF","")</f>
        <v/>
      </c>
      <c r="I23" s="507" t="b">
        <v>0</v>
      </c>
      <c r="K23" s="154" t="str">
        <f>IF(L23,"AF","")</f>
        <v/>
      </c>
      <c r="L23" s="507" t="b">
        <v>0</v>
      </c>
      <c r="N23" s="355"/>
      <c r="P23" s="355"/>
    </row>
    <row r="24" spans="2:16" x14ac:dyDescent="0.2">
      <c r="B24" s="154" t="str">
        <f>IF(C24,"LDH","")</f>
        <v/>
      </c>
      <c r="C24" s="507" t="b">
        <v>0</v>
      </c>
      <c r="D24" s="154" t="str">
        <f>IF(E24,"LDH","")</f>
        <v/>
      </c>
      <c r="E24" s="507" t="b">
        <v>0</v>
      </c>
      <c r="F24" s="154" t="str">
        <f>IF(G24,"LDH","")</f>
        <v/>
      </c>
      <c r="G24" s="507" t="b">
        <v>0</v>
      </c>
      <c r="H24" s="154" t="str">
        <f>IF(I24,"LDH","")</f>
        <v/>
      </c>
      <c r="I24" s="507" t="b">
        <v>0</v>
      </c>
      <c r="K24" s="154" t="str">
        <f>IF(L24,"LDH","")</f>
        <v/>
      </c>
      <c r="L24" s="507" t="b">
        <v>0</v>
      </c>
      <c r="N24" s="355"/>
      <c r="P24" s="355"/>
    </row>
    <row r="25" spans="2:16" x14ac:dyDescent="0.2">
      <c r="B25" s="154" t="str">
        <f>IF(C25,"Bili","")</f>
        <v/>
      </c>
      <c r="C25" s="507" t="b">
        <v>0</v>
      </c>
      <c r="D25" s="154" t="str">
        <f>IF(E25,"Bili","")</f>
        <v/>
      </c>
      <c r="E25" s="507" t="b">
        <v>0</v>
      </c>
      <c r="F25" s="154" t="str">
        <f>IF(G25,"Bili","")</f>
        <v/>
      </c>
      <c r="G25" s="507" t="b">
        <v>0</v>
      </c>
      <c r="H25" s="154" t="str">
        <f>IF(I25,"Bili","")</f>
        <v/>
      </c>
      <c r="I25" s="507" t="b">
        <v>0</v>
      </c>
      <c r="K25" s="154" t="str">
        <f>IF(L25,"Blil","")</f>
        <v/>
      </c>
      <c r="L25" s="507" t="b">
        <v>0</v>
      </c>
      <c r="N25" s="355"/>
      <c r="P25" s="355"/>
    </row>
    <row r="26" spans="2:16" x14ac:dyDescent="0.2">
      <c r="B26" s="154" t="str">
        <f>IF(C26,"CK","")</f>
        <v/>
      </c>
      <c r="C26" s="507" t="b">
        <v>0</v>
      </c>
      <c r="D26" s="154" t="str">
        <f>IF(E26,"CK","")</f>
        <v/>
      </c>
      <c r="E26" s="507" t="b">
        <v>0</v>
      </c>
      <c r="F26" s="154" t="str">
        <f>IF(G26,"CK","")</f>
        <v/>
      </c>
      <c r="G26" s="507" t="b">
        <v>0</v>
      </c>
      <c r="H26" s="154" t="str">
        <f>IF(I26,"CK","")</f>
        <v/>
      </c>
      <c r="I26" s="507" t="b">
        <v>0</v>
      </c>
      <c r="K26" s="154" t="str">
        <f>IF(L26,"CK","")</f>
        <v/>
      </c>
      <c r="L26" s="507" t="b">
        <v>0</v>
      </c>
      <c r="N26" s="355"/>
      <c r="P26" s="355"/>
    </row>
    <row r="27" spans="2:16" x14ac:dyDescent="0.2">
      <c r="B27" s="154" t="str">
        <f>IF(C27,"TG","")</f>
        <v/>
      </c>
      <c r="C27" s="507" t="b">
        <v>0</v>
      </c>
      <c r="D27" s="154" t="str">
        <f>IF(E27,"TG","")</f>
        <v/>
      </c>
      <c r="E27" s="507" t="b">
        <v>0</v>
      </c>
      <c r="F27" s="154" t="str">
        <f>IF(G27,"TG","")</f>
        <v/>
      </c>
      <c r="G27" s="507" t="b">
        <v>0</v>
      </c>
      <c r="H27" s="154" t="str">
        <f>IF(I27,"TG","")</f>
        <v/>
      </c>
      <c r="I27" s="507" t="b">
        <v>0</v>
      </c>
      <c r="K27" s="154" t="str">
        <f>IF(L27,"TG","")</f>
        <v/>
      </c>
      <c r="L27" s="507" t="b">
        <v>0</v>
      </c>
      <c r="N27" s="355"/>
      <c r="P27" s="355"/>
    </row>
    <row r="28" spans="2:16" x14ac:dyDescent="0.2">
      <c r="B28" s="154" t="str">
        <f>IF(C28,"BG","")</f>
        <v/>
      </c>
      <c r="C28" s="507" t="b">
        <v>0</v>
      </c>
      <c r="D28" s="154" t="str">
        <f>IF(E28,"BG","")</f>
        <v/>
      </c>
      <c r="E28" s="507" t="b">
        <v>0</v>
      </c>
      <c r="F28" s="154" t="str">
        <f>IF(G28,"BG","")</f>
        <v/>
      </c>
      <c r="G28" s="507" t="b">
        <v>0</v>
      </c>
      <c r="H28" s="154" t="str">
        <f>IF(I28,"BG","")</f>
        <v/>
      </c>
      <c r="I28" s="507" t="b">
        <v>0</v>
      </c>
      <c r="K28" s="154" t="str">
        <f>IF(L28,"BG","")</f>
        <v/>
      </c>
      <c r="L28" s="507" t="b">
        <v>0</v>
      </c>
      <c r="N28" s="355"/>
      <c r="P28" s="355"/>
    </row>
    <row r="29" spans="2:16" x14ac:dyDescent="0.2">
      <c r="B29" s="154" t="str">
        <f>IF(C29,"PT","")</f>
        <v/>
      </c>
      <c r="C29" s="507" t="b">
        <v>0</v>
      </c>
      <c r="D29" s="154" t="str">
        <f>IF(E29,"PT","")</f>
        <v/>
      </c>
      <c r="E29" s="507" t="b">
        <v>0</v>
      </c>
      <c r="F29" s="154" t="str">
        <f>IF(G29,"PT","")</f>
        <v/>
      </c>
      <c r="G29" s="507" t="b">
        <v>0</v>
      </c>
      <c r="H29" s="154" t="str">
        <f>IF(I29,"PT","")</f>
        <v/>
      </c>
      <c r="I29" s="507" t="b">
        <v>0</v>
      </c>
      <c r="K29" s="154" t="str">
        <f>IF(L29,"PT","")</f>
        <v/>
      </c>
      <c r="L29" s="507" t="b">
        <v>0</v>
      </c>
      <c r="N29" s="355"/>
      <c r="P29" s="355"/>
    </row>
    <row r="30" spans="2:16" x14ac:dyDescent="0.2">
      <c r="B30" s="154" t="str">
        <f>IF(C30,"APTT","")</f>
        <v/>
      </c>
      <c r="C30" s="507" t="b">
        <v>0</v>
      </c>
      <c r="D30" s="154" t="str">
        <f>IF(E30,"APTT","")</f>
        <v/>
      </c>
      <c r="E30" s="507" t="b">
        <v>0</v>
      </c>
      <c r="F30" s="154" t="str">
        <f>IF(G30,"APTT","")</f>
        <v/>
      </c>
      <c r="G30" s="507" t="b">
        <v>0</v>
      </c>
      <c r="H30" s="154" t="str">
        <f>IF(I30,"APTT","")</f>
        <v/>
      </c>
      <c r="I30" s="507" t="b">
        <v>0</v>
      </c>
      <c r="K30" s="154" t="str">
        <f>IF(L30,"APTT","")</f>
        <v/>
      </c>
      <c r="L30" s="507" t="b">
        <v>0</v>
      </c>
      <c r="N30" s="355"/>
      <c r="P30" s="355"/>
    </row>
    <row r="31" spans="2:16" x14ac:dyDescent="0.2">
      <c r="B31" s="154" t="str">
        <f>IF(C31,"d-dimeren","")</f>
        <v/>
      </c>
      <c r="C31" s="507" t="b">
        <v>0</v>
      </c>
      <c r="D31" s="154" t="str">
        <f>IF(E31,"d-dimeren","")</f>
        <v/>
      </c>
      <c r="E31" s="507" t="b">
        <v>0</v>
      </c>
      <c r="F31" s="154" t="str">
        <f>IF(G31,"d-dimeren","")</f>
        <v/>
      </c>
      <c r="G31" s="507" t="b">
        <v>0</v>
      </c>
      <c r="H31" s="154" t="str">
        <f>IF(I31,"d-dimeren","")</f>
        <v/>
      </c>
      <c r="I31" s="507" t="b">
        <v>0</v>
      </c>
      <c r="K31" s="154" t="str">
        <f>IF(L31,"d-dimeren","")</f>
        <v/>
      </c>
      <c r="L31" s="507" t="b">
        <v>0</v>
      </c>
      <c r="N31" s="355"/>
      <c r="P31" s="355"/>
    </row>
    <row r="32" spans="2:16" x14ac:dyDescent="0.2">
      <c r="B32" s="154" t="str">
        <f>IF(C32,"INR","")</f>
        <v/>
      </c>
      <c r="C32" s="507" t="b">
        <v>0</v>
      </c>
      <c r="D32" s="154" t="str">
        <f>IF(E32,"INR","")</f>
        <v/>
      </c>
      <c r="E32" s="507" t="b">
        <v>0</v>
      </c>
      <c r="F32" s="154" t="str">
        <f t="shared" ref="F32" si="0">IF(G32,"INR","")</f>
        <v/>
      </c>
      <c r="G32" s="507" t="b">
        <v>0</v>
      </c>
      <c r="H32" s="154" t="str">
        <f t="shared" ref="H32" si="1">IF(I32,"INR","")</f>
        <v/>
      </c>
      <c r="I32" s="507" t="b">
        <v>0</v>
      </c>
      <c r="K32" s="154" t="str">
        <f t="shared" ref="K32:K35" si="2">IF(L32,"INR","")</f>
        <v/>
      </c>
      <c r="L32" s="507" t="b">
        <v>0</v>
      </c>
      <c r="N32" s="355"/>
      <c r="P32" s="355"/>
    </row>
    <row r="33" spans="2:16" x14ac:dyDescent="0.2">
      <c r="B33" s="154" t="str">
        <f>IF(C33,"Hep-ratio","")</f>
        <v/>
      </c>
      <c r="C33" s="507" t="b">
        <v>0</v>
      </c>
      <c r="D33" s="154" t="str">
        <f>IF(E33,"Hep-ratio","")</f>
        <v/>
      </c>
      <c r="E33" s="507" t="b">
        <v>0</v>
      </c>
      <c r="F33" s="154" t="str">
        <f>IF(G33,"Hep-ratio","")</f>
        <v/>
      </c>
      <c r="G33" s="507" t="b">
        <v>0</v>
      </c>
      <c r="H33" s="154" t="str">
        <f>IF(I33,"Hep-ratio","")</f>
        <v/>
      </c>
      <c r="I33" s="507" t="b">
        <v>0</v>
      </c>
      <c r="K33" s="154" t="str">
        <f>IF(L33,"Hep-ratio","")</f>
        <v/>
      </c>
      <c r="L33" s="507" t="b">
        <v>0</v>
      </c>
      <c r="N33" s="355"/>
      <c r="P33" s="355"/>
    </row>
    <row r="34" spans="2:16" x14ac:dyDescent="0.2">
      <c r="B34" s="154" t="str">
        <f>IF(C34,"BNP","")</f>
        <v/>
      </c>
      <c r="C34" s="507" t="b">
        <v>0</v>
      </c>
      <c r="D34" s="154" t="str">
        <f>IF(E34,"BNP","")</f>
        <v/>
      </c>
      <c r="E34" s="507" t="b">
        <v>0</v>
      </c>
      <c r="F34" s="154" t="str">
        <f>IF(G34,"BNP","")</f>
        <v/>
      </c>
      <c r="G34" s="507" t="b">
        <v>0</v>
      </c>
      <c r="H34" s="154" t="str">
        <f>IF(I34,"BNP","")</f>
        <v/>
      </c>
      <c r="I34" s="507" t="b">
        <v>0</v>
      </c>
      <c r="K34" s="154" t="str">
        <f>IF(L34,"BNP","")</f>
        <v/>
      </c>
      <c r="L34" s="507" t="b">
        <v>0</v>
      </c>
      <c r="N34" s="355"/>
      <c r="P34" s="355"/>
    </row>
    <row r="35" spans="2:16" x14ac:dyDescent="0.2">
      <c r="B35" s="154" t="str">
        <f>IF(C35,"ACT","")</f>
        <v/>
      </c>
      <c r="C35" s="507" t="b">
        <v>0</v>
      </c>
      <c r="G35" s="508" t="b">
        <v>0</v>
      </c>
      <c r="K35" s="154" t="str">
        <f t="shared" si="2"/>
        <v/>
      </c>
    </row>
  </sheetData>
  <pageMargins left="0.75" right="0.75" top="1" bottom="1" header="0.5" footer="0.5"/>
  <headerFooter alignWithMargins="0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Afspr">
    <tabColor rgb="FF7030A0"/>
  </sheetPr>
  <dimension ref="A1:Q74"/>
  <sheetViews>
    <sheetView workbookViewId="0">
      <pane ySplit="4" topLeftCell="A5" activePane="bottomLeft" state="frozen"/>
      <selection pane="bottomLeft" activeCell="A6" sqref="A6"/>
    </sheetView>
  </sheetViews>
  <sheetFormatPr defaultColWidth="9.140625" defaultRowHeight="12.75" x14ac:dyDescent="0.2"/>
  <cols>
    <col min="1" max="1" width="5.42578125" style="744" customWidth="1"/>
    <col min="2" max="2" width="25" style="744" customWidth="1"/>
    <col min="3" max="3" width="16.28515625" style="744" customWidth="1"/>
    <col min="4" max="4" width="16.7109375" style="744" customWidth="1"/>
    <col min="5" max="5" width="15" style="744" bestFit="1" customWidth="1"/>
    <col min="6" max="6" width="21.85546875" style="744" bestFit="1" customWidth="1"/>
    <col min="7" max="7" width="21.5703125" style="744" customWidth="1"/>
    <col min="8" max="8" width="11.5703125" style="744" customWidth="1"/>
    <col min="9" max="9" width="27" style="744" customWidth="1"/>
    <col min="10" max="10" width="15.5703125" style="744" customWidth="1"/>
    <col min="11" max="11" width="13" style="744" customWidth="1"/>
    <col min="12" max="45" width="9.140625" style="744" customWidth="1"/>
    <col min="46" max="16384" width="9.140625" style="744"/>
  </cols>
  <sheetData>
    <row r="1" spans="1:17" s="741" customFormat="1" ht="17.25" customHeight="1" x14ac:dyDescent="0.2">
      <c r="A1" s="740"/>
      <c r="B1" s="832"/>
      <c r="C1" s="832"/>
      <c r="D1" s="832"/>
      <c r="E1" s="832"/>
      <c r="F1" s="832"/>
      <c r="G1" s="832"/>
      <c r="H1" s="832"/>
      <c r="I1" s="832"/>
    </row>
    <row r="2" spans="1:17" s="741" customFormat="1" ht="17.25" customHeight="1" x14ac:dyDescent="0.2">
      <c r="B2" s="833" t="s">
        <v>304</v>
      </c>
      <c r="C2" s="834">
        <f ca="1">Var_AfspraakDatum</f>
        <v>42750</v>
      </c>
      <c r="D2" s="833" t="s">
        <v>305</v>
      </c>
      <c r="E2" s="835" t="str">
        <f>PatDetails!B13</f>
        <v/>
      </c>
      <c r="F2" s="833" t="str">
        <f>PatDetails!B21</f>
        <v>Gewicht:</v>
      </c>
      <c r="G2" s="833"/>
      <c r="H2" s="833" t="s">
        <v>519</v>
      </c>
      <c r="I2" s="836">
        <f>__1_Bed</f>
        <v>0</v>
      </c>
    </row>
    <row r="3" spans="1:17" s="741" customFormat="1" ht="17.25" customHeight="1" x14ac:dyDescent="0.2">
      <c r="B3" s="833" t="s">
        <v>28</v>
      </c>
      <c r="C3" s="837" t="str">
        <f>PatDetails!B19</f>
        <v/>
      </c>
      <c r="D3" s="833" t="s">
        <v>312</v>
      </c>
      <c r="E3" s="835" t="str">
        <f ca="1">PatDetails!B14</f>
        <v/>
      </c>
      <c r="F3" s="833" t="str">
        <f>PatDetails!B22</f>
        <v>Lengte:</v>
      </c>
      <c r="G3" s="833"/>
      <c r="H3" s="833"/>
      <c r="I3" s="832"/>
    </row>
    <row r="4" spans="1:17" s="741" customFormat="1" ht="17.25" customHeight="1" x14ac:dyDescent="0.2">
      <c r="A4" s="742"/>
      <c r="B4" s="833" t="s">
        <v>4671</v>
      </c>
      <c r="C4" s="833" t="str">
        <f>PatDetails!B15</f>
        <v/>
      </c>
      <c r="D4" s="833" t="s">
        <v>275</v>
      </c>
      <c r="E4" s="838" t="str">
        <f ca="1">PatDetails!B18</f>
        <v/>
      </c>
      <c r="F4" s="833" t="str">
        <f>PatDetails!B23</f>
        <v>Lichamelijk oppervlak:</v>
      </c>
      <c r="G4" s="833"/>
      <c r="H4" s="833"/>
      <c r="I4" s="832"/>
    </row>
    <row r="6" spans="1:17" x14ac:dyDescent="0.2">
      <c r="A6" s="743"/>
      <c r="B6" s="852" t="s">
        <v>745</v>
      </c>
      <c r="C6" s="852"/>
      <c r="D6" s="852"/>
      <c r="E6" s="852"/>
      <c r="F6" s="852" t="s">
        <v>752</v>
      </c>
      <c r="G6" s="852"/>
      <c r="H6" s="852"/>
      <c r="I6" s="852"/>
      <c r="Q6" s="741"/>
    </row>
    <row r="7" spans="1:17" ht="18" customHeight="1" x14ac:dyDescent="0.2">
      <c r="Q7" s="741"/>
    </row>
    <row r="8" spans="1:17" ht="18" customHeight="1" thickBot="1" x14ac:dyDescent="0.25">
      <c r="C8" s="802" t="str">
        <f>IF(PedBerAfspr!C7=0,"",PedBerAfspr!C7)</f>
        <v/>
      </c>
      <c r="Q8" s="741"/>
    </row>
    <row r="9" spans="1:17" ht="18" customHeight="1" thickTop="1" thickBot="1" x14ac:dyDescent="0.25">
      <c r="C9" s="803" t="str">
        <f>IF(PedBerAfspr!C8=0,"",PedBerAfspr!C8)</f>
        <v/>
      </c>
      <c r="G9" s="806" t="str">
        <f>CONCATENATE("à ",PedBerAfspr!G16," uur")</f>
        <v>à 0 uur</v>
      </c>
      <c r="H9" s="745"/>
    </row>
    <row r="10" spans="1:17" ht="18" customHeight="1" thickTop="1" thickBot="1" x14ac:dyDescent="0.25">
      <c r="C10" s="803" t="str">
        <f>IF(PedBerAfspr!C9=0,"",PedBerAfspr!C9)</f>
        <v/>
      </c>
      <c r="G10" s="807" t="str">
        <f>CONCATENATE("à ",PedBerAfspr!G18," uur")</f>
        <v>à 0 uur</v>
      </c>
      <c r="H10" s="817" t="s">
        <v>1013</v>
      </c>
      <c r="I10" s="801" t="str">
        <f>IF(_Ped_AfsprD_Verliezen=0,"",_Ped_AfsprD_Verliezen)</f>
        <v/>
      </c>
      <c r="J10" s="746"/>
      <c r="K10" s="746"/>
    </row>
    <row r="11" spans="1:17" ht="18" customHeight="1" thickTop="1" thickBot="1" x14ac:dyDescent="0.25">
      <c r="C11" s="804" t="str">
        <f>CONCATENATE(PedBerAfspr!$B$12," dd")</f>
        <v>0 dd</v>
      </c>
      <c r="F11" s="747"/>
      <c r="I11" s="746"/>
      <c r="J11" s="746"/>
      <c r="K11" s="746"/>
    </row>
    <row r="12" spans="1:17" ht="18" customHeight="1" thickTop="1" x14ac:dyDescent="0.2">
      <c r="F12" s="747"/>
      <c r="I12" s="746"/>
      <c r="J12" s="746"/>
      <c r="K12" s="746"/>
    </row>
    <row r="13" spans="1:17" ht="18" customHeight="1" x14ac:dyDescent="0.2">
      <c r="F13" s="747"/>
      <c r="I13" s="748"/>
      <c r="M13" s="741"/>
    </row>
    <row r="14" spans="1:17" ht="18" customHeight="1" x14ac:dyDescent="0.2">
      <c r="F14" s="747"/>
      <c r="M14" s="741"/>
    </row>
    <row r="15" spans="1:17" ht="18" customHeight="1" x14ac:dyDescent="0.2">
      <c r="F15" s="747"/>
    </row>
    <row r="16" spans="1:17" ht="18" customHeight="1" x14ac:dyDescent="0.2">
      <c r="F16" s="747"/>
      <c r="M16" s="741"/>
    </row>
    <row r="17" spans="1:14" ht="18" customHeight="1" x14ac:dyDescent="0.2">
      <c r="F17" s="818" t="s">
        <v>926</v>
      </c>
      <c r="G17" s="819"/>
      <c r="H17" s="819"/>
      <c r="I17" s="819"/>
      <c r="M17" s="741"/>
    </row>
    <row r="18" spans="1:14" ht="18" customHeight="1" thickBot="1" x14ac:dyDescent="0.25">
      <c r="C18" s="805" t="str">
        <f>CONCATENATE(PedBerAfspr!$C$42," dd")</f>
        <v>0 dd</v>
      </c>
      <c r="F18" s="879" t="str">
        <f>IF(_Ped_AfsprOverig=0,"",_Ped_AfsprOverig)</f>
        <v/>
      </c>
      <c r="G18" s="880"/>
      <c r="H18" s="880"/>
      <c r="I18" s="880"/>
      <c r="K18" s="741"/>
      <c r="M18" s="741"/>
      <c r="N18" s="741"/>
    </row>
    <row r="19" spans="1:14" ht="18" customHeight="1" thickTop="1" thickBot="1" x14ac:dyDescent="0.25">
      <c r="C19" s="804" t="str">
        <f>CONCATENATE(PedBerAfspr!$C$43," dd")</f>
        <v>3 dd</v>
      </c>
      <c r="F19" s="880"/>
      <c r="G19" s="880"/>
      <c r="H19" s="880"/>
      <c r="I19" s="880"/>
      <c r="N19" s="741"/>
    </row>
    <row r="20" spans="1:14" ht="18" customHeight="1" thickTop="1" x14ac:dyDescent="0.2">
      <c r="F20" s="880"/>
      <c r="G20" s="880"/>
      <c r="H20" s="880"/>
      <c r="I20" s="880"/>
      <c r="K20" s="741"/>
      <c r="M20" s="741"/>
      <c r="N20" s="741"/>
    </row>
    <row r="21" spans="1:14" ht="18" customHeight="1" x14ac:dyDescent="0.2">
      <c r="F21" s="747"/>
      <c r="G21" s="749"/>
      <c r="H21" s="750"/>
      <c r="M21" s="741"/>
      <c r="N21" s="741"/>
    </row>
    <row r="22" spans="1:14" ht="18" customHeight="1" x14ac:dyDescent="0.2">
      <c r="B22" s="852" t="s">
        <v>751</v>
      </c>
      <c r="C22" s="852"/>
      <c r="D22" s="852"/>
      <c r="E22" s="852"/>
      <c r="F22" s="853"/>
      <c r="G22" s="854"/>
      <c r="H22" s="855"/>
      <c r="I22" s="852"/>
      <c r="M22" s="741"/>
    </row>
    <row r="23" spans="1:14" ht="18" customHeight="1" x14ac:dyDescent="0.2">
      <c r="F23" s="747"/>
      <c r="G23" s="749"/>
      <c r="H23" s="750"/>
      <c r="M23" s="741"/>
    </row>
    <row r="24" spans="1:14" ht="18" customHeight="1" x14ac:dyDescent="0.2">
      <c r="F24" s="747"/>
    </row>
    <row r="25" spans="1:14" ht="18" customHeight="1" x14ac:dyDescent="0.2"/>
    <row r="26" spans="1:14" ht="18" customHeight="1" x14ac:dyDescent="0.2"/>
    <row r="27" spans="1:14" ht="18" customHeight="1" x14ac:dyDescent="0.2"/>
    <row r="28" spans="1:14" ht="18" customHeight="1" x14ac:dyDescent="0.2">
      <c r="B28" s="852" t="s">
        <v>989</v>
      </c>
      <c r="C28" s="852"/>
      <c r="D28" s="852"/>
      <c r="E28" s="852"/>
      <c r="F28" s="852"/>
      <c r="G28" s="852"/>
      <c r="H28" s="852"/>
      <c r="I28" s="852"/>
    </row>
    <row r="29" spans="1:14" ht="18" customHeight="1" x14ac:dyDescent="0.2">
      <c r="A29" s="745"/>
    </row>
    <row r="30" spans="1:14" ht="18" customHeight="1" x14ac:dyDescent="0.2">
      <c r="A30" s="745"/>
      <c r="E30" s="747"/>
    </row>
    <row r="31" spans="1:14" ht="18" customHeight="1" x14ac:dyDescent="0.2">
      <c r="A31" s="745"/>
      <c r="E31" s="747"/>
      <c r="M31" s="741"/>
    </row>
    <row r="32" spans="1:14" ht="18" customHeight="1" x14ac:dyDescent="0.2">
      <c r="A32" s="745"/>
      <c r="B32" s="751"/>
      <c r="C32" s="751"/>
      <c r="D32" s="745"/>
      <c r="E32" s="745"/>
      <c r="M32" s="741"/>
    </row>
    <row r="33" spans="2:13" ht="18" customHeight="1" x14ac:dyDescent="0.2">
      <c r="B33" s="751"/>
      <c r="C33" s="751"/>
      <c r="D33" s="745"/>
      <c r="E33" s="745"/>
      <c r="M33" s="741"/>
    </row>
    <row r="34" spans="2:13" ht="18" customHeight="1" x14ac:dyDescent="0.2">
      <c r="B34" s="751"/>
      <c r="C34" s="751"/>
      <c r="D34" s="745"/>
      <c r="E34" s="745"/>
      <c r="M34" s="741"/>
    </row>
    <row r="35" spans="2:13" ht="18" customHeight="1" x14ac:dyDescent="0.2">
      <c r="B35" s="751"/>
      <c r="C35" s="751"/>
      <c r="D35" s="773">
        <f>PedBerAfspr!D40</f>
        <v>0</v>
      </c>
      <c r="E35" s="751" t="s">
        <v>991</v>
      </c>
      <c r="F35" s="741"/>
      <c r="M35" s="741"/>
    </row>
    <row r="36" spans="2:13" ht="18" customHeight="1" x14ac:dyDescent="0.2">
      <c r="E36" s="747"/>
      <c r="M36" s="741"/>
    </row>
    <row r="37" spans="2:13" ht="18" customHeight="1" x14ac:dyDescent="0.2">
      <c r="B37" s="856" t="s">
        <v>716</v>
      </c>
      <c r="C37" s="856"/>
      <c r="D37" s="856"/>
      <c r="E37" s="856"/>
      <c r="F37" s="856"/>
      <c r="G37" s="856"/>
      <c r="H37" s="856"/>
      <c r="I37" s="856"/>
      <c r="M37" s="741"/>
    </row>
    <row r="38" spans="2:13" ht="18" customHeight="1" x14ac:dyDescent="0.2">
      <c r="B38" s="856" t="s">
        <v>745</v>
      </c>
      <c r="C38" s="856" t="str">
        <f>IFERROR(LEFT(Var_Ped_AfsprControles,LEN(Var_Ped_AfsprControles)-3),"")</f>
        <v/>
      </c>
      <c r="D38" s="856"/>
      <c r="E38" s="856"/>
      <c r="F38" s="856"/>
      <c r="G38" s="856"/>
      <c r="H38" s="856"/>
      <c r="I38" s="856"/>
      <c r="M38" s="741"/>
    </row>
    <row r="39" spans="2:13" ht="18" customHeight="1" x14ac:dyDescent="0.2">
      <c r="B39" s="856" t="s">
        <v>751</v>
      </c>
      <c r="C39" s="856" t="str">
        <f>IFERROR(LEFT(Var_Ped_AfsprOnderzoeken,LEN(Var_Ped_AfsprOnderzoeken)-3),"")</f>
        <v/>
      </c>
      <c r="D39" s="856"/>
      <c r="E39" s="856"/>
      <c r="F39" s="856"/>
      <c r="G39" s="856"/>
      <c r="H39" s="856"/>
      <c r="I39" s="856"/>
    </row>
    <row r="40" spans="2:13" ht="18" customHeight="1" x14ac:dyDescent="0.2">
      <c r="B40" s="856" t="s">
        <v>989</v>
      </c>
      <c r="C40" s="856" t="str">
        <f>IFERROR(LEFT(Var_Ped_AfsprInstellingen,LEN(Var_Ped_AfsprInstellingen)-3),"")</f>
        <v/>
      </c>
      <c r="D40" s="856"/>
      <c r="E40" s="856"/>
      <c r="F40" s="856"/>
      <c r="G40" s="856"/>
      <c r="H40" s="856"/>
      <c r="I40" s="856"/>
      <c r="M40" s="741"/>
    </row>
    <row r="41" spans="2:13" ht="18" customHeight="1" x14ac:dyDescent="0.2">
      <c r="B41" s="856" t="s">
        <v>729</v>
      </c>
      <c r="C41" s="856" t="str">
        <f>IFERROR(LEFT(Var_Ped_AfsprOverig,LEN(Var_Ped_AfsprOverig)-3),"")</f>
        <v/>
      </c>
      <c r="D41" s="856"/>
      <c r="E41" s="856"/>
      <c r="F41" s="856"/>
      <c r="G41" s="856"/>
      <c r="H41" s="856"/>
      <c r="I41" s="856"/>
      <c r="M41" s="741"/>
    </row>
    <row r="42" spans="2:13" ht="18" customHeight="1" x14ac:dyDescent="0.2">
      <c r="M42" s="741"/>
    </row>
    <row r="43" spans="2:13" ht="18" customHeight="1" x14ac:dyDescent="0.2">
      <c r="M43" s="741"/>
    </row>
    <row r="44" spans="2:13" ht="18" customHeight="1" x14ac:dyDescent="0.2">
      <c r="M44" s="741"/>
    </row>
    <row r="45" spans="2:13" ht="18" customHeight="1" x14ac:dyDescent="0.2"/>
    <row r="46" spans="2:13" ht="18" customHeight="1" x14ac:dyDescent="0.2"/>
    <row r="47" spans="2:13" ht="18" customHeight="1" x14ac:dyDescent="0.2">
      <c r="M47" s="752"/>
    </row>
    <row r="48" spans="2:13" ht="18" customHeight="1" x14ac:dyDescent="0.2"/>
    <row r="49" ht="18" customHeight="1" x14ac:dyDescent="0.2"/>
    <row r="50" ht="18" customHeight="1" x14ac:dyDescent="0.2"/>
    <row r="51" ht="18" customHeight="1" x14ac:dyDescent="0.2"/>
    <row r="52" ht="18" customHeight="1" x14ac:dyDescent="0.2"/>
    <row r="53" ht="18" customHeight="1" x14ac:dyDescent="0.2"/>
    <row r="54" ht="18" customHeight="1" x14ac:dyDescent="0.2"/>
    <row r="55" ht="18" customHeight="1" x14ac:dyDescent="0.2"/>
    <row r="56" ht="18" customHeight="1" x14ac:dyDescent="0.2"/>
    <row r="57" ht="18" customHeight="1" x14ac:dyDescent="0.2"/>
    <row r="58" ht="18" customHeight="1" x14ac:dyDescent="0.2"/>
    <row r="59" ht="18" customHeight="1" x14ac:dyDescent="0.2"/>
    <row r="60" ht="18" customHeight="1" x14ac:dyDescent="0.2"/>
    <row r="61" ht="18" customHeight="1" x14ac:dyDescent="0.2"/>
    <row r="62" ht="18" customHeight="1" x14ac:dyDescent="0.2"/>
    <row r="63" ht="18" customHeight="1" x14ac:dyDescent="0.2"/>
    <row r="6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</sheetData>
  <mergeCells count="1">
    <mergeCell ref="F18:I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89" r:id="rId4" name="Check Box 33">
              <controlPr defaultSize="0" autoFill="0" autoLine="0" autoPict="0">
                <anchor moveWithCells="1">
                  <from>
                    <xdr:col>5</xdr:col>
                    <xdr:colOff>9525</xdr:colOff>
                    <xdr:row>6</xdr:row>
                    <xdr:rowOff>19050</xdr:rowOff>
                  </from>
                  <to>
                    <xdr:col>5</xdr:col>
                    <xdr:colOff>1381125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5" name="Check Box 45">
              <controlPr defaultSize="0" autoFill="0" autoLine="0" autoPict="0">
                <anchor moveWithCells="1">
                  <from>
                    <xdr:col>5</xdr:col>
                    <xdr:colOff>9525</xdr:colOff>
                    <xdr:row>7</xdr:row>
                    <xdr:rowOff>19050</xdr:rowOff>
                  </from>
                  <to>
                    <xdr:col>5</xdr:col>
                    <xdr:colOff>1381125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6" name="Spinner 57">
              <controlPr defaultSize="0" autoPict="0">
                <anchor moveWithCells="1" sizeWithCells="1">
                  <from>
                    <xdr:col>2</xdr:col>
                    <xdr:colOff>533400</xdr:colOff>
                    <xdr:row>10</xdr:row>
                    <xdr:rowOff>28575</xdr:rowOff>
                  </from>
                  <to>
                    <xdr:col>2</xdr:col>
                    <xdr:colOff>714375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7" name="Check Box 61">
              <controlPr defaultSize="0" autoFill="0" autoLine="0" autoPict="0">
                <anchor moveWithCells="1">
                  <from>
                    <xdr:col>1</xdr:col>
                    <xdr:colOff>9525</xdr:colOff>
                    <xdr:row>24</xdr:row>
                    <xdr:rowOff>19050</xdr:rowOff>
                  </from>
                  <to>
                    <xdr:col>1</xdr:col>
                    <xdr:colOff>1562100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8" name="Check Box 62">
              <controlPr defaultSize="0" autoFill="0" autoLine="0" autoPict="0">
                <anchor moveWithCells="1">
                  <from>
                    <xdr:col>1</xdr:col>
                    <xdr:colOff>9525</xdr:colOff>
                    <xdr:row>25</xdr:row>
                    <xdr:rowOff>28575</xdr:rowOff>
                  </from>
                  <to>
                    <xdr:col>1</xdr:col>
                    <xdr:colOff>1562100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9" name="Check Box 64">
              <controlPr defaultSize="0" autoFill="0" autoLine="0" autoPict="0">
                <anchor moveWithCells="1">
                  <from>
                    <xdr:col>1</xdr:col>
                    <xdr:colOff>9525</xdr:colOff>
                    <xdr:row>28</xdr:row>
                    <xdr:rowOff>19050</xdr:rowOff>
                  </from>
                  <to>
                    <xdr:col>1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10" name="Drop Down 67">
              <controlPr defaultSize="0" autoLine="0" autoPict="0">
                <anchor moveWithCells="1">
                  <from>
                    <xdr:col>2</xdr:col>
                    <xdr:colOff>9525</xdr:colOff>
                    <xdr:row>28</xdr:row>
                    <xdr:rowOff>9525</xdr:rowOff>
                  </from>
                  <to>
                    <xdr:col>2</xdr:col>
                    <xdr:colOff>1028700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11" name="Drop Down 68">
              <controlPr defaultSize="0" autoLine="0" autoPict="0">
                <anchor moveWithCells="1">
                  <from>
                    <xdr:col>3</xdr:col>
                    <xdr:colOff>9525</xdr:colOff>
                    <xdr:row>28</xdr:row>
                    <xdr:rowOff>9525</xdr:rowOff>
                  </from>
                  <to>
                    <xdr:col>3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12" name="Check Box 69">
              <controlPr defaultSize="0" autoFill="0" autoLine="0" autoPict="0">
                <anchor moveWithCells="1">
                  <from>
                    <xdr:col>1</xdr:col>
                    <xdr:colOff>9525</xdr:colOff>
                    <xdr:row>29</xdr:row>
                    <xdr:rowOff>19050</xdr:rowOff>
                  </from>
                  <to>
                    <xdr:col>1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13" name="Drop Down 72">
              <controlPr defaultSize="0" autoLine="0" autoPict="0">
                <anchor moveWithCells="1">
                  <from>
                    <xdr:col>2</xdr:col>
                    <xdr:colOff>9525</xdr:colOff>
                    <xdr:row>29</xdr:row>
                    <xdr:rowOff>9525</xdr:rowOff>
                  </from>
                  <to>
                    <xdr:col>2</xdr:col>
                    <xdr:colOff>1028700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9" r:id="rId14" name="Drop Down 73">
              <controlPr defaultSize="0" autoLine="0" autoPict="0">
                <anchor moveWithCells="1">
                  <from>
                    <xdr:col>3</xdr:col>
                    <xdr:colOff>9525</xdr:colOff>
                    <xdr:row>29</xdr:row>
                    <xdr:rowOff>9525</xdr:rowOff>
                  </from>
                  <to>
                    <xdr:col>3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1" r:id="rId15" name="Check Box 75">
              <controlPr defaultSize="0" autoFill="0" autoLine="0" autoPict="0">
                <anchor moveWithCells="1">
                  <from>
                    <xdr:col>1</xdr:col>
                    <xdr:colOff>9525</xdr:colOff>
                    <xdr:row>7</xdr:row>
                    <xdr:rowOff>19050</xdr:rowOff>
                  </from>
                  <to>
                    <xdr:col>1</xdr:col>
                    <xdr:colOff>1657350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16" name="Check Box 76">
              <controlPr defaultSize="0" autoFill="0" autoLine="0" autoPict="0">
                <anchor moveWithCells="1">
                  <from>
                    <xdr:col>1</xdr:col>
                    <xdr:colOff>9525</xdr:colOff>
                    <xdr:row>8</xdr:row>
                    <xdr:rowOff>19050</xdr:rowOff>
                  </from>
                  <to>
                    <xdr:col>1</xdr:col>
                    <xdr:colOff>1657350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17" name="Check Box 83">
              <controlPr defaultSize="0" autoFill="0" autoLine="0" autoPict="0">
                <anchor moveWithCells="1">
                  <from>
                    <xdr:col>1</xdr:col>
                    <xdr:colOff>9525</xdr:colOff>
                    <xdr:row>23</xdr:row>
                    <xdr:rowOff>19050</xdr:rowOff>
                  </from>
                  <to>
                    <xdr:col>1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2" r:id="rId18" name="Check Box 86">
              <controlPr defaultSize="0" autoFill="0" autoLine="0" autoPict="0">
                <anchor moveWithCells="1">
                  <from>
                    <xdr:col>1</xdr:col>
                    <xdr:colOff>9525</xdr:colOff>
                    <xdr:row>10</xdr:row>
                    <xdr:rowOff>19050</xdr:rowOff>
                  </from>
                  <to>
                    <xdr:col>1</xdr:col>
                    <xdr:colOff>1657350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3" r:id="rId19" name="Check Box 87">
              <controlPr defaultSize="0" autoFill="0" autoLine="0" autoPict="0">
                <anchor moveWithCells="1">
                  <from>
                    <xdr:col>1</xdr:col>
                    <xdr:colOff>9525</xdr:colOff>
                    <xdr:row>14</xdr:row>
                    <xdr:rowOff>19050</xdr:rowOff>
                  </from>
                  <to>
                    <xdr:col>1</xdr:col>
                    <xdr:colOff>1657350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4" r:id="rId20" name="Check Box 88">
              <controlPr defaultSize="0" autoFill="0" autoLine="0" autoPict="0">
                <anchor moveWithCells="1">
                  <from>
                    <xdr:col>1</xdr:col>
                    <xdr:colOff>9525</xdr:colOff>
                    <xdr:row>15</xdr:row>
                    <xdr:rowOff>19050</xdr:rowOff>
                  </from>
                  <to>
                    <xdr:col>1</xdr:col>
                    <xdr:colOff>1657350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21" name="Check Box 89">
              <controlPr defaultSize="0" autoFill="0" autoLine="0" autoPict="0">
                <anchor moveWithCells="1">
                  <from>
                    <xdr:col>1</xdr:col>
                    <xdr:colOff>9525</xdr:colOff>
                    <xdr:row>16</xdr:row>
                    <xdr:rowOff>19050</xdr:rowOff>
                  </from>
                  <to>
                    <xdr:col>1</xdr:col>
                    <xdr:colOff>1657350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8" r:id="rId22" name="Check Box 92">
              <controlPr defaultSize="0" autoFill="0" autoLine="0" autoPict="0">
                <anchor moveWithCells="1">
                  <from>
                    <xdr:col>3</xdr:col>
                    <xdr:colOff>9525</xdr:colOff>
                    <xdr:row>10</xdr:row>
                    <xdr:rowOff>19050</xdr:rowOff>
                  </from>
                  <to>
                    <xdr:col>3</xdr:col>
                    <xdr:colOff>923925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23" name="Check Box 93">
              <controlPr defaultSize="0" autoFill="0" autoLine="0" autoPict="0">
                <anchor moveWithCells="1">
                  <from>
                    <xdr:col>3</xdr:col>
                    <xdr:colOff>9525</xdr:colOff>
                    <xdr:row>11</xdr:row>
                    <xdr:rowOff>19050</xdr:rowOff>
                  </from>
                  <to>
                    <xdr:col>3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24" name="Check Box 94">
              <controlPr defaultSize="0" autoFill="0" autoLine="0" autoPict="0">
                <anchor moveWithCells="1">
                  <from>
                    <xdr:col>3</xdr:col>
                    <xdr:colOff>9525</xdr:colOff>
                    <xdr:row>12</xdr:row>
                    <xdr:rowOff>19050</xdr:rowOff>
                  </from>
                  <to>
                    <xdr:col>3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25" name="Check Box 95">
              <controlPr defaultSize="0" autoFill="0" autoLine="0" autoPict="0">
                <anchor moveWithCells="1">
                  <from>
                    <xdr:col>3</xdr:col>
                    <xdr:colOff>9525</xdr:colOff>
                    <xdr:row>13</xdr:row>
                    <xdr:rowOff>19050</xdr:rowOff>
                  </from>
                  <to>
                    <xdr:col>3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26" name="Check Box 97">
              <controlPr defaultSize="0" autoFill="0" autoLine="0" autoPict="0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27" name="Check Box 109">
              <controlPr defaultSize="0" autoFill="0" autoLine="0" autoPict="0">
                <anchor moveWithCells="1">
                  <from>
                    <xdr:col>1</xdr:col>
                    <xdr:colOff>9525</xdr:colOff>
                    <xdr:row>9</xdr:row>
                    <xdr:rowOff>19050</xdr:rowOff>
                  </from>
                  <to>
                    <xdr:col>1</xdr:col>
                    <xdr:colOff>1657350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28" name="Spinner 113">
              <controlPr defaultSize="0" autoPict="0">
                <anchor moveWithCells="1" sizeWithCells="1">
                  <from>
                    <xdr:col>2</xdr:col>
                    <xdr:colOff>533400</xdr:colOff>
                    <xdr:row>7</xdr:row>
                    <xdr:rowOff>28575</xdr:rowOff>
                  </from>
                  <to>
                    <xdr:col>2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29" name="Spinner 114">
              <controlPr defaultSize="0" autoPict="0">
                <anchor moveWithCells="1" sizeWithCells="1">
                  <from>
                    <xdr:col>2</xdr:col>
                    <xdr:colOff>533400</xdr:colOff>
                    <xdr:row>8</xdr:row>
                    <xdr:rowOff>28575</xdr:rowOff>
                  </from>
                  <to>
                    <xdr:col>2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30" name="Spinner 115">
              <controlPr defaultSize="0" autoPict="0">
                <anchor moveWithCells="1" sizeWithCells="1">
                  <from>
                    <xdr:col>2</xdr:col>
                    <xdr:colOff>533400</xdr:colOff>
                    <xdr:row>9</xdr:row>
                    <xdr:rowOff>28575</xdr:rowOff>
                  </from>
                  <to>
                    <xdr:col>2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31" name="Drop Down 117">
              <controlPr defaultSize="0" autoLine="0" autoPict="0">
                <anchor moveWithCells="1">
                  <from>
                    <xdr:col>3</xdr:col>
                    <xdr:colOff>9525</xdr:colOff>
                    <xdr:row>7</xdr:row>
                    <xdr:rowOff>9525</xdr:rowOff>
                  </from>
                  <to>
                    <xdr:col>3</xdr:col>
                    <xdr:colOff>923925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32" name="Drop Down 118">
              <controlPr defaultSize="0" autoLine="0" autoPict="0">
                <anchor moveWithCells="1">
                  <from>
                    <xdr:col>3</xdr:col>
                    <xdr:colOff>9525</xdr:colOff>
                    <xdr:row>8</xdr:row>
                    <xdr:rowOff>9525</xdr:rowOff>
                  </from>
                  <to>
                    <xdr:col>3</xdr:col>
                    <xdr:colOff>923925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5" r:id="rId33" name="Drop Down 119">
              <controlPr defaultSize="0" autoLine="0" autoPict="0">
                <anchor moveWithCells="1">
                  <from>
                    <xdr:col>3</xdr:col>
                    <xdr:colOff>9525</xdr:colOff>
                    <xdr:row>9</xdr:row>
                    <xdr:rowOff>9525</xdr:rowOff>
                  </from>
                  <to>
                    <xdr:col>3</xdr:col>
                    <xdr:colOff>923925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34" name="Spinner 121">
              <controlPr defaultSize="0" autoPict="0">
                <anchor moveWithCells="1" sizeWithCells="1">
                  <from>
                    <xdr:col>2</xdr:col>
                    <xdr:colOff>533400</xdr:colOff>
                    <xdr:row>8</xdr:row>
                    <xdr:rowOff>28575</xdr:rowOff>
                  </from>
                  <to>
                    <xdr:col>2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35" name="Spinner 122">
              <controlPr defaultSize="0" autoPict="0">
                <anchor moveWithCells="1" sizeWithCells="1">
                  <from>
                    <xdr:col>2</xdr:col>
                    <xdr:colOff>533400</xdr:colOff>
                    <xdr:row>9</xdr:row>
                    <xdr:rowOff>28575</xdr:rowOff>
                  </from>
                  <to>
                    <xdr:col>2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36" name="Drop Down 126">
              <controlPr defaultSize="0" autoLine="0" autoPict="0">
                <anchor moveWithCells="1">
                  <from>
                    <xdr:col>4</xdr:col>
                    <xdr:colOff>9525</xdr:colOff>
                    <xdr:row>28</xdr:row>
                    <xdr:rowOff>9525</xdr:rowOff>
                  </from>
                  <to>
                    <xdr:col>4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37" name="Drop Down 127">
              <controlPr defaultSize="0" autoLine="0" autoPict="0">
                <anchor moveWithCells="1">
                  <from>
                    <xdr:col>4</xdr:col>
                    <xdr:colOff>9525</xdr:colOff>
                    <xdr:row>29</xdr:row>
                    <xdr:rowOff>9525</xdr:rowOff>
                  </from>
                  <to>
                    <xdr:col>4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38" name="Check Box 128">
              <controlPr defaultSize="0" autoFill="0" autoLine="0" autoPict="0">
                <anchor moveWithCells="1">
                  <from>
                    <xdr:col>1</xdr:col>
                    <xdr:colOff>9525</xdr:colOff>
                    <xdr:row>30</xdr:row>
                    <xdr:rowOff>19050</xdr:rowOff>
                  </from>
                  <to>
                    <xdr:col>1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39" name="Drop Down 129">
              <controlPr defaultSize="0" autoLine="0" autoPict="0">
                <anchor moveWithCells="1">
                  <from>
                    <xdr:col>2</xdr:col>
                    <xdr:colOff>9525</xdr:colOff>
                    <xdr:row>30</xdr:row>
                    <xdr:rowOff>9525</xdr:rowOff>
                  </from>
                  <to>
                    <xdr:col>2</xdr:col>
                    <xdr:colOff>1028700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40" name="Drop Down 130">
              <controlPr defaultSize="0" autoLine="0" autoPict="0">
                <anchor moveWithCells="1">
                  <from>
                    <xdr:col>3</xdr:col>
                    <xdr:colOff>9525</xdr:colOff>
                    <xdr:row>30</xdr:row>
                    <xdr:rowOff>9525</xdr:rowOff>
                  </from>
                  <to>
                    <xdr:col>3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41" name="Drop Down 131">
              <controlPr defaultSize="0" autoLine="0" autoPict="0">
                <anchor moveWithCells="1">
                  <from>
                    <xdr:col>4</xdr:col>
                    <xdr:colOff>9525</xdr:colOff>
                    <xdr:row>30</xdr:row>
                    <xdr:rowOff>9525</xdr:rowOff>
                  </from>
                  <to>
                    <xdr:col>4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42" name="Check Box 141">
              <controlPr defaultSize="0" autoFill="0" autoLine="0" autoPict="0">
                <anchor moveWithCells="1">
                  <from>
                    <xdr:col>1</xdr:col>
                    <xdr:colOff>9525</xdr:colOff>
                    <xdr:row>31</xdr:row>
                    <xdr:rowOff>19050</xdr:rowOff>
                  </from>
                  <to>
                    <xdr:col>1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43" name="Check Box 142">
              <controlPr defaultSize="0" autoFill="0" autoLine="0" autoPict="0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1228725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44" name="Check Box 143">
              <controlPr defaultSize="0" autoFill="0" autoLine="0" autoPict="0">
                <anchor moveWithCells="1">
                  <from>
                    <xdr:col>1</xdr:col>
                    <xdr:colOff>9525</xdr:colOff>
                    <xdr:row>32</xdr:row>
                    <xdr:rowOff>19050</xdr:rowOff>
                  </from>
                  <to>
                    <xdr:col>1</xdr:col>
                    <xdr:colOff>1228725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45" name="Check Box 144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1019175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46" name="Check Box 145">
              <controlPr defaultSize="0" autoFill="0" autoLine="0" autoPict="0">
                <anchor moveWithCells="1">
                  <from>
                    <xdr:col>2</xdr:col>
                    <xdr:colOff>9525</xdr:colOff>
                    <xdr:row>32</xdr:row>
                    <xdr:rowOff>19050</xdr:rowOff>
                  </from>
                  <to>
                    <xdr:col>2</xdr:col>
                    <xdr:colOff>1019175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47" name="Check Box 146">
              <controlPr defaultSize="0" autoFill="0" autoLine="0" autoPict="0">
                <anchor moveWithCells="1">
                  <from>
                    <xdr:col>2</xdr:col>
                    <xdr:colOff>9525</xdr:colOff>
                    <xdr:row>33</xdr:row>
                    <xdr:rowOff>19050</xdr:rowOff>
                  </from>
                  <to>
                    <xdr:col>2</xdr:col>
                    <xdr:colOff>1019175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48" name="Drop Down 147">
              <controlPr defaultSize="0" autoLine="0" autoPict="0">
                <anchor moveWithCells="1">
                  <from>
                    <xdr:col>2</xdr:col>
                    <xdr:colOff>9525</xdr:colOff>
                    <xdr:row>34</xdr:row>
                    <xdr:rowOff>9525</xdr:rowOff>
                  </from>
                  <to>
                    <xdr:col>2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49" name="Spinner 148">
              <controlPr defaultSize="0" autoPict="0">
                <anchor moveWithCells="1" sizeWithCells="1">
                  <from>
                    <xdr:col>3</xdr:col>
                    <xdr:colOff>533400</xdr:colOff>
                    <xdr:row>34</xdr:row>
                    <xdr:rowOff>28575</xdr:rowOff>
                  </from>
                  <to>
                    <xdr:col>3</xdr:col>
                    <xdr:colOff>714375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50" name="Check Box 149">
              <controlPr defaultSize="0" autoFill="0" autoLine="0" autoPict="0">
                <anchor moveWithCells="1">
                  <from>
                    <xdr:col>1</xdr:col>
                    <xdr:colOff>9525</xdr:colOff>
                    <xdr:row>34</xdr:row>
                    <xdr:rowOff>19050</xdr:rowOff>
                  </from>
                  <to>
                    <xdr:col>1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7" r:id="rId51" name="Check Box 151">
              <controlPr defaultSize="0" autoFill="0" autoLine="0" autoPict="0">
                <anchor moveWithCells="1">
                  <from>
                    <xdr:col>5</xdr:col>
                    <xdr:colOff>9525</xdr:colOff>
                    <xdr:row>10</xdr:row>
                    <xdr:rowOff>19050</xdr:rowOff>
                  </from>
                  <to>
                    <xdr:col>5</xdr:col>
                    <xdr:colOff>1381125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8" r:id="rId52" name="Check Box 152">
              <controlPr defaultSize="0" autoFill="0" autoLine="0" autoPict="0">
                <anchor moveWithCells="1">
                  <from>
                    <xdr:col>5</xdr:col>
                    <xdr:colOff>9525</xdr:colOff>
                    <xdr:row>11</xdr:row>
                    <xdr:rowOff>19050</xdr:rowOff>
                  </from>
                  <to>
                    <xdr:col>5</xdr:col>
                    <xdr:colOff>1381125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53" name="Check Box 154">
              <controlPr defaultSize="0" autoFill="0" autoLine="0" autoPict="0">
                <anchor moveWithCells="1">
                  <from>
                    <xdr:col>5</xdr:col>
                    <xdr:colOff>9525</xdr:colOff>
                    <xdr:row>12</xdr:row>
                    <xdr:rowOff>19050</xdr:rowOff>
                  </from>
                  <to>
                    <xdr:col>5</xdr:col>
                    <xdr:colOff>1381125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3" r:id="rId54" name="Check Box 157">
              <controlPr defaultSize="0" autoFill="0" autoLine="0" autoPict="0">
                <anchor moveWithCells="1">
                  <from>
                    <xdr:col>5</xdr:col>
                    <xdr:colOff>9525</xdr:colOff>
                    <xdr:row>13</xdr:row>
                    <xdr:rowOff>19050</xdr:rowOff>
                  </from>
                  <to>
                    <xdr:col>5</xdr:col>
                    <xdr:colOff>1381125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55" name="Check Box 158">
              <controlPr defaultSize="0" autoFill="0" autoLine="0" autoPict="0">
                <anchor moveWithCells="1">
                  <from>
                    <xdr:col>5</xdr:col>
                    <xdr:colOff>9525</xdr:colOff>
                    <xdr:row>14</xdr:row>
                    <xdr:rowOff>19050</xdr:rowOff>
                  </from>
                  <to>
                    <xdr:col>5</xdr:col>
                    <xdr:colOff>1381125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56" name="Check Box 159">
              <controlPr defaultSize="0" autoFill="0" autoLine="0" autoPict="0">
                <anchor moveWithCells="1">
                  <from>
                    <xdr:col>5</xdr:col>
                    <xdr:colOff>9525</xdr:colOff>
                    <xdr:row>15</xdr:row>
                    <xdr:rowOff>19050</xdr:rowOff>
                  </from>
                  <to>
                    <xdr:col>5</xdr:col>
                    <xdr:colOff>1381125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57" name="Check Box 162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3</xdr:col>
                    <xdr:colOff>142875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58" name="Check Box 163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3</xdr:col>
                    <xdr:colOff>142875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59" name="Spinner 164">
              <controlPr defaultSize="0" autoPict="0">
                <anchor moveWithCells="1" sizeWithCells="1">
                  <from>
                    <xdr:col>2</xdr:col>
                    <xdr:colOff>533400</xdr:colOff>
                    <xdr:row>8</xdr:row>
                    <xdr:rowOff>28575</xdr:rowOff>
                  </from>
                  <to>
                    <xdr:col>2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60" name="Spinner 165">
              <controlPr defaultSize="0" autoPict="0">
                <anchor moveWithCells="1" sizeWithCells="1">
                  <from>
                    <xdr:col>2</xdr:col>
                    <xdr:colOff>533400</xdr:colOff>
                    <xdr:row>9</xdr:row>
                    <xdr:rowOff>28575</xdr:rowOff>
                  </from>
                  <to>
                    <xdr:col>2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3" r:id="rId61" name="Check Box 167">
              <controlPr defaultSize="0" autoFill="0" autoLine="0" autoPict="0">
                <anchor moveWithCells="1">
                  <from>
                    <xdr:col>5</xdr:col>
                    <xdr:colOff>9525</xdr:colOff>
                    <xdr:row>8</xdr:row>
                    <xdr:rowOff>19050</xdr:rowOff>
                  </from>
                  <to>
                    <xdr:col>5</xdr:col>
                    <xdr:colOff>1381125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4" r:id="rId62" name="Spinner 168">
              <controlPr defaultSize="0" autoPict="0">
                <anchor moveWithCells="1" sizeWithCells="1">
                  <from>
                    <xdr:col>6</xdr:col>
                    <xdr:colOff>628650</xdr:colOff>
                    <xdr:row>8</xdr:row>
                    <xdr:rowOff>28575</xdr:rowOff>
                  </from>
                  <to>
                    <xdr:col>6</xdr:col>
                    <xdr:colOff>809625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63" name="Spinner 169">
              <controlPr defaultSize="0" autoPict="0">
                <anchor moveWithCells="1" sizeWithCells="1">
                  <from>
                    <xdr:col>6</xdr:col>
                    <xdr:colOff>628650</xdr:colOff>
                    <xdr:row>9</xdr:row>
                    <xdr:rowOff>28575</xdr:rowOff>
                  </from>
                  <to>
                    <xdr:col>6</xdr:col>
                    <xdr:colOff>809625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64" name="Check Box 170">
              <controlPr defaultSize="0" autoFill="0" autoLine="0" autoPict="0">
                <anchor moveWithCells="1">
                  <from>
                    <xdr:col>5</xdr:col>
                    <xdr:colOff>9525</xdr:colOff>
                    <xdr:row>9</xdr:row>
                    <xdr:rowOff>19050</xdr:rowOff>
                  </from>
                  <to>
                    <xdr:col>5</xdr:col>
                    <xdr:colOff>1381125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65" name="Check Box 171">
              <controlPr defaultSize="0" autoFill="0" autoLine="0" autoPict="0">
                <anchor moveWithCells="1">
                  <from>
                    <xdr:col>1</xdr:col>
                    <xdr:colOff>9525</xdr:colOff>
                    <xdr:row>17</xdr:row>
                    <xdr:rowOff>19050</xdr:rowOff>
                  </from>
                  <to>
                    <xdr:col>1</xdr:col>
                    <xdr:colOff>1657350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66" name="Check Box 172">
              <controlPr defaultSize="0" autoFill="0" autoLine="0" autoPict="0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1657350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67" name="Check Box 173">
              <controlPr defaultSize="0" autoFill="0" autoLine="0" autoPict="0">
                <anchor moveWithCells="1">
                  <from>
                    <xdr:col>1</xdr:col>
                    <xdr:colOff>9525</xdr:colOff>
                    <xdr:row>19</xdr:row>
                    <xdr:rowOff>19050</xdr:rowOff>
                  </from>
                  <to>
                    <xdr:col>1</xdr:col>
                    <xdr:colOff>1657350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68" name="Spinner 174">
              <controlPr defaultSize="0" autoPict="0">
                <anchor moveWithCells="1" sizeWithCells="1">
                  <from>
                    <xdr:col>2</xdr:col>
                    <xdr:colOff>533400</xdr:colOff>
                    <xdr:row>17</xdr:row>
                    <xdr:rowOff>28575</xdr:rowOff>
                  </from>
                  <to>
                    <xdr:col>2</xdr:col>
                    <xdr:colOff>714375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69" name="Spinner 175">
              <controlPr defaultSize="0" autoPict="0">
                <anchor moveWithCells="1" sizeWithCells="1">
                  <from>
                    <xdr:col>2</xdr:col>
                    <xdr:colOff>533400</xdr:colOff>
                    <xdr:row>18</xdr:row>
                    <xdr:rowOff>28575</xdr:rowOff>
                  </from>
                  <to>
                    <xdr:col>2</xdr:col>
                    <xdr:colOff>714375</xdr:colOff>
                    <xdr:row>18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Afspr">
    <tabColor rgb="FF92D050"/>
  </sheetPr>
  <dimension ref="A1:H95"/>
  <sheetViews>
    <sheetView topLeftCell="A7" zoomScaleNormal="100" workbookViewId="0">
      <selection activeCell="C43" activeCellId="25" sqref="D7 D8 D9 D10 B12 D27 D28 D29 D30 D31 D32 D33 D34 D35 D39 D40 F17 C7 C8 C9 C10 G16 G18 H18 C42 C43"/>
    </sheetView>
  </sheetViews>
  <sheetFormatPr defaultColWidth="9.140625" defaultRowHeight="12.75" x14ac:dyDescent="0.2"/>
  <cols>
    <col min="1" max="1" width="34.7109375" style="348" bestFit="1" customWidth="1"/>
    <col min="2" max="2" width="9.140625" style="348"/>
    <col min="3" max="3" width="14" style="348" customWidth="1"/>
    <col min="4" max="4" width="9.140625" style="349"/>
    <col min="5" max="5" width="28" style="354" bestFit="1" customWidth="1"/>
    <col min="6" max="6" width="9.140625" style="348"/>
    <col min="7" max="7" width="13.5703125" style="348" customWidth="1"/>
    <col min="8" max="16384" width="9.140625" style="348"/>
  </cols>
  <sheetData>
    <row r="1" spans="1:8" x14ac:dyDescent="0.2">
      <c r="A1" s="358"/>
    </row>
    <row r="6" spans="1:8" x14ac:dyDescent="0.2">
      <c r="A6" s="372" t="s">
        <v>745</v>
      </c>
      <c r="E6" s="350" t="s">
        <v>729</v>
      </c>
    </row>
    <row r="7" spans="1:8" x14ac:dyDescent="0.2">
      <c r="A7" s="351" t="s">
        <v>274</v>
      </c>
      <c r="B7" s="358" t="b">
        <v>0</v>
      </c>
      <c r="C7" s="358">
        <v>0</v>
      </c>
      <c r="D7" s="359">
        <v>0</v>
      </c>
      <c r="E7" s="352" t="s">
        <v>715</v>
      </c>
      <c r="F7" s="358" t="b">
        <v>0</v>
      </c>
    </row>
    <row r="8" spans="1:8" x14ac:dyDescent="0.2">
      <c r="A8" s="351" t="s">
        <v>130</v>
      </c>
      <c r="B8" s="358" t="b">
        <v>0</v>
      </c>
      <c r="C8" s="358">
        <v>0</v>
      </c>
      <c r="D8" s="359">
        <v>0</v>
      </c>
      <c r="E8" s="352" t="s">
        <v>725</v>
      </c>
      <c r="F8" s="358" t="b">
        <v>0</v>
      </c>
    </row>
    <row r="9" spans="1:8" x14ac:dyDescent="0.2">
      <c r="A9" s="348" t="s">
        <v>923</v>
      </c>
      <c r="B9" s="358" t="b">
        <v>0</v>
      </c>
      <c r="C9" s="358">
        <v>0</v>
      </c>
      <c r="D9" s="359">
        <v>1</v>
      </c>
      <c r="E9" s="352" t="s">
        <v>998</v>
      </c>
      <c r="F9" s="358" t="b">
        <v>0</v>
      </c>
    </row>
    <row r="10" spans="1:8" x14ac:dyDescent="0.2">
      <c r="A10" s="348" t="s">
        <v>977</v>
      </c>
      <c r="B10" s="358" t="b">
        <v>0</v>
      </c>
      <c r="C10" s="358"/>
      <c r="D10" s="359"/>
      <c r="E10" s="352" t="s">
        <v>999</v>
      </c>
      <c r="F10" s="358" t="b">
        <v>0</v>
      </c>
    </row>
    <row r="11" spans="1:8" x14ac:dyDescent="0.2">
      <c r="A11" s="351" t="s">
        <v>803</v>
      </c>
      <c r="B11" s="358" t="b">
        <v>0</v>
      </c>
      <c r="C11" s="351" t="s">
        <v>747</v>
      </c>
      <c r="D11" s="359" t="b">
        <v>0</v>
      </c>
      <c r="E11" s="352" t="s">
        <v>1000</v>
      </c>
      <c r="F11" s="358" t="b">
        <v>0</v>
      </c>
    </row>
    <row r="12" spans="1:8" x14ac:dyDescent="0.2">
      <c r="A12" s="351" t="s">
        <v>805</v>
      </c>
      <c r="B12" s="382">
        <v>0</v>
      </c>
      <c r="C12" s="353" t="s">
        <v>748</v>
      </c>
      <c r="D12" s="359" t="b">
        <v>0</v>
      </c>
      <c r="E12" s="352" t="s">
        <v>723</v>
      </c>
      <c r="F12" s="358" t="b">
        <v>0</v>
      </c>
    </row>
    <row r="13" spans="1:8" x14ac:dyDescent="0.2">
      <c r="B13" s="358"/>
      <c r="C13" s="351" t="s">
        <v>749</v>
      </c>
      <c r="D13" s="359" t="b">
        <v>0</v>
      </c>
      <c r="E13" s="354" t="s">
        <v>1001</v>
      </c>
      <c r="F13" s="358" t="b">
        <v>0</v>
      </c>
    </row>
    <row r="14" spans="1:8" x14ac:dyDescent="0.2">
      <c r="B14" s="358"/>
      <c r="C14" s="351" t="s">
        <v>750</v>
      </c>
      <c r="D14" s="359" t="b">
        <v>0</v>
      </c>
      <c r="E14" s="354" t="s">
        <v>1002</v>
      </c>
      <c r="F14" s="358" t="b">
        <v>0</v>
      </c>
    </row>
    <row r="15" spans="1:8" x14ac:dyDescent="0.2">
      <c r="A15" s="351" t="s">
        <v>804</v>
      </c>
      <c r="B15" s="358" t="b">
        <v>0</v>
      </c>
      <c r="D15" s="359"/>
      <c r="E15" s="354" t="s">
        <v>1003</v>
      </c>
      <c r="F15" s="358" t="b">
        <v>0</v>
      </c>
    </row>
    <row r="16" spans="1:8" x14ac:dyDescent="0.2">
      <c r="A16" s="348" t="s">
        <v>671</v>
      </c>
      <c r="B16" s="358" t="b">
        <v>0</v>
      </c>
      <c r="D16" s="359"/>
      <c r="E16" s="352" t="s">
        <v>1012</v>
      </c>
      <c r="F16" s="358" t="b">
        <v>0</v>
      </c>
      <c r="G16" s="358">
        <v>0</v>
      </c>
      <c r="H16" s="351"/>
    </row>
    <row r="17" spans="1:8" x14ac:dyDescent="0.2">
      <c r="A17" s="351" t="s">
        <v>670</v>
      </c>
      <c r="B17" s="358" t="b">
        <v>0</v>
      </c>
      <c r="D17" s="359"/>
      <c r="E17" s="352" t="s">
        <v>729</v>
      </c>
      <c r="F17" s="358"/>
    </row>
    <row r="18" spans="1:8" x14ac:dyDescent="0.2">
      <c r="E18" s="352" t="s">
        <v>909</v>
      </c>
      <c r="F18" s="358" t="b">
        <v>0</v>
      </c>
      <c r="G18" s="358">
        <v>0</v>
      </c>
      <c r="H18" s="358"/>
    </row>
    <row r="19" spans="1:8" x14ac:dyDescent="0.2">
      <c r="A19" s="347" t="s">
        <v>751</v>
      </c>
      <c r="B19" s="358"/>
      <c r="E19" s="352"/>
    </row>
    <row r="20" spans="1:8" x14ac:dyDescent="0.2">
      <c r="A20" s="351" t="s">
        <v>975</v>
      </c>
      <c r="B20" s="358" t="b">
        <v>0</v>
      </c>
      <c r="D20" s="359"/>
      <c r="E20" s="352"/>
    </row>
    <row r="21" spans="1:8" x14ac:dyDescent="0.2">
      <c r="A21" s="351" t="s">
        <v>33</v>
      </c>
      <c r="B21" s="358" t="b">
        <v>0</v>
      </c>
      <c r="D21" s="359"/>
    </row>
    <row r="22" spans="1:8" x14ac:dyDescent="0.2">
      <c r="A22" s="351" t="s">
        <v>806</v>
      </c>
      <c r="B22" s="358" t="b">
        <v>0</v>
      </c>
      <c r="D22" s="359"/>
    </row>
    <row r="23" spans="1:8" x14ac:dyDescent="0.2">
      <c r="A23" s="351" t="s">
        <v>807</v>
      </c>
      <c r="B23" s="358" t="b">
        <v>0</v>
      </c>
      <c r="D23" s="359"/>
    </row>
    <row r="24" spans="1:8" x14ac:dyDescent="0.2">
      <c r="A24" s="348" t="s">
        <v>1004</v>
      </c>
      <c r="B24" s="358" t="b">
        <v>0</v>
      </c>
      <c r="D24" s="359"/>
    </row>
    <row r="25" spans="1:8" x14ac:dyDescent="0.2">
      <c r="A25" s="348" t="s">
        <v>1005</v>
      </c>
      <c r="B25" s="358" t="b">
        <v>0</v>
      </c>
      <c r="D25" s="359"/>
    </row>
    <row r="26" spans="1:8" x14ac:dyDescent="0.2">
      <c r="A26" s="347" t="s">
        <v>989</v>
      </c>
      <c r="B26" s="358"/>
      <c r="D26" s="359"/>
    </row>
    <row r="27" spans="1:8" x14ac:dyDescent="0.2">
      <c r="A27" s="351" t="s">
        <v>808</v>
      </c>
      <c r="B27" s="358" t="b">
        <v>0</v>
      </c>
      <c r="C27" s="348" t="str">
        <f t="shared" ref="C27:C35" si="0">IF(OR(D27=0,D27=1,D27=""),"",INDEX(tbl_Ped_DrainLokatie,D27,0))</f>
        <v/>
      </c>
      <c r="D27" s="358">
        <v>1</v>
      </c>
    </row>
    <row r="28" spans="1:8" x14ac:dyDescent="0.2">
      <c r="B28" s="358"/>
      <c r="C28" s="348" t="str">
        <f>IF(OR(D28=0,D28=1,D28=""),"",INDEX(tbl_Ped_DrainModus,D28,0))</f>
        <v/>
      </c>
      <c r="D28" s="358">
        <v>1</v>
      </c>
    </row>
    <row r="29" spans="1:8" x14ac:dyDescent="0.2">
      <c r="B29" s="358"/>
      <c r="C29" s="348" t="str">
        <f>IF(OR(D29=0,D29=1,D29=""),"",INDEX(tbl_Ped_DrainZuig,D29,0))</f>
        <v/>
      </c>
      <c r="D29" s="358">
        <v>1</v>
      </c>
    </row>
    <row r="30" spans="1:8" x14ac:dyDescent="0.2">
      <c r="A30" s="351" t="s">
        <v>906</v>
      </c>
      <c r="B30" s="358" t="b">
        <v>0</v>
      </c>
      <c r="C30" s="348" t="str">
        <f t="shared" si="0"/>
        <v/>
      </c>
      <c r="D30" s="358">
        <v>1</v>
      </c>
    </row>
    <row r="31" spans="1:8" x14ac:dyDescent="0.2">
      <c r="B31" s="358"/>
      <c r="C31" s="348" t="str">
        <f>IF(OR(D31=0,D31=1,D31=""),"",INDEX(tbl_Ped_DrainModus,D31,0))</f>
        <v/>
      </c>
      <c r="D31" s="358">
        <v>1</v>
      </c>
    </row>
    <row r="32" spans="1:8" x14ac:dyDescent="0.2">
      <c r="B32" s="358"/>
      <c r="C32" s="348" t="str">
        <f>IF(OR(D32=0,D32=1,D32=""),"",INDEX(tbl_Ped_DrainZuig,D32,0))</f>
        <v/>
      </c>
      <c r="D32" s="358">
        <v>1</v>
      </c>
    </row>
    <row r="33" spans="1:5" x14ac:dyDescent="0.2">
      <c r="A33" s="351" t="s">
        <v>992</v>
      </c>
      <c r="B33" s="358" t="b">
        <v>0</v>
      </c>
      <c r="C33" s="348" t="str">
        <f t="shared" si="0"/>
        <v/>
      </c>
      <c r="D33" s="358">
        <v>1</v>
      </c>
    </row>
    <row r="34" spans="1:5" x14ac:dyDescent="0.2">
      <c r="B34" s="358"/>
      <c r="C34" s="348" t="str">
        <f t="shared" si="0"/>
        <v/>
      </c>
      <c r="D34" s="358">
        <v>1</v>
      </c>
    </row>
    <row r="35" spans="1:5" x14ac:dyDescent="0.2">
      <c r="B35" s="358"/>
      <c r="C35" s="348" t="str">
        <f t="shared" si="0"/>
        <v/>
      </c>
      <c r="D35" s="358">
        <v>1</v>
      </c>
    </row>
    <row r="36" spans="1:5" x14ac:dyDescent="0.2">
      <c r="A36" s="345" t="s">
        <v>727</v>
      </c>
      <c r="B36" s="356" t="b">
        <v>0</v>
      </c>
      <c r="C36" s="316" t="s">
        <v>993</v>
      </c>
      <c r="D36" s="357" t="b">
        <v>0</v>
      </c>
      <c r="E36" s="354" t="str">
        <f>IF(B36,CONCATENATE(A36,IF(D36,CONCATENATE(" (",C36,")"),"")," - "),"")</f>
        <v/>
      </c>
    </row>
    <row r="37" spans="1:5" x14ac:dyDescent="0.2">
      <c r="A37" s="316" t="s">
        <v>925</v>
      </c>
      <c r="B37" s="356" t="b">
        <v>0</v>
      </c>
      <c r="C37" s="316" t="s">
        <v>993</v>
      </c>
      <c r="D37" s="356" t="b">
        <v>0</v>
      </c>
      <c r="E37" s="354" t="str">
        <f t="shared" ref="E37:E38" si="1">IF(B37,CONCATENATE(A37,IF(D37,CONCATENATE(" (",C37,")"),"")," - "),"")</f>
        <v/>
      </c>
    </row>
    <row r="38" spans="1:5" x14ac:dyDescent="0.2">
      <c r="A38" s="345" t="s">
        <v>726</v>
      </c>
      <c r="B38" s="356" t="b">
        <v>0</v>
      </c>
      <c r="C38" s="316" t="s">
        <v>993</v>
      </c>
      <c r="D38" s="356" t="b">
        <v>0</v>
      </c>
      <c r="E38" s="354" t="str">
        <f t="shared" si="1"/>
        <v/>
      </c>
    </row>
    <row r="39" spans="1:5" x14ac:dyDescent="0.2">
      <c r="A39" s="316" t="s">
        <v>990</v>
      </c>
      <c r="B39" s="356" t="b">
        <v>0</v>
      </c>
      <c r="C39" s="315" t="str">
        <f>IF(OR(D39=0,D39=1,D39=""),"",INDEX(tbl_Ped_LiquorDrain,D39,0))</f>
        <v/>
      </c>
      <c r="D39" s="357">
        <v>0</v>
      </c>
    </row>
    <row r="40" spans="1:5" x14ac:dyDescent="0.2">
      <c r="A40" s="315"/>
      <c r="B40" s="356"/>
      <c r="C40" s="315" t="s">
        <v>991</v>
      </c>
      <c r="D40" s="357">
        <v>0</v>
      </c>
    </row>
    <row r="42" spans="1:5" x14ac:dyDescent="0.2">
      <c r="A42" s="348" t="s">
        <v>1014</v>
      </c>
      <c r="B42" s="358" t="b">
        <v>0</v>
      </c>
      <c r="C42" s="358">
        <v>0</v>
      </c>
    </row>
    <row r="43" spans="1:5" x14ac:dyDescent="0.2">
      <c r="A43" s="348" t="s">
        <v>1015</v>
      </c>
      <c r="B43" s="358" t="b">
        <v>0</v>
      </c>
      <c r="C43" s="358">
        <v>3</v>
      </c>
    </row>
    <row r="44" spans="1:5" x14ac:dyDescent="0.2">
      <c r="A44" s="348" t="s">
        <v>1016</v>
      </c>
      <c r="B44" s="358" t="b">
        <v>0</v>
      </c>
    </row>
    <row r="46" spans="1:5" x14ac:dyDescent="0.2">
      <c r="A46" s="347" t="s">
        <v>716</v>
      </c>
    </row>
    <row r="47" spans="1:5" x14ac:dyDescent="0.2">
      <c r="A47" s="351" t="s">
        <v>745</v>
      </c>
      <c r="B47" s="348" t="str">
        <f>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f>
        <v/>
      </c>
    </row>
    <row r="48" spans="1:5" x14ac:dyDescent="0.2">
      <c r="A48" s="351" t="s">
        <v>751</v>
      </c>
      <c r="B48" s="348" t="str">
        <f>CONCATENATE(IF(B20,CONCATENATE(A20," - "),""),IF(B21,A21 &amp; " - ",""),IF(B22,A22 &amp; " - ",""),IF(B23,A23 &amp; " - ",""),IF(B24,A24 &amp; " - ",""),IF(B25,A25 &amp; " - ",""),)</f>
        <v/>
      </c>
    </row>
    <row r="49" spans="1:2" x14ac:dyDescent="0.2">
      <c r="A49" s="348" t="s">
        <v>989</v>
      </c>
      <c r="B49" s="348" t="str">
        <f>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f>
        <v/>
      </c>
    </row>
    <row r="50" spans="1:2" x14ac:dyDescent="0.2">
      <c r="A50" s="351" t="s">
        <v>729</v>
      </c>
      <c r="B50" s="348" t="str">
        <f>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f>
        <v xml:space="preserve"> - </v>
      </c>
    </row>
    <row r="56" spans="1:2" x14ac:dyDescent="0.2">
      <c r="A56" s="351"/>
    </row>
    <row r="58" spans="1:2" x14ac:dyDescent="0.2">
      <c r="A58" s="351"/>
    </row>
    <row r="60" spans="1:2" x14ac:dyDescent="0.2">
      <c r="A60" s="351"/>
    </row>
    <row r="61" spans="1:2" x14ac:dyDescent="0.2">
      <c r="A61" s="351"/>
    </row>
    <row r="62" spans="1:2" x14ac:dyDescent="0.2">
      <c r="A62" s="351"/>
    </row>
    <row r="63" spans="1:2" x14ac:dyDescent="0.2">
      <c r="A63" s="351"/>
    </row>
    <row r="64" spans="1:2" x14ac:dyDescent="0.2">
      <c r="A64" s="351"/>
    </row>
    <row r="65" spans="1:1" x14ac:dyDescent="0.2">
      <c r="A65" s="351"/>
    </row>
    <row r="66" spans="1:1" x14ac:dyDescent="0.2">
      <c r="A66" s="351"/>
    </row>
    <row r="67" spans="1:1" x14ac:dyDescent="0.2">
      <c r="A67" s="351"/>
    </row>
    <row r="68" spans="1:1" x14ac:dyDescent="0.2">
      <c r="A68" s="351"/>
    </row>
    <row r="69" spans="1:1" x14ac:dyDescent="0.2">
      <c r="A69" s="351"/>
    </row>
    <row r="70" spans="1:1" x14ac:dyDescent="0.2">
      <c r="A70" s="351"/>
    </row>
    <row r="71" spans="1:1" x14ac:dyDescent="0.2">
      <c r="A71" s="351"/>
    </row>
    <row r="73" spans="1:1" x14ac:dyDescent="0.2">
      <c r="A73" s="351"/>
    </row>
    <row r="74" spans="1:1" x14ac:dyDescent="0.2">
      <c r="A74" s="351"/>
    </row>
    <row r="75" spans="1:1" x14ac:dyDescent="0.2">
      <c r="A75" s="351"/>
    </row>
    <row r="76" spans="1:1" x14ac:dyDescent="0.2">
      <c r="A76" s="351"/>
    </row>
    <row r="77" spans="1:1" x14ac:dyDescent="0.2">
      <c r="A77" s="351"/>
    </row>
    <row r="78" spans="1:1" x14ac:dyDescent="0.2">
      <c r="A78" s="351"/>
    </row>
    <row r="79" spans="1:1" x14ac:dyDescent="0.2">
      <c r="A79" s="351"/>
    </row>
    <row r="80" spans="1:1" x14ac:dyDescent="0.2">
      <c r="A80" s="351"/>
    </row>
    <row r="81" spans="1:1" x14ac:dyDescent="0.2">
      <c r="A81" s="351"/>
    </row>
    <row r="82" spans="1:1" x14ac:dyDescent="0.2">
      <c r="A82" s="351"/>
    </row>
    <row r="83" spans="1:1" x14ac:dyDescent="0.2">
      <c r="A83" s="351"/>
    </row>
    <row r="84" spans="1:1" x14ac:dyDescent="0.2">
      <c r="A84" s="351"/>
    </row>
    <row r="85" spans="1:1" x14ac:dyDescent="0.2">
      <c r="A85" s="351"/>
    </row>
    <row r="86" spans="1:1" x14ac:dyDescent="0.2">
      <c r="A86" s="351"/>
    </row>
    <row r="87" spans="1:1" x14ac:dyDescent="0.2">
      <c r="A87" s="351"/>
    </row>
    <row r="88" spans="1:1" x14ac:dyDescent="0.2">
      <c r="A88" s="351"/>
    </row>
    <row r="89" spans="1:1" x14ac:dyDescent="0.2">
      <c r="A89" s="351"/>
    </row>
    <row r="90" spans="1:1" x14ac:dyDescent="0.2">
      <c r="A90" s="351"/>
    </row>
    <row r="91" spans="1:1" x14ac:dyDescent="0.2">
      <c r="A91" s="351"/>
    </row>
    <row r="92" spans="1:1" x14ac:dyDescent="0.2">
      <c r="A92" s="351"/>
    </row>
    <row r="93" spans="1:1" x14ac:dyDescent="0.2">
      <c r="A93" s="351"/>
    </row>
    <row r="94" spans="1:1" x14ac:dyDescent="0.2">
      <c r="A94" s="351"/>
    </row>
    <row r="95" spans="1:1" x14ac:dyDescent="0.2">
      <c r="A95" s="351"/>
    </row>
  </sheetData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Afspr">
    <tabColor rgb="FFFFC000"/>
  </sheetPr>
  <dimension ref="A1:P98"/>
  <sheetViews>
    <sheetView workbookViewId="0"/>
  </sheetViews>
  <sheetFormatPr defaultRowHeight="12.75" x14ac:dyDescent="0.2"/>
  <cols>
    <col min="1" max="1" width="11.5703125" bestFit="1" customWidth="1"/>
    <col min="2" max="3" width="18.28515625" bestFit="1" customWidth="1"/>
    <col min="4" max="4" width="18.28515625" style="315" customWidth="1"/>
    <col min="5" max="5" width="11" bestFit="1" customWidth="1"/>
    <col min="6" max="6" width="12.140625" bestFit="1" customWidth="1"/>
    <col min="8" max="8" width="9.140625" style="130"/>
    <col min="9" max="9" width="19.28515625" bestFit="1" customWidth="1"/>
    <col min="10" max="10" width="17.7109375" bestFit="1" customWidth="1"/>
  </cols>
  <sheetData>
    <row r="1" spans="1:16" s="315" customFormat="1" x14ac:dyDescent="0.2">
      <c r="A1" s="366" t="s">
        <v>684</v>
      </c>
      <c r="B1" s="1" t="s">
        <v>719</v>
      </c>
      <c r="C1" s="1" t="s">
        <v>720</v>
      </c>
      <c r="D1" s="1" t="s">
        <v>985</v>
      </c>
      <c r="E1" s="1" t="s">
        <v>746</v>
      </c>
      <c r="F1" s="1" t="s">
        <v>753</v>
      </c>
      <c r="G1" s="1" t="s">
        <v>809</v>
      </c>
      <c r="H1" s="343"/>
      <c r="I1" s="1" t="s">
        <v>976</v>
      </c>
      <c r="J1" s="1" t="s">
        <v>994</v>
      </c>
    </row>
    <row r="2" spans="1:16" x14ac:dyDescent="0.2">
      <c r="G2">
        <v>1</v>
      </c>
    </row>
    <row r="3" spans="1:16" x14ac:dyDescent="0.2">
      <c r="A3" s="316" t="s">
        <v>680</v>
      </c>
      <c r="B3" s="323" t="s">
        <v>978</v>
      </c>
      <c r="C3" s="316" t="s">
        <v>981</v>
      </c>
      <c r="D3" s="316" t="s">
        <v>986</v>
      </c>
      <c r="E3" s="316" t="s">
        <v>747</v>
      </c>
      <c r="F3" s="316" t="s">
        <v>754</v>
      </c>
      <c r="G3">
        <v>2</v>
      </c>
      <c r="H3" s="315" t="s">
        <v>810</v>
      </c>
      <c r="I3" s="379" t="s">
        <v>1006</v>
      </c>
      <c r="J3" t="s">
        <v>995</v>
      </c>
      <c r="N3" s="320"/>
      <c r="O3" s="315"/>
      <c r="P3" s="315"/>
    </row>
    <row r="4" spans="1:16" x14ac:dyDescent="0.2">
      <c r="A4" s="316" t="s">
        <v>681</v>
      </c>
      <c r="B4" s="323" t="s">
        <v>717</v>
      </c>
      <c r="C4" s="316" t="s">
        <v>982</v>
      </c>
      <c r="D4" s="316" t="s">
        <v>987</v>
      </c>
      <c r="E4" s="316" t="s">
        <v>748</v>
      </c>
      <c r="F4" s="316" t="s">
        <v>755</v>
      </c>
      <c r="G4">
        <v>3</v>
      </c>
      <c r="H4" s="315" t="s">
        <v>811</v>
      </c>
      <c r="I4" s="379" t="s">
        <v>1007</v>
      </c>
      <c r="J4" t="s">
        <v>996</v>
      </c>
      <c r="N4" s="316"/>
      <c r="O4" s="315"/>
      <c r="P4" s="315"/>
    </row>
    <row r="5" spans="1:16" x14ac:dyDescent="0.2">
      <c r="A5" s="316" t="s">
        <v>682</v>
      </c>
      <c r="B5" s="323" t="s">
        <v>718</v>
      </c>
      <c r="C5" s="316" t="s">
        <v>983</v>
      </c>
      <c r="D5" s="316" t="s">
        <v>988</v>
      </c>
      <c r="E5" s="316" t="s">
        <v>749</v>
      </c>
      <c r="F5" s="316" t="s">
        <v>756</v>
      </c>
      <c r="G5" s="315">
        <v>4</v>
      </c>
      <c r="H5" s="315" t="s">
        <v>812</v>
      </c>
      <c r="I5" s="379" t="s">
        <v>1008</v>
      </c>
      <c r="J5" t="s">
        <v>997</v>
      </c>
      <c r="N5" s="316"/>
      <c r="O5" s="315"/>
      <c r="P5" s="315"/>
    </row>
    <row r="6" spans="1:16" x14ac:dyDescent="0.2">
      <c r="A6" s="356"/>
      <c r="B6" s="323" t="s">
        <v>924</v>
      </c>
      <c r="C6" t="s">
        <v>984</v>
      </c>
      <c r="E6" s="316" t="s">
        <v>750</v>
      </c>
      <c r="F6" s="316" t="s">
        <v>757</v>
      </c>
      <c r="G6" s="315">
        <v>5</v>
      </c>
      <c r="H6" s="315" t="s">
        <v>813</v>
      </c>
      <c r="I6" s="342"/>
      <c r="N6" s="315"/>
      <c r="O6" s="315"/>
      <c r="P6" s="315"/>
    </row>
    <row r="7" spans="1:16" x14ac:dyDescent="0.2">
      <c r="B7" s="323" t="s">
        <v>979</v>
      </c>
      <c r="E7" s="316"/>
      <c r="G7" s="315">
        <v>6</v>
      </c>
      <c r="H7" s="315" t="s">
        <v>814</v>
      </c>
      <c r="I7" s="342"/>
      <c r="N7" s="315"/>
      <c r="O7" s="315"/>
      <c r="P7" s="315"/>
    </row>
    <row r="8" spans="1:16" x14ac:dyDescent="0.2">
      <c r="B8" s="323" t="s">
        <v>980</v>
      </c>
      <c r="G8" s="315">
        <v>7</v>
      </c>
      <c r="H8" s="315" t="s">
        <v>815</v>
      </c>
      <c r="I8" s="342"/>
      <c r="N8" s="315"/>
      <c r="O8" s="315"/>
      <c r="P8" s="315"/>
    </row>
    <row r="9" spans="1:16" x14ac:dyDescent="0.2">
      <c r="G9" s="315">
        <v>8</v>
      </c>
      <c r="H9" s="315" t="s">
        <v>816</v>
      </c>
      <c r="I9" s="342"/>
      <c r="N9" s="315"/>
      <c r="O9" s="315"/>
      <c r="P9" s="315"/>
    </row>
    <row r="10" spans="1:16" x14ac:dyDescent="0.2">
      <c r="G10" s="315">
        <v>9</v>
      </c>
      <c r="H10" s="315" t="s">
        <v>817</v>
      </c>
      <c r="I10" s="342"/>
      <c r="N10" s="315"/>
      <c r="O10" s="315"/>
      <c r="P10" s="315"/>
    </row>
    <row r="11" spans="1:16" x14ac:dyDescent="0.2">
      <c r="G11" s="315">
        <v>10</v>
      </c>
      <c r="H11" s="315" t="s">
        <v>818</v>
      </c>
      <c r="I11" s="342"/>
      <c r="N11" s="315"/>
      <c r="O11" s="315"/>
      <c r="P11" s="315"/>
    </row>
    <row r="12" spans="1:16" x14ac:dyDescent="0.2">
      <c r="G12" s="315">
        <v>11</v>
      </c>
      <c r="H12" s="315" t="s">
        <v>819</v>
      </c>
      <c r="I12" s="342"/>
      <c r="N12" s="315"/>
      <c r="O12" s="315"/>
      <c r="P12" s="315"/>
    </row>
    <row r="13" spans="1:16" x14ac:dyDescent="0.2">
      <c r="G13" s="315">
        <v>12</v>
      </c>
      <c r="H13" s="315" t="s">
        <v>820</v>
      </c>
      <c r="I13" s="342"/>
      <c r="N13" s="315"/>
      <c r="O13" s="315"/>
      <c r="P13" s="315"/>
    </row>
    <row r="14" spans="1:16" x14ac:dyDescent="0.2">
      <c r="G14" s="315">
        <v>13</v>
      </c>
      <c r="H14" s="315" t="s">
        <v>821</v>
      </c>
      <c r="I14" s="342"/>
      <c r="N14" s="315"/>
      <c r="O14" s="315"/>
      <c r="P14" s="315"/>
    </row>
    <row r="15" spans="1:16" x14ac:dyDescent="0.2">
      <c r="G15" s="315">
        <v>14</v>
      </c>
      <c r="H15" s="315" t="s">
        <v>822</v>
      </c>
      <c r="I15" s="342"/>
      <c r="N15" s="316"/>
      <c r="O15" s="315"/>
      <c r="P15" s="315"/>
    </row>
    <row r="16" spans="1:16" x14ac:dyDescent="0.2">
      <c r="G16" s="315">
        <v>15</v>
      </c>
      <c r="H16" s="315" t="s">
        <v>823</v>
      </c>
      <c r="I16" s="342"/>
      <c r="N16" s="316"/>
      <c r="O16" s="315"/>
      <c r="P16" s="315"/>
    </row>
    <row r="17" spans="7:16" x14ac:dyDescent="0.2">
      <c r="G17" s="315">
        <v>16</v>
      </c>
      <c r="H17" s="315" t="s">
        <v>824</v>
      </c>
      <c r="I17" s="342"/>
      <c r="N17" s="316"/>
      <c r="O17" s="315"/>
      <c r="P17" s="315"/>
    </row>
    <row r="18" spans="7:16" x14ac:dyDescent="0.2">
      <c r="G18" s="315">
        <v>17</v>
      </c>
      <c r="H18" s="315" t="s">
        <v>825</v>
      </c>
      <c r="I18" s="342"/>
      <c r="N18" s="316"/>
      <c r="O18" s="315"/>
      <c r="P18" s="315"/>
    </row>
    <row r="19" spans="7:16" x14ac:dyDescent="0.2">
      <c r="G19" s="315">
        <v>18</v>
      </c>
      <c r="H19" s="315" t="s">
        <v>826</v>
      </c>
      <c r="I19" s="342"/>
      <c r="N19" s="316"/>
      <c r="O19" s="315"/>
      <c r="P19" s="315"/>
    </row>
    <row r="20" spans="7:16" x14ac:dyDescent="0.2">
      <c r="G20" s="315">
        <v>19</v>
      </c>
      <c r="H20" s="315" t="s">
        <v>827</v>
      </c>
      <c r="I20" s="342"/>
      <c r="N20" s="316"/>
      <c r="O20" s="315"/>
      <c r="P20" s="315"/>
    </row>
    <row r="21" spans="7:16" x14ac:dyDescent="0.2">
      <c r="G21" s="315">
        <v>20</v>
      </c>
      <c r="H21" s="315" t="s">
        <v>828</v>
      </c>
      <c r="I21" s="342"/>
      <c r="N21" s="315"/>
      <c r="O21" s="315"/>
      <c r="P21" s="315"/>
    </row>
    <row r="22" spans="7:16" x14ac:dyDescent="0.2">
      <c r="G22" s="315">
        <v>21</v>
      </c>
      <c r="H22" s="315" t="s">
        <v>829</v>
      </c>
      <c r="I22" s="342"/>
      <c r="N22" s="316"/>
      <c r="O22" s="315"/>
      <c r="P22" s="315"/>
    </row>
    <row r="23" spans="7:16" x14ac:dyDescent="0.2">
      <c r="G23" s="315">
        <v>22</v>
      </c>
      <c r="H23" s="315" t="s">
        <v>830</v>
      </c>
      <c r="I23" s="342"/>
      <c r="N23" s="316"/>
      <c r="O23" s="315"/>
      <c r="P23" s="315"/>
    </row>
    <row r="24" spans="7:16" x14ac:dyDescent="0.2">
      <c r="G24" s="315">
        <v>23</v>
      </c>
      <c r="H24" s="315" t="s">
        <v>831</v>
      </c>
      <c r="I24" s="342"/>
      <c r="N24" s="316"/>
      <c r="O24" s="315"/>
      <c r="P24" s="315"/>
    </row>
    <row r="25" spans="7:16" x14ac:dyDescent="0.2">
      <c r="G25" s="315">
        <v>24</v>
      </c>
      <c r="H25" s="315" t="s">
        <v>832</v>
      </c>
      <c r="I25" s="342"/>
      <c r="N25" s="315"/>
      <c r="O25" s="315"/>
      <c r="P25" s="315"/>
    </row>
    <row r="26" spans="7:16" x14ac:dyDescent="0.2">
      <c r="G26" s="315">
        <v>25</v>
      </c>
      <c r="H26" s="315" t="s">
        <v>833</v>
      </c>
      <c r="I26" s="342"/>
      <c r="N26" s="316"/>
      <c r="O26" s="315"/>
      <c r="P26" s="315"/>
    </row>
    <row r="27" spans="7:16" x14ac:dyDescent="0.2">
      <c r="G27" s="315">
        <v>26</v>
      </c>
      <c r="H27" s="315" t="s">
        <v>834</v>
      </c>
      <c r="I27" s="342"/>
      <c r="N27" s="315"/>
      <c r="O27" s="315"/>
      <c r="P27" s="315"/>
    </row>
    <row r="28" spans="7:16" x14ac:dyDescent="0.2">
      <c r="G28" s="315">
        <v>27</v>
      </c>
      <c r="H28" s="315" t="s">
        <v>835</v>
      </c>
      <c r="I28" s="342"/>
      <c r="N28" s="316"/>
      <c r="O28" s="315"/>
      <c r="P28" s="315"/>
    </row>
    <row r="29" spans="7:16" x14ac:dyDescent="0.2">
      <c r="G29" s="315">
        <v>28</v>
      </c>
      <c r="H29" s="315" t="s">
        <v>836</v>
      </c>
      <c r="I29" s="342"/>
      <c r="N29" s="315"/>
      <c r="O29" s="315"/>
      <c r="P29" s="315"/>
    </row>
    <row r="30" spans="7:16" x14ac:dyDescent="0.2">
      <c r="G30" s="315">
        <v>29</v>
      </c>
      <c r="H30" s="315" t="s">
        <v>837</v>
      </c>
      <c r="I30" s="342"/>
      <c r="N30" s="316"/>
      <c r="O30" s="315"/>
      <c r="P30" s="315"/>
    </row>
    <row r="31" spans="7:16" x14ac:dyDescent="0.2">
      <c r="G31" s="315">
        <v>30</v>
      </c>
      <c r="H31" s="315" t="s">
        <v>838</v>
      </c>
      <c r="I31" s="342"/>
      <c r="N31" s="316"/>
      <c r="O31" s="315"/>
      <c r="P31" s="315"/>
    </row>
    <row r="32" spans="7:16" x14ac:dyDescent="0.2">
      <c r="G32" s="315">
        <v>31</v>
      </c>
      <c r="H32" s="315" t="s">
        <v>839</v>
      </c>
      <c r="I32" s="342"/>
      <c r="N32" s="316"/>
      <c r="O32" s="315"/>
      <c r="P32" s="315"/>
    </row>
    <row r="33" spans="7:16" x14ac:dyDescent="0.2">
      <c r="G33" s="315">
        <v>32</v>
      </c>
      <c r="H33" s="315" t="s">
        <v>840</v>
      </c>
      <c r="I33" s="342"/>
      <c r="N33" s="320"/>
      <c r="O33" s="315"/>
      <c r="P33" s="315"/>
    </row>
    <row r="34" spans="7:16" x14ac:dyDescent="0.2">
      <c r="G34" s="315">
        <v>33</v>
      </c>
      <c r="H34" s="315" t="s">
        <v>841</v>
      </c>
      <c r="I34" s="342"/>
      <c r="N34" s="316"/>
      <c r="O34" s="315"/>
      <c r="P34" s="315"/>
    </row>
    <row r="35" spans="7:16" x14ac:dyDescent="0.2">
      <c r="G35" s="315">
        <v>34</v>
      </c>
      <c r="H35" s="315" t="s">
        <v>842</v>
      </c>
      <c r="I35" s="342"/>
      <c r="N35" s="316"/>
      <c r="O35" s="315"/>
      <c r="P35" s="315"/>
    </row>
    <row r="36" spans="7:16" x14ac:dyDescent="0.2">
      <c r="G36" s="315">
        <v>35</v>
      </c>
      <c r="H36" s="315" t="s">
        <v>843</v>
      </c>
      <c r="I36" s="342"/>
      <c r="N36" s="316"/>
      <c r="O36" s="315"/>
      <c r="P36" s="315"/>
    </row>
    <row r="37" spans="7:16" x14ac:dyDescent="0.2">
      <c r="G37" s="315">
        <v>36</v>
      </c>
      <c r="H37" s="315" t="s">
        <v>844</v>
      </c>
      <c r="I37" s="342"/>
      <c r="N37" s="315"/>
      <c r="O37" s="315"/>
      <c r="P37" s="315"/>
    </row>
    <row r="38" spans="7:16" x14ac:dyDescent="0.2">
      <c r="G38" s="315">
        <v>37</v>
      </c>
      <c r="H38" s="315" t="s">
        <v>845</v>
      </c>
      <c r="I38" s="342"/>
      <c r="N38" s="316"/>
      <c r="O38" s="315"/>
      <c r="P38" s="315"/>
    </row>
    <row r="39" spans="7:16" x14ac:dyDescent="0.2">
      <c r="G39" s="315">
        <v>38</v>
      </c>
      <c r="H39" s="315" t="s">
        <v>846</v>
      </c>
      <c r="I39" s="342"/>
      <c r="N39" s="316"/>
      <c r="O39" s="315"/>
      <c r="P39" s="315"/>
    </row>
    <row r="40" spans="7:16" x14ac:dyDescent="0.2">
      <c r="G40" s="315">
        <v>39</v>
      </c>
      <c r="H40" s="315" t="s">
        <v>847</v>
      </c>
      <c r="I40" s="342"/>
      <c r="N40" s="315"/>
      <c r="O40" s="315"/>
      <c r="P40" s="315"/>
    </row>
    <row r="41" spans="7:16" x14ac:dyDescent="0.2">
      <c r="G41" s="315">
        <v>40</v>
      </c>
      <c r="H41" s="315" t="s">
        <v>848</v>
      </c>
      <c r="I41" s="342"/>
      <c r="N41" s="315"/>
      <c r="O41" s="315"/>
      <c r="P41" s="315"/>
    </row>
    <row r="42" spans="7:16" x14ac:dyDescent="0.2">
      <c r="G42" s="315">
        <v>41</v>
      </c>
      <c r="H42" s="315" t="s">
        <v>849</v>
      </c>
      <c r="I42" s="342"/>
      <c r="N42" s="315"/>
      <c r="O42" s="315"/>
      <c r="P42" s="315"/>
    </row>
    <row r="43" spans="7:16" x14ac:dyDescent="0.2">
      <c r="G43" s="315">
        <v>42</v>
      </c>
      <c r="H43" s="315" t="s">
        <v>850</v>
      </c>
      <c r="I43" s="342"/>
      <c r="N43" s="315"/>
      <c r="O43" s="315"/>
      <c r="P43" s="315"/>
    </row>
    <row r="44" spans="7:16" x14ac:dyDescent="0.2">
      <c r="G44" s="315">
        <v>43</v>
      </c>
      <c r="H44" s="315" t="s">
        <v>851</v>
      </c>
      <c r="I44" s="342"/>
      <c r="N44" s="316"/>
      <c r="O44" s="315"/>
      <c r="P44" s="315"/>
    </row>
    <row r="45" spans="7:16" x14ac:dyDescent="0.2">
      <c r="G45" s="315">
        <v>44</v>
      </c>
      <c r="H45" s="315" t="s">
        <v>852</v>
      </c>
      <c r="I45" s="342"/>
      <c r="N45" s="316"/>
      <c r="O45" s="315"/>
      <c r="P45" s="315"/>
    </row>
    <row r="46" spans="7:16" x14ac:dyDescent="0.2">
      <c r="G46" s="315">
        <v>45</v>
      </c>
      <c r="H46" s="315" t="s">
        <v>853</v>
      </c>
      <c r="I46" s="342"/>
      <c r="N46" s="316"/>
      <c r="O46" s="315"/>
      <c r="P46" s="315"/>
    </row>
    <row r="47" spans="7:16" x14ac:dyDescent="0.2">
      <c r="G47" s="315">
        <v>46</v>
      </c>
      <c r="H47" s="315" t="s">
        <v>854</v>
      </c>
      <c r="I47" s="342"/>
      <c r="N47" s="316"/>
      <c r="O47" s="315"/>
      <c r="P47" s="315"/>
    </row>
    <row r="48" spans="7:16" x14ac:dyDescent="0.2">
      <c r="G48" s="315">
        <v>47</v>
      </c>
      <c r="H48" s="315" t="s">
        <v>855</v>
      </c>
      <c r="I48" s="342"/>
      <c r="N48" s="316"/>
      <c r="O48" s="315"/>
      <c r="P48" s="315"/>
    </row>
    <row r="49" spans="7:16" x14ac:dyDescent="0.2">
      <c r="G49" s="315">
        <v>48</v>
      </c>
      <c r="H49" s="315" t="s">
        <v>856</v>
      </c>
      <c r="I49" s="342"/>
      <c r="N49" s="316"/>
      <c r="O49" s="315"/>
      <c r="P49" s="315"/>
    </row>
    <row r="50" spans="7:16" x14ac:dyDescent="0.2">
      <c r="G50" s="315">
        <v>49</v>
      </c>
      <c r="H50" s="315" t="s">
        <v>857</v>
      </c>
      <c r="I50" s="342"/>
      <c r="N50" s="316"/>
      <c r="O50" s="315"/>
      <c r="P50" s="315"/>
    </row>
    <row r="51" spans="7:16" x14ac:dyDescent="0.2">
      <c r="G51" s="315">
        <v>50</v>
      </c>
      <c r="H51" s="315" t="s">
        <v>858</v>
      </c>
      <c r="I51" s="342"/>
      <c r="N51" s="316"/>
      <c r="O51" s="315"/>
      <c r="P51" s="315"/>
    </row>
    <row r="52" spans="7:16" x14ac:dyDescent="0.2">
      <c r="G52" s="315">
        <v>51</v>
      </c>
      <c r="H52" s="315" t="s">
        <v>859</v>
      </c>
      <c r="I52" s="342"/>
      <c r="N52" s="316"/>
      <c r="O52" s="315"/>
      <c r="P52" s="315"/>
    </row>
    <row r="53" spans="7:16" x14ac:dyDescent="0.2">
      <c r="G53" s="315">
        <v>52</v>
      </c>
      <c r="H53" s="315" t="s">
        <v>860</v>
      </c>
      <c r="I53" s="342"/>
      <c r="N53" s="316"/>
      <c r="O53" s="315"/>
      <c r="P53" s="315"/>
    </row>
    <row r="54" spans="7:16" x14ac:dyDescent="0.2">
      <c r="G54" s="315">
        <v>53</v>
      </c>
      <c r="H54" s="315" t="s">
        <v>861</v>
      </c>
      <c r="I54" s="342"/>
      <c r="N54" s="316"/>
      <c r="O54" s="315"/>
      <c r="P54" s="315"/>
    </row>
    <row r="55" spans="7:16" x14ac:dyDescent="0.2">
      <c r="G55" s="315">
        <v>54</v>
      </c>
      <c r="H55" s="315" t="s">
        <v>862</v>
      </c>
      <c r="I55" s="342"/>
      <c r="N55" s="316"/>
      <c r="O55" s="315"/>
      <c r="P55" s="315"/>
    </row>
    <row r="56" spans="7:16" x14ac:dyDescent="0.2">
      <c r="G56" s="315">
        <v>55</v>
      </c>
      <c r="H56" s="315" t="s">
        <v>863</v>
      </c>
      <c r="I56" s="342"/>
      <c r="N56" s="315"/>
      <c r="O56" s="315"/>
      <c r="P56" s="315"/>
    </row>
    <row r="57" spans="7:16" x14ac:dyDescent="0.2">
      <c r="G57" s="315">
        <v>56</v>
      </c>
      <c r="H57" s="315" t="s">
        <v>864</v>
      </c>
      <c r="I57" s="342"/>
      <c r="N57" s="315"/>
      <c r="O57" s="315"/>
      <c r="P57" s="315"/>
    </row>
    <row r="58" spans="7:16" x14ac:dyDescent="0.2">
      <c r="G58" s="315">
        <v>57</v>
      </c>
      <c r="H58" s="315" t="s">
        <v>865</v>
      </c>
      <c r="I58" s="342"/>
      <c r="N58" s="316"/>
      <c r="O58" s="315"/>
      <c r="P58" s="315"/>
    </row>
    <row r="59" spans="7:16" x14ac:dyDescent="0.2">
      <c r="G59" s="315">
        <v>58</v>
      </c>
      <c r="H59" s="315" t="s">
        <v>866</v>
      </c>
      <c r="I59" s="342"/>
      <c r="N59" s="315"/>
      <c r="O59" s="315"/>
      <c r="P59" s="315"/>
    </row>
    <row r="60" spans="7:16" x14ac:dyDescent="0.2">
      <c r="G60" s="315">
        <v>59</v>
      </c>
      <c r="H60" s="315" t="s">
        <v>867</v>
      </c>
      <c r="I60" s="342"/>
      <c r="N60" s="316"/>
      <c r="O60" s="315"/>
      <c r="P60" s="315"/>
    </row>
    <row r="61" spans="7:16" x14ac:dyDescent="0.2">
      <c r="G61" s="315">
        <v>60</v>
      </c>
      <c r="H61" s="315" t="s">
        <v>868</v>
      </c>
      <c r="I61" s="342"/>
      <c r="N61" s="316"/>
      <c r="O61" s="315"/>
      <c r="P61" s="315"/>
    </row>
    <row r="62" spans="7:16" x14ac:dyDescent="0.2">
      <c r="G62" s="315">
        <v>61</v>
      </c>
      <c r="H62" s="315" t="s">
        <v>869</v>
      </c>
      <c r="I62" s="342"/>
      <c r="N62" s="315"/>
      <c r="O62" s="315"/>
      <c r="P62" s="315"/>
    </row>
    <row r="63" spans="7:16" x14ac:dyDescent="0.2">
      <c r="G63" s="315">
        <v>62</v>
      </c>
      <c r="H63" s="315" t="s">
        <v>870</v>
      </c>
      <c r="I63" s="342"/>
      <c r="N63" s="316"/>
      <c r="O63" s="315"/>
      <c r="P63" s="315"/>
    </row>
    <row r="64" spans="7:16" x14ac:dyDescent="0.2">
      <c r="G64" s="315">
        <v>63</v>
      </c>
      <c r="H64" s="315" t="s">
        <v>871</v>
      </c>
      <c r="I64" s="342"/>
      <c r="N64" s="316"/>
      <c r="O64" s="315"/>
      <c r="P64" s="315"/>
    </row>
    <row r="65" spans="7:16" x14ac:dyDescent="0.2">
      <c r="G65" s="315">
        <v>64</v>
      </c>
      <c r="H65" s="315" t="s">
        <v>872</v>
      </c>
      <c r="I65" s="342"/>
      <c r="N65" s="316"/>
      <c r="O65" s="315"/>
      <c r="P65" s="315"/>
    </row>
    <row r="66" spans="7:16" x14ac:dyDescent="0.2">
      <c r="G66" s="315">
        <v>65</v>
      </c>
      <c r="H66" s="315" t="s">
        <v>873</v>
      </c>
      <c r="I66" s="342"/>
      <c r="N66" s="316"/>
      <c r="O66" s="315"/>
      <c r="P66" s="315"/>
    </row>
    <row r="67" spans="7:16" x14ac:dyDescent="0.2">
      <c r="G67" s="315">
        <v>66</v>
      </c>
      <c r="H67" s="315" t="s">
        <v>874</v>
      </c>
      <c r="I67" s="342"/>
      <c r="N67" s="315"/>
      <c r="O67" s="315"/>
      <c r="P67" s="315"/>
    </row>
    <row r="68" spans="7:16" x14ac:dyDescent="0.2">
      <c r="G68" s="315">
        <v>67</v>
      </c>
      <c r="H68" s="315" t="s">
        <v>875</v>
      </c>
      <c r="I68" s="342"/>
      <c r="N68" s="316"/>
      <c r="O68" s="315"/>
      <c r="P68" s="315"/>
    </row>
    <row r="69" spans="7:16" x14ac:dyDescent="0.2">
      <c r="G69" s="315">
        <v>68</v>
      </c>
      <c r="H69" s="315" t="s">
        <v>876</v>
      </c>
      <c r="I69" s="342"/>
      <c r="N69" s="316"/>
      <c r="O69" s="315"/>
      <c r="P69" s="315"/>
    </row>
    <row r="70" spans="7:16" x14ac:dyDescent="0.2">
      <c r="G70" s="315">
        <v>69</v>
      </c>
      <c r="H70" s="315" t="s">
        <v>877</v>
      </c>
      <c r="I70" s="342"/>
      <c r="N70" s="316"/>
      <c r="O70" s="315"/>
      <c r="P70" s="315"/>
    </row>
    <row r="71" spans="7:16" x14ac:dyDescent="0.2">
      <c r="G71" s="315">
        <v>70</v>
      </c>
      <c r="H71" s="315" t="s">
        <v>878</v>
      </c>
      <c r="I71" s="342"/>
      <c r="N71" s="316"/>
      <c r="O71" s="315"/>
      <c r="P71" s="315"/>
    </row>
    <row r="72" spans="7:16" x14ac:dyDescent="0.2">
      <c r="G72" s="315">
        <v>71</v>
      </c>
      <c r="H72" s="315" t="s">
        <v>879</v>
      </c>
      <c r="I72" s="342"/>
      <c r="N72" s="316"/>
      <c r="O72" s="315"/>
      <c r="P72" s="315"/>
    </row>
    <row r="73" spans="7:16" x14ac:dyDescent="0.2">
      <c r="G73" s="315">
        <v>72</v>
      </c>
      <c r="H73" s="315" t="s">
        <v>880</v>
      </c>
      <c r="I73" s="342"/>
      <c r="N73" s="316"/>
      <c r="O73" s="315"/>
      <c r="P73" s="315"/>
    </row>
    <row r="74" spans="7:16" x14ac:dyDescent="0.2">
      <c r="G74" s="315">
        <v>73</v>
      </c>
      <c r="H74" s="315" t="s">
        <v>881</v>
      </c>
      <c r="I74" s="342"/>
      <c r="N74" s="315"/>
      <c r="O74" s="315"/>
      <c r="P74" s="315"/>
    </row>
    <row r="75" spans="7:16" x14ac:dyDescent="0.2">
      <c r="G75" s="315">
        <v>74</v>
      </c>
      <c r="H75" s="315" t="s">
        <v>882</v>
      </c>
      <c r="I75" s="342"/>
      <c r="N75" s="315"/>
      <c r="O75" s="315"/>
      <c r="P75" s="315"/>
    </row>
    <row r="76" spans="7:16" x14ac:dyDescent="0.2">
      <c r="G76" s="315">
        <v>75</v>
      </c>
      <c r="H76" s="315" t="s">
        <v>883</v>
      </c>
      <c r="I76" s="342"/>
    </row>
    <row r="77" spans="7:16" x14ac:dyDescent="0.2">
      <c r="G77" s="315">
        <v>76</v>
      </c>
      <c r="H77" s="315" t="s">
        <v>884</v>
      </c>
      <c r="I77" s="342"/>
    </row>
    <row r="78" spans="7:16" x14ac:dyDescent="0.2">
      <c r="G78" s="315">
        <v>77</v>
      </c>
      <c r="H78" s="315" t="s">
        <v>885</v>
      </c>
      <c r="I78" s="342"/>
    </row>
    <row r="79" spans="7:16" x14ac:dyDescent="0.2">
      <c r="G79" s="315">
        <v>78</v>
      </c>
      <c r="H79" s="315" t="s">
        <v>886</v>
      </c>
      <c r="I79" s="342"/>
    </row>
    <row r="80" spans="7:16" x14ac:dyDescent="0.2">
      <c r="G80" s="315">
        <v>79</v>
      </c>
      <c r="H80" s="315" t="s">
        <v>887</v>
      </c>
      <c r="I80" s="342"/>
    </row>
    <row r="81" spans="7:9" x14ac:dyDescent="0.2">
      <c r="G81" s="315">
        <v>80</v>
      </c>
      <c r="H81" s="315" t="s">
        <v>888</v>
      </c>
      <c r="I81" s="342"/>
    </row>
    <row r="82" spans="7:9" x14ac:dyDescent="0.2">
      <c r="G82" s="315">
        <v>81</v>
      </c>
      <c r="H82" s="315" t="s">
        <v>889</v>
      </c>
      <c r="I82" s="342"/>
    </row>
    <row r="83" spans="7:9" x14ac:dyDescent="0.2">
      <c r="G83" s="315">
        <v>82</v>
      </c>
      <c r="H83" s="315" t="s">
        <v>890</v>
      </c>
      <c r="I83" s="342"/>
    </row>
    <row r="84" spans="7:9" x14ac:dyDescent="0.2">
      <c r="G84" s="315">
        <v>83</v>
      </c>
      <c r="H84" s="315" t="s">
        <v>891</v>
      </c>
      <c r="I84" s="342"/>
    </row>
    <row r="85" spans="7:9" x14ac:dyDescent="0.2">
      <c r="G85" s="315">
        <v>84</v>
      </c>
      <c r="H85" s="315" t="s">
        <v>892</v>
      </c>
      <c r="I85" s="342"/>
    </row>
    <row r="86" spans="7:9" x14ac:dyDescent="0.2">
      <c r="G86" s="315">
        <v>85</v>
      </c>
      <c r="H86" s="315" t="s">
        <v>893</v>
      </c>
      <c r="I86" s="342"/>
    </row>
    <row r="87" spans="7:9" x14ac:dyDescent="0.2">
      <c r="G87" s="315">
        <v>86</v>
      </c>
      <c r="H87" s="315" t="s">
        <v>894</v>
      </c>
      <c r="I87" s="342"/>
    </row>
    <row r="88" spans="7:9" x14ac:dyDescent="0.2">
      <c r="G88" s="315">
        <v>87</v>
      </c>
      <c r="H88" s="315" t="s">
        <v>895</v>
      </c>
      <c r="I88" s="342"/>
    </row>
    <row r="89" spans="7:9" x14ac:dyDescent="0.2">
      <c r="G89" s="315">
        <v>88</v>
      </c>
      <c r="H89" s="315" t="s">
        <v>896</v>
      </c>
      <c r="I89" s="342"/>
    </row>
    <row r="90" spans="7:9" x14ac:dyDescent="0.2">
      <c r="G90" s="315">
        <v>89</v>
      </c>
      <c r="H90" s="315" t="s">
        <v>897</v>
      </c>
      <c r="I90" s="342"/>
    </row>
    <row r="91" spans="7:9" x14ac:dyDescent="0.2">
      <c r="G91" s="315">
        <v>90</v>
      </c>
      <c r="H91" s="315" t="s">
        <v>898</v>
      </c>
      <c r="I91" s="342"/>
    </row>
    <row r="92" spans="7:9" x14ac:dyDescent="0.2">
      <c r="G92" s="315">
        <v>91</v>
      </c>
      <c r="H92" s="315" t="s">
        <v>899</v>
      </c>
      <c r="I92" s="342"/>
    </row>
    <row r="93" spans="7:9" x14ac:dyDescent="0.2">
      <c r="G93" s="315">
        <v>92</v>
      </c>
      <c r="H93" s="315" t="s">
        <v>900</v>
      </c>
      <c r="I93" s="342"/>
    </row>
    <row r="94" spans="7:9" x14ac:dyDescent="0.2">
      <c r="G94" s="315">
        <v>93</v>
      </c>
      <c r="H94" s="315" t="s">
        <v>901</v>
      </c>
      <c r="I94" s="342"/>
    </row>
    <row r="95" spans="7:9" x14ac:dyDescent="0.2">
      <c r="G95" s="315">
        <v>94</v>
      </c>
      <c r="H95" s="315" t="s">
        <v>902</v>
      </c>
      <c r="I95" s="342"/>
    </row>
    <row r="96" spans="7:9" x14ac:dyDescent="0.2">
      <c r="G96" s="315">
        <v>95</v>
      </c>
      <c r="H96" s="315" t="s">
        <v>903</v>
      </c>
      <c r="I96" s="342"/>
    </row>
    <row r="97" spans="7:9" x14ac:dyDescent="0.2">
      <c r="G97" s="315">
        <v>96</v>
      </c>
      <c r="H97" s="315" t="s">
        <v>904</v>
      </c>
      <c r="I97" s="342"/>
    </row>
    <row r="98" spans="7:9" x14ac:dyDescent="0.2">
      <c r="G98" s="315">
        <v>97</v>
      </c>
      <c r="H98" s="315" t="s">
        <v>905</v>
      </c>
      <c r="I98" s="342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GuiAcuut">
    <tabColor rgb="FF7030A0"/>
    <pageSetUpPr autoPageBreaks="0"/>
  </sheetPr>
  <dimension ref="A1:FIO452"/>
  <sheetViews>
    <sheetView zoomScaleNormal="100" zoomScaleSheetLayoutView="100" workbookViewId="0"/>
  </sheetViews>
  <sheetFormatPr defaultColWidth="9.140625" defaultRowHeight="12.75" x14ac:dyDescent="0.2"/>
  <cols>
    <col min="1" max="1" width="9.140625" style="652"/>
    <col min="2" max="2" width="10.28515625" style="686" customWidth="1"/>
    <col min="3" max="3" width="19.7109375" style="652" customWidth="1"/>
    <col min="4" max="4" width="24.5703125" style="652" customWidth="1"/>
    <col min="5" max="5" width="17.7109375" style="652" customWidth="1"/>
    <col min="6" max="7" width="18.7109375" style="652" customWidth="1"/>
    <col min="8" max="11" width="9.140625" style="652"/>
    <col min="12" max="21" width="0" style="652" hidden="1" customWidth="1"/>
    <col min="22" max="16384" width="9.140625" style="652"/>
  </cols>
  <sheetData>
    <row r="1" spans="1:25 4305:4305" x14ac:dyDescent="0.2">
      <c r="A1" s="721"/>
      <c r="J1" s="729"/>
      <c r="K1" s="729"/>
      <c r="L1" s="730" t="s">
        <v>792</v>
      </c>
      <c r="M1" s="730" t="s">
        <v>800</v>
      </c>
      <c r="N1" s="730" t="s">
        <v>793</v>
      </c>
      <c r="O1" s="730"/>
      <c r="P1" s="730"/>
      <c r="Q1" s="730"/>
      <c r="R1" s="730"/>
      <c r="S1" s="730" t="s">
        <v>801</v>
      </c>
      <c r="T1" s="730" t="s">
        <v>802</v>
      </c>
      <c r="U1" s="730"/>
      <c r="V1" s="730"/>
      <c r="W1" s="730"/>
      <c r="X1" s="730"/>
      <c r="Y1" s="729"/>
    </row>
    <row r="2" spans="1:25 4305:4305" ht="15" customHeight="1" x14ac:dyDescent="0.2">
      <c r="B2" s="634" t="str">
        <f>"Patient: "&amp;__2_AchterNaam&amp;", "&amp;__3_VoorNaam</f>
        <v xml:space="preserve">Patient: , </v>
      </c>
      <c r="C2" s="634"/>
      <c r="D2" s="671"/>
      <c r="E2" s="634" t="str">
        <f ca="1">"Geschatte lengte: "&amp;VLOOKUP(C5+D5/12,PedTblLengte!A2:D45,4)&amp;" cm"</f>
        <v>Geschatte lengte: 175,15 cm</v>
      </c>
      <c r="F2" s="671"/>
      <c r="G2" s="634"/>
      <c r="H2" s="644"/>
      <c r="I2" s="644"/>
      <c r="J2" s="729"/>
      <c r="K2" s="729"/>
      <c r="L2" s="730">
        <v>0</v>
      </c>
      <c r="M2" s="730">
        <v>40</v>
      </c>
      <c r="N2" s="730">
        <v>3.5</v>
      </c>
      <c r="O2" s="730">
        <v>0</v>
      </c>
      <c r="P2" s="730">
        <v>3.5</v>
      </c>
      <c r="Q2" s="730">
        <v>51</v>
      </c>
      <c r="R2" s="730"/>
      <c r="S2" s="730">
        <v>1</v>
      </c>
      <c r="T2" s="730">
        <v>1</v>
      </c>
      <c r="U2" s="730">
        <v>1</v>
      </c>
      <c r="V2" s="730"/>
      <c r="W2" s="730"/>
      <c r="X2" s="730"/>
      <c r="Y2" s="729"/>
      <c r="FIO2" s="652">
        <v>30</v>
      </c>
    </row>
    <row r="3" spans="1:25 4305:4305" ht="15" customHeight="1" x14ac:dyDescent="0.2">
      <c r="B3" s="634" t="str">
        <f>"Geb datum.: "</f>
        <v xml:space="preserve">Geb datum.: </v>
      </c>
      <c r="C3" s="829">
        <f>__4_GebDatum</f>
        <v>1462</v>
      </c>
      <c r="D3" s="671"/>
      <c r="E3" s="634" t="str">
        <f ca="1">"Geschat gewicht: "&amp;VLOOKUP(C5+D5/12,PedTblGew!A2:T49,20)&amp;" kg"</f>
        <v>Geschat gewicht: 66,1 kg</v>
      </c>
      <c r="F3" s="830"/>
      <c r="G3" s="634"/>
      <c r="H3" s="644"/>
      <c r="I3" s="644"/>
      <c r="J3" s="729"/>
      <c r="K3" s="729"/>
      <c r="L3" s="730">
        <v>1</v>
      </c>
      <c r="M3" s="730">
        <v>30</v>
      </c>
      <c r="N3" s="730">
        <v>4.5</v>
      </c>
      <c r="O3" s="730">
        <v>1</v>
      </c>
      <c r="P3" s="730">
        <v>4.2</v>
      </c>
      <c r="Q3" s="730">
        <v>54</v>
      </c>
      <c r="R3" s="730"/>
      <c r="S3" s="730">
        <v>2</v>
      </c>
      <c r="T3" s="730">
        <v>2</v>
      </c>
      <c r="U3" s="730">
        <v>2</v>
      </c>
      <c r="V3" s="730"/>
      <c r="W3" s="730"/>
      <c r="X3" s="730"/>
      <c r="Y3" s="729"/>
    </row>
    <row r="4" spans="1:25 4305:4305" ht="15.75" customHeight="1" x14ac:dyDescent="0.2">
      <c r="B4" s="661"/>
      <c r="C4" s="831" t="s">
        <v>423</v>
      </c>
      <c r="D4" s="831" t="s">
        <v>424</v>
      </c>
      <c r="E4" s="831" t="s">
        <v>274</v>
      </c>
      <c r="F4" s="831" t="s">
        <v>130</v>
      </c>
      <c r="G4" s="831" t="s">
        <v>52</v>
      </c>
      <c r="H4" s="644"/>
      <c r="J4" s="732"/>
      <c r="K4" s="732"/>
      <c r="L4" s="730">
        <v>2</v>
      </c>
      <c r="M4" s="730">
        <v>25</v>
      </c>
      <c r="N4" s="730">
        <v>4.5</v>
      </c>
      <c r="O4" s="730">
        <v>2</v>
      </c>
      <c r="P4" s="730">
        <v>5</v>
      </c>
      <c r="Q4" s="730">
        <v>57</v>
      </c>
      <c r="R4" s="730"/>
      <c r="S4" s="730">
        <v>3</v>
      </c>
      <c r="T4" s="730">
        <v>3</v>
      </c>
      <c r="U4" s="730">
        <v>3</v>
      </c>
      <c r="V4" s="730"/>
      <c r="W4" s="730"/>
      <c r="X4" s="730"/>
      <c r="Y4" s="729"/>
    </row>
    <row r="5" spans="1:25 4305:4305" ht="15" customHeight="1" x14ac:dyDescent="0.2">
      <c r="B5" s="661"/>
      <c r="C5" s="831">
        <f ca="1">TRUNC((Var_AfspraakDatum-__4_GebDatum)/365,0)</f>
        <v>113</v>
      </c>
      <c r="D5" s="831">
        <f ca="1">TRUNC(((Var_AfspraakDatum-__4_GebDatum)-365*TRUNC((Var_AfspraakDatum-__4_GebDatum)/365,0))/30,0)</f>
        <v>1</v>
      </c>
      <c r="E5" s="831">
        <f>_Pat_Gewicht/10</f>
        <v>0</v>
      </c>
      <c r="F5" s="831">
        <f>_Pat_Lengte</f>
        <v>0</v>
      </c>
      <c r="G5" s="831">
        <f>ROUND(POWER(E5,0.425)*POWER(((F5/100)*100),0.725)*0.007184,2)</f>
        <v>0</v>
      </c>
      <c r="H5" s="644"/>
      <c r="J5" s="732"/>
      <c r="K5" s="732"/>
      <c r="L5" s="730">
        <v>3</v>
      </c>
      <c r="M5" s="730">
        <v>25</v>
      </c>
      <c r="N5" s="730">
        <v>5</v>
      </c>
      <c r="O5" s="730">
        <v>3</v>
      </c>
      <c r="P5" s="730">
        <v>5.7</v>
      </c>
      <c r="Q5" s="730">
        <v>60</v>
      </c>
      <c r="R5" s="730"/>
      <c r="S5" s="730">
        <v>4</v>
      </c>
      <c r="T5" s="730">
        <v>3</v>
      </c>
      <c r="U5" s="730"/>
      <c r="V5" s="730"/>
      <c r="W5" s="730"/>
      <c r="X5" s="730"/>
      <c r="Y5" s="729"/>
    </row>
    <row r="6" spans="1:25 4305:4305" ht="15" customHeight="1" thickBot="1" x14ac:dyDescent="0.25">
      <c r="A6" s="721"/>
      <c r="B6" s="692"/>
      <c r="C6" s="731"/>
      <c r="D6" s="731"/>
      <c r="E6" s="731"/>
      <c r="F6" s="731"/>
      <c r="G6" s="731"/>
      <c r="H6" s="644"/>
      <c r="J6" s="732"/>
      <c r="K6" s="732"/>
      <c r="L6" s="730">
        <v>4</v>
      </c>
      <c r="M6" s="730">
        <v>25</v>
      </c>
      <c r="N6" s="730">
        <v>5</v>
      </c>
      <c r="O6" s="730">
        <v>4</v>
      </c>
      <c r="P6" s="730">
        <v>6.5</v>
      </c>
      <c r="Q6" s="730">
        <v>63</v>
      </c>
      <c r="R6" s="730"/>
      <c r="S6" s="730">
        <v>5</v>
      </c>
      <c r="T6" s="730">
        <v>5</v>
      </c>
      <c r="U6" s="730">
        <v>5</v>
      </c>
      <c r="V6" s="730"/>
      <c r="W6" s="730"/>
      <c r="X6" s="730"/>
      <c r="Y6" s="729"/>
    </row>
    <row r="7" spans="1:25 4305:4305" ht="20.100000000000001" customHeight="1" thickBot="1" x14ac:dyDescent="0.25">
      <c r="B7" s="662" t="s">
        <v>314</v>
      </c>
      <c r="C7" s="814" t="s">
        <v>53</v>
      </c>
      <c r="D7" s="789" t="str">
        <f ca="1">"Maat: "&amp;VLOOKUP(C5,L2:N20,3)&amp;", Lengte: "&amp;IF(C5&gt;1,ROUND((C5/2+15)/2,0)*2,IF(C5=0,12,15))&amp;" cm"&amp;" nasaal, "&amp;ROUND((C5/2+12)/2,0)*2&amp;" cm oraal"</f>
        <v>Maat: 7, Lengte: 72 cm nasaal, 68 cm oraal</v>
      </c>
      <c r="E7" s="790"/>
      <c r="F7" s="790"/>
      <c r="G7" s="791"/>
      <c r="H7" s="644"/>
      <c r="I7" s="644"/>
      <c r="J7" s="729"/>
      <c r="K7" s="729"/>
      <c r="L7" s="730">
        <v>5</v>
      </c>
      <c r="M7" s="730">
        <v>25</v>
      </c>
      <c r="N7" s="730">
        <v>5.5</v>
      </c>
      <c r="O7" s="730">
        <v>5</v>
      </c>
      <c r="P7" s="730">
        <v>7</v>
      </c>
      <c r="Q7" s="730">
        <v>65</v>
      </c>
      <c r="R7" s="730"/>
      <c r="S7" s="730">
        <v>6</v>
      </c>
      <c r="T7" s="730">
        <v>5</v>
      </c>
      <c r="U7" s="730"/>
      <c r="V7" s="730"/>
      <c r="W7" s="730"/>
      <c r="X7" s="730"/>
      <c r="Y7" s="729"/>
    </row>
    <row r="8" spans="1:25 4305:4305" ht="20.100000000000001" customHeight="1" thickTop="1" thickBot="1" x14ac:dyDescent="0.25">
      <c r="B8" s="662"/>
      <c r="C8" s="622" t="s">
        <v>54</v>
      </c>
      <c r="D8" s="792" t="str">
        <f>IF(_Pat_Gewicht&gt;0,IF(ROUND((E5)*4,0)&gt;150,150,VLOOKUP(ROUND(E5*4,0),S2:T362,2))&amp;" Joules Asynchroon","")</f>
        <v/>
      </c>
      <c r="E8" s="610"/>
      <c r="F8" s="610"/>
      <c r="G8" s="793" t="s">
        <v>0</v>
      </c>
      <c r="H8" s="644"/>
      <c r="I8" s="644"/>
      <c r="J8" s="729"/>
      <c r="K8" s="729"/>
      <c r="L8" s="730">
        <v>6</v>
      </c>
      <c r="M8" s="730">
        <v>20</v>
      </c>
      <c r="N8" s="730">
        <v>5.5</v>
      </c>
      <c r="O8" s="730">
        <v>6</v>
      </c>
      <c r="P8" s="730">
        <v>7.7</v>
      </c>
      <c r="Q8" s="730">
        <v>67</v>
      </c>
      <c r="R8" s="730"/>
      <c r="S8" s="730">
        <v>7</v>
      </c>
      <c r="T8" s="730">
        <v>7</v>
      </c>
      <c r="U8" s="730">
        <v>7</v>
      </c>
      <c r="V8" s="730"/>
      <c r="W8" s="730"/>
      <c r="X8" s="730"/>
      <c r="Y8" s="729"/>
    </row>
    <row r="9" spans="1:25 4305:4305" ht="20.100000000000001" customHeight="1" thickTop="1" thickBot="1" x14ac:dyDescent="0.25">
      <c r="B9" s="662"/>
      <c r="C9" s="622" t="s">
        <v>120</v>
      </c>
      <c r="D9" s="792" t="str">
        <f ca="1">IF(OR(ROUND(0.01*(E5),2)&gt;1,C5&gt;=18),"1 mg iv",ROUND(0.01*(E5),2)&amp;" mg iv")</f>
        <v>1 mg iv</v>
      </c>
      <c r="E9" s="610" t="str">
        <f>"= "&amp;IF(ROUND(0.01*(E5),2)&gt;1,"1 ml van 1mg = 10 ml (1:10.000)",ROUND(0.1*(E5),1)&amp;" ml van 1mg = 10 ml (1:10.000)")</f>
        <v>= 0 ml van 1mg = 10 ml (1:10.000)</v>
      </c>
      <c r="F9" s="610"/>
      <c r="G9" s="793" t="s">
        <v>1</v>
      </c>
      <c r="H9" s="644"/>
      <c r="I9" s="644"/>
      <c r="J9" s="729"/>
      <c r="K9" s="729"/>
      <c r="L9" s="730">
        <v>7</v>
      </c>
      <c r="M9" s="730">
        <v>20</v>
      </c>
      <c r="N9" s="730">
        <v>6</v>
      </c>
      <c r="O9" s="730">
        <v>7</v>
      </c>
      <c r="P9" s="730">
        <v>8.1999999999999993</v>
      </c>
      <c r="Q9" s="730">
        <v>69</v>
      </c>
      <c r="R9" s="730"/>
      <c r="S9" s="730">
        <v>8</v>
      </c>
      <c r="T9" s="730">
        <v>7</v>
      </c>
      <c r="U9" s="730"/>
      <c r="V9" s="730"/>
      <c r="W9" s="730"/>
      <c r="X9" s="730"/>
      <c r="Y9" s="729"/>
    </row>
    <row r="10" spans="1:25 4305:4305" ht="20.100000000000001" customHeight="1" thickTop="1" thickBot="1" x14ac:dyDescent="0.25">
      <c r="B10" s="662"/>
      <c r="C10" s="622" t="s">
        <v>55</v>
      </c>
      <c r="D10" s="792" t="str">
        <f>ROUND(IF(E5&gt;50,50,0.5*E5),0)&amp;" ml iv"</f>
        <v>0 ml iv</v>
      </c>
      <c r="E10" s="610"/>
      <c r="F10" s="610"/>
      <c r="G10" s="793" t="s">
        <v>2</v>
      </c>
      <c r="H10" s="644"/>
      <c r="I10" s="644"/>
      <c r="J10" s="729"/>
      <c r="K10" s="729"/>
      <c r="L10" s="730">
        <v>8</v>
      </c>
      <c r="M10" s="730">
        <v>20</v>
      </c>
      <c r="N10" s="730">
        <v>6</v>
      </c>
      <c r="O10" s="730">
        <v>8</v>
      </c>
      <c r="P10" s="730">
        <v>8.5</v>
      </c>
      <c r="Q10" s="730">
        <v>70</v>
      </c>
      <c r="R10" s="730"/>
      <c r="S10" s="730">
        <v>9</v>
      </c>
      <c r="T10" s="730">
        <v>7</v>
      </c>
      <c r="U10" s="730"/>
      <c r="V10" s="730"/>
      <c r="W10" s="730"/>
      <c r="X10" s="730"/>
      <c r="Y10" s="729"/>
    </row>
    <row r="11" spans="1:25 4305:4305" ht="20.100000000000001" customHeight="1" thickTop="1" thickBot="1" x14ac:dyDescent="0.25">
      <c r="B11" s="662"/>
      <c r="C11" s="622" t="s">
        <v>192</v>
      </c>
      <c r="D11" s="792" t="str">
        <f>IF(0.2*E5&lt;=25,0.2*E5&amp;" gram iv","25 gram iv")</f>
        <v>0 gram iv</v>
      </c>
      <c r="E11" s="610" t="str">
        <f>"="&amp;" "&amp;IF(2*E5&lt;=250,ROUND(2*E5,0)&amp;" ml glucose 10%","250 ml glucose 10%")</f>
        <v>= 0 ml glucose 10%</v>
      </c>
      <c r="F11" s="610"/>
      <c r="G11" s="793" t="s">
        <v>3</v>
      </c>
      <c r="H11" s="644"/>
      <c r="I11" s="644"/>
      <c r="J11" s="729"/>
      <c r="K11" s="729"/>
      <c r="L11" s="730">
        <v>9</v>
      </c>
      <c r="M11" s="730">
        <v>20</v>
      </c>
      <c r="N11" s="730">
        <v>6.5</v>
      </c>
      <c r="O11" s="730">
        <v>9</v>
      </c>
      <c r="P11" s="730">
        <v>9</v>
      </c>
      <c r="Q11" s="730">
        <v>72</v>
      </c>
      <c r="R11" s="730"/>
      <c r="S11" s="730">
        <v>10</v>
      </c>
      <c r="T11" s="730">
        <v>10</v>
      </c>
      <c r="U11" s="730">
        <v>10</v>
      </c>
      <c r="V11" s="730"/>
      <c r="W11" s="730"/>
      <c r="X11" s="730"/>
      <c r="Y11" s="729"/>
    </row>
    <row r="12" spans="1:25 4305:4305" ht="20.100000000000001" customHeight="1" thickTop="1" thickBot="1" x14ac:dyDescent="0.25">
      <c r="B12" s="662"/>
      <c r="C12" s="815" t="s">
        <v>56</v>
      </c>
      <c r="D12" s="794" t="str">
        <f>IF(ROUND(20*E5/10,0)*10&gt;500,500,ROUND(20*E5/10,0)*10)&amp;" ml fysiologisch zout iv per bolus"</f>
        <v>0 ml fysiologisch zout iv per bolus</v>
      </c>
      <c r="E12" s="795"/>
      <c r="F12" s="795"/>
      <c r="G12" s="796" t="s">
        <v>4</v>
      </c>
      <c r="H12" s="644"/>
      <c r="I12" s="644"/>
      <c r="J12" s="729"/>
      <c r="K12" s="729"/>
      <c r="L12" s="730">
        <v>10</v>
      </c>
      <c r="M12" s="730">
        <v>20</v>
      </c>
      <c r="N12" s="730">
        <v>6.5</v>
      </c>
      <c r="O12" s="730">
        <v>10</v>
      </c>
      <c r="P12" s="730">
        <v>9.3000000000000007</v>
      </c>
      <c r="Q12" s="730">
        <v>73</v>
      </c>
      <c r="R12" s="730"/>
      <c r="S12" s="730">
        <v>11</v>
      </c>
      <c r="T12" s="730">
        <v>10</v>
      </c>
      <c r="U12" s="730"/>
      <c r="V12" s="730"/>
      <c r="W12" s="730"/>
      <c r="X12" s="730"/>
      <c r="Y12" s="729"/>
    </row>
    <row r="13" spans="1:25 4305:4305" ht="20.100000000000001" customHeight="1" thickBot="1" x14ac:dyDescent="0.25">
      <c r="B13" s="692"/>
      <c r="C13" s="644"/>
      <c r="D13" s="640"/>
      <c r="E13" s="644"/>
      <c r="F13" s="644"/>
      <c r="G13" s="734"/>
      <c r="H13" s="644"/>
      <c r="I13" s="644"/>
      <c r="J13" s="729"/>
      <c r="K13" s="729"/>
      <c r="L13" s="730">
        <v>11</v>
      </c>
      <c r="M13" s="730">
        <v>20</v>
      </c>
      <c r="N13" s="730">
        <v>7</v>
      </c>
      <c r="O13" s="730">
        <v>11</v>
      </c>
      <c r="P13" s="730">
        <v>9.5</v>
      </c>
      <c r="Q13" s="730">
        <v>74</v>
      </c>
      <c r="R13" s="730"/>
      <c r="S13" s="730">
        <v>12</v>
      </c>
      <c r="T13" s="730">
        <v>10</v>
      </c>
      <c r="U13" s="730"/>
      <c r="V13" s="730"/>
      <c r="W13" s="730"/>
      <c r="X13" s="730"/>
      <c r="Y13" s="729"/>
    </row>
    <row r="14" spans="1:25 4305:4305" ht="20.100000000000001" customHeight="1" thickBot="1" x14ac:dyDescent="0.25">
      <c r="B14" s="662" t="s">
        <v>380</v>
      </c>
      <c r="C14" s="814" t="s">
        <v>323</v>
      </c>
      <c r="D14" s="789" t="str">
        <f>IF(0.5*E5&gt;20,"20 mg iv",0.5*E5&amp;" mg iv")</f>
        <v>0 mg iv</v>
      </c>
      <c r="E14" s="790" t="str">
        <f>"= "&amp;IF(0.5*E5&gt;20,"10 ml van een 2 mg/ml oplossing",ROUND(0.5*E5*0.5,1)&amp;" ml van een 2 mg/ml oplossing")</f>
        <v>= 0 ml van een 2 mg/ml oplossing</v>
      </c>
      <c r="F14" s="790"/>
      <c r="G14" s="791" t="s">
        <v>5</v>
      </c>
      <c r="H14" s="644"/>
      <c r="I14" s="644"/>
      <c r="J14" s="729"/>
      <c r="K14" s="729"/>
      <c r="L14" s="730">
        <v>12</v>
      </c>
      <c r="M14" s="730">
        <v>15</v>
      </c>
      <c r="N14" s="730">
        <v>7</v>
      </c>
      <c r="O14" s="730">
        <v>12</v>
      </c>
      <c r="P14" s="730">
        <v>10</v>
      </c>
      <c r="Q14" s="730">
        <v>76</v>
      </c>
      <c r="R14" s="730"/>
      <c r="S14" s="730">
        <v>13</v>
      </c>
      <c r="T14" s="730">
        <v>10</v>
      </c>
      <c r="U14" s="730"/>
      <c r="V14" s="730"/>
      <c r="W14" s="730"/>
      <c r="X14" s="730"/>
      <c r="Y14" s="729"/>
    </row>
    <row r="15" spans="1:25 4305:4305" ht="20.100000000000001" customHeight="1" thickTop="1" thickBot="1" x14ac:dyDescent="0.25">
      <c r="B15" s="662"/>
      <c r="C15" s="622" t="s">
        <v>273</v>
      </c>
      <c r="D15" s="792" t="str">
        <f>IF(ROUND(1*(E5),1)&gt;100,"100 mg iv",ROUND(1*(E5),1)&amp;" mg iv")</f>
        <v>0 mg iv</v>
      </c>
      <c r="E15" s="610" t="str">
        <f>"= "&amp;IF(ROUND(1*(E5),1)&gt;100,"10 ml"&amp;" van een 1mg/ml oplossing",ROUND(0.1*(E5),1)&amp;" ml"&amp;" van een 10 mg/ml oplossing")</f>
        <v>= 0 ml van een 10 mg/ml oplossing</v>
      </c>
      <c r="F15" s="610"/>
      <c r="G15" s="793" t="s">
        <v>6</v>
      </c>
      <c r="H15" s="644"/>
      <c r="I15" s="644"/>
      <c r="J15" s="729"/>
      <c r="K15" s="729"/>
      <c r="L15" s="730">
        <v>13</v>
      </c>
      <c r="M15" s="730">
        <v>15</v>
      </c>
      <c r="N15" s="730">
        <v>7</v>
      </c>
      <c r="O15" s="730"/>
      <c r="P15" s="730"/>
      <c r="Q15" s="730"/>
      <c r="R15" s="730"/>
      <c r="S15" s="730">
        <v>14</v>
      </c>
      <c r="T15" s="730">
        <v>10</v>
      </c>
      <c r="U15" s="730"/>
      <c r="V15" s="730"/>
      <c r="W15" s="730"/>
      <c r="X15" s="730"/>
      <c r="Y15" s="729"/>
    </row>
    <row r="16" spans="1:25 4305:4305" ht="20.100000000000001" customHeight="1" thickTop="1" thickBot="1" x14ac:dyDescent="0.25">
      <c r="B16" s="662"/>
      <c r="C16" s="622" t="s">
        <v>324</v>
      </c>
      <c r="D16" s="792" t="str">
        <f>IF(ROUND(0.02*(E5),1)&lt;0.1,"0,1 mg iv",IF(ROUND(0.02*(E5),1)&gt;0.5,"0,5 mg iv",ROUND(0.02*(E5),1)&amp;" mg iv"))</f>
        <v>0,1 mg iv</v>
      </c>
      <c r="E16" s="884" t="str">
        <f>"= "&amp;IF(ROUND(0.02*(E5),1)&lt;0.1,0.1,IF(ROUND(0.02*(E5),1)&gt;0.5,0.5,ROUND(0.02*(E5),1)))*2&amp;" ml van 0,5 mg/ml (min 0,1 mg)"</f>
        <v>= 0,2 ml van 0,5 mg/ml (min 0,1 mg)</v>
      </c>
      <c r="F16" s="884"/>
      <c r="G16" s="793" t="s">
        <v>7</v>
      </c>
      <c r="H16" s="644"/>
      <c r="I16" s="644"/>
      <c r="J16" s="729"/>
      <c r="K16" s="729"/>
      <c r="L16" s="730">
        <v>14</v>
      </c>
      <c r="M16" s="730">
        <v>15</v>
      </c>
      <c r="N16" s="730">
        <v>7</v>
      </c>
      <c r="O16" s="730"/>
      <c r="P16" s="730"/>
      <c r="Q16" s="730"/>
      <c r="R16" s="730"/>
      <c r="S16" s="730">
        <v>15</v>
      </c>
      <c r="T16" s="730">
        <v>10</v>
      </c>
      <c r="U16" s="730"/>
      <c r="V16" s="730"/>
      <c r="W16" s="730"/>
      <c r="X16" s="730"/>
      <c r="Y16" s="729"/>
    </row>
    <row r="17" spans="2:25" ht="20.100000000000001" customHeight="1" thickTop="1" thickBot="1" x14ac:dyDescent="0.25">
      <c r="B17" s="662"/>
      <c r="C17" s="815"/>
      <c r="D17" s="794"/>
      <c r="E17" s="885"/>
      <c r="F17" s="885"/>
      <c r="G17" s="796"/>
      <c r="H17" s="644"/>
      <c r="I17" s="644"/>
      <c r="J17" s="729"/>
      <c r="K17" s="729"/>
      <c r="L17" s="730">
        <v>15</v>
      </c>
      <c r="M17" s="730">
        <v>15</v>
      </c>
      <c r="N17" s="730">
        <v>7</v>
      </c>
      <c r="O17" s="730"/>
      <c r="P17" s="730"/>
      <c r="Q17" s="730"/>
      <c r="R17" s="730"/>
      <c r="S17" s="730">
        <v>16</v>
      </c>
      <c r="T17" s="730">
        <v>20</v>
      </c>
      <c r="U17" s="730"/>
      <c r="V17" s="730"/>
      <c r="W17" s="730"/>
      <c r="X17" s="730"/>
      <c r="Y17" s="729"/>
    </row>
    <row r="18" spans="2:25" ht="15.75" customHeight="1" thickBot="1" x14ac:dyDescent="0.25">
      <c r="B18" s="692"/>
      <c r="C18" s="733"/>
      <c r="D18" s="640"/>
      <c r="E18" s="735"/>
      <c r="F18" s="735"/>
      <c r="G18" s="734"/>
      <c r="H18" s="736"/>
      <c r="I18" s="736"/>
      <c r="J18" s="737"/>
      <c r="K18" s="729"/>
      <c r="L18" s="730">
        <v>16</v>
      </c>
      <c r="M18" s="730">
        <v>15</v>
      </c>
      <c r="N18" s="730">
        <v>7</v>
      </c>
      <c r="O18" s="730"/>
      <c r="P18" s="730"/>
      <c r="Q18" s="730"/>
      <c r="R18" s="730"/>
      <c r="S18" s="730">
        <v>17</v>
      </c>
      <c r="T18" s="730">
        <v>20</v>
      </c>
      <c r="U18" s="730"/>
      <c r="V18" s="730"/>
      <c r="W18" s="730"/>
      <c r="X18" s="730"/>
      <c r="Y18" s="729"/>
    </row>
    <row r="19" spans="2:25" ht="20.100000000000001" customHeight="1" thickBot="1" x14ac:dyDescent="0.25">
      <c r="B19" s="662" t="s">
        <v>268</v>
      </c>
      <c r="C19" s="814" t="s">
        <v>92</v>
      </c>
      <c r="D19" s="789" t="str">
        <f>IF(0.02*E5&gt;0.3,"0,3 mg iv",0.02*E5&amp;" mg iv")</f>
        <v>0 mg iv</v>
      </c>
      <c r="E19" s="790" t="str">
        <f>"= "&amp;IF(0.02*E5&gt;1,"10 ml van anexate 0,1 mg/ml",ROUND((0.02*E5)/0.1,1)&amp;" ml van anexate 0,1 mg/ml")</f>
        <v>= 0 ml van anexate 0,1 mg/ml</v>
      </c>
      <c r="F19" s="790"/>
      <c r="G19" s="791" t="s">
        <v>8</v>
      </c>
      <c r="H19" s="736"/>
      <c r="I19" s="736"/>
      <c r="J19" s="737"/>
      <c r="K19" s="729"/>
      <c r="L19" s="730">
        <v>17</v>
      </c>
      <c r="M19" s="730">
        <v>15</v>
      </c>
      <c r="N19" s="730">
        <v>7</v>
      </c>
      <c r="O19" s="730"/>
      <c r="P19" s="730"/>
      <c r="Q19" s="730"/>
      <c r="R19" s="730"/>
      <c r="S19" s="730">
        <v>18</v>
      </c>
      <c r="T19" s="730">
        <v>20</v>
      </c>
      <c r="U19" s="730"/>
      <c r="V19" s="730"/>
      <c r="W19" s="730"/>
      <c r="X19" s="730"/>
      <c r="Y19" s="729"/>
    </row>
    <row r="20" spans="2:25" ht="20.100000000000001" customHeight="1" thickTop="1" thickBot="1" x14ac:dyDescent="0.25">
      <c r="B20" s="662"/>
      <c r="C20" s="622" t="s">
        <v>325</v>
      </c>
      <c r="D20" s="792" t="str">
        <f>IF(0.01*E5&gt;0.4,"0,4 mg iv",0.01*E5&amp;" mg iv")</f>
        <v>0 mg iv</v>
      </c>
      <c r="E20" s="884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884"/>
      <c r="G20" s="793" t="s">
        <v>9</v>
      </c>
      <c r="H20" s="644"/>
      <c r="I20" s="644"/>
      <c r="J20" s="729"/>
      <c r="K20" s="729"/>
      <c r="L20" s="730">
        <v>18</v>
      </c>
      <c r="M20" s="730">
        <v>15</v>
      </c>
      <c r="N20" s="730">
        <v>7</v>
      </c>
      <c r="O20" s="730"/>
      <c r="P20" s="730"/>
      <c r="Q20" s="730"/>
      <c r="R20" s="730"/>
      <c r="S20" s="730">
        <v>19</v>
      </c>
      <c r="T20" s="730">
        <v>20</v>
      </c>
      <c r="U20" s="730"/>
      <c r="V20" s="730"/>
      <c r="W20" s="730"/>
      <c r="X20" s="730"/>
      <c r="Y20" s="729"/>
    </row>
    <row r="21" spans="2:25" ht="20.100000000000001" customHeight="1" thickTop="1" thickBot="1" x14ac:dyDescent="0.25">
      <c r="B21" s="662"/>
      <c r="C21" s="815"/>
      <c r="D21" s="794"/>
      <c r="E21" s="885"/>
      <c r="F21" s="885"/>
      <c r="G21" s="796"/>
      <c r="H21" s="644"/>
      <c r="I21" s="644"/>
      <c r="J21" s="729"/>
      <c r="K21" s="729"/>
      <c r="L21" s="730"/>
      <c r="M21" s="730"/>
      <c r="N21" s="730"/>
      <c r="O21" s="730"/>
      <c r="P21" s="730"/>
      <c r="Q21" s="730"/>
      <c r="R21" s="730"/>
      <c r="S21" s="730">
        <v>20</v>
      </c>
      <c r="T21" s="730">
        <v>20</v>
      </c>
      <c r="U21" s="730">
        <v>20</v>
      </c>
      <c r="V21" s="730"/>
      <c r="W21" s="730"/>
      <c r="X21" s="730"/>
      <c r="Y21" s="729"/>
    </row>
    <row r="22" spans="2:25" ht="20.100000000000001" customHeight="1" thickBot="1" x14ac:dyDescent="0.25">
      <c r="B22" s="692"/>
      <c r="C22" s="733"/>
      <c r="D22" s="640"/>
      <c r="E22" s="735"/>
      <c r="F22" s="735"/>
      <c r="G22" s="734"/>
      <c r="H22" s="644"/>
      <c r="I22" s="644"/>
      <c r="J22" s="729"/>
      <c r="K22" s="729"/>
      <c r="L22" s="730"/>
      <c r="M22" s="730"/>
      <c r="N22" s="730"/>
      <c r="O22" s="730"/>
      <c r="P22" s="730"/>
      <c r="Q22" s="730"/>
      <c r="R22" s="730"/>
      <c r="S22" s="730">
        <v>21</v>
      </c>
      <c r="T22" s="730">
        <v>30</v>
      </c>
      <c r="U22" s="730"/>
      <c r="V22" s="730"/>
      <c r="W22" s="730"/>
      <c r="X22" s="730"/>
      <c r="Y22" s="729"/>
    </row>
    <row r="23" spans="2:25" ht="20.100000000000001" customHeight="1" thickBot="1" x14ac:dyDescent="0.25">
      <c r="B23" s="662" t="s">
        <v>269</v>
      </c>
      <c r="C23" s="814" t="str">
        <f ca="1">IF(C5=0,"alprostadil (Prostin)","")</f>
        <v/>
      </c>
      <c r="D23" s="789" t="str">
        <f ca="1">IF(C5=0,"0,5 mg in 50 ml NaCl 0.9%","")</f>
        <v/>
      </c>
      <c r="E23" s="790" t="str">
        <f ca="1">IF(C5=0,"1 ml/uur = "&amp;ROUND(1000*(0.5/50)*24/(E5)/1.44,0)&amp;" nanog/kg/min iv","")</f>
        <v/>
      </c>
      <c r="F23" s="790"/>
      <c r="G23" s="791" t="s">
        <v>318</v>
      </c>
      <c r="H23" s="644"/>
      <c r="I23" s="644"/>
      <c r="J23" s="729"/>
      <c r="K23" s="729"/>
      <c r="L23" s="730"/>
      <c r="M23" s="730"/>
      <c r="N23" s="730"/>
      <c r="O23" s="730"/>
      <c r="P23" s="730"/>
      <c r="Q23" s="730"/>
      <c r="R23" s="730"/>
      <c r="S23" s="730">
        <v>22</v>
      </c>
      <c r="T23" s="730">
        <v>30</v>
      </c>
      <c r="U23" s="730"/>
      <c r="V23" s="730"/>
      <c r="W23" s="730"/>
      <c r="X23" s="730"/>
      <c r="Y23" s="729"/>
    </row>
    <row r="24" spans="2:25" ht="20.100000000000001" customHeight="1" thickTop="1" thickBot="1" x14ac:dyDescent="0.25">
      <c r="B24" s="662"/>
      <c r="C24" s="622" t="s">
        <v>98</v>
      </c>
      <c r="D24" s="792" t="str">
        <f>IF(E5&gt;5,"200 mg in 50 ml NaCl 0.9%",ROUND(((E5)*24*60*(10/1000)/(24/50))/50,0)*50&amp;" mg in 50 ml NaCl 0.9%")</f>
        <v>0 mg in 50 ml NaCl 0.9%</v>
      </c>
      <c r="E24" s="610" t="str">
        <f>IF(_Pat_Gewicht&gt;0,"1 ml/uur = "&amp;IF(E5&gt;5,ROUND((200/50/E5/60)*1000,1),ROUND(24*ROUND(((E5)*24*60*(10/1000)/(24/50))/50,0)*50/50/1.44/E5,1))&amp;" mcg/kg/min","")</f>
        <v/>
      </c>
      <c r="F24" s="610"/>
      <c r="G24" s="793" t="s">
        <v>329</v>
      </c>
      <c r="H24" s="644"/>
      <c r="I24" s="644"/>
      <c r="J24" s="729"/>
      <c r="K24" s="729"/>
      <c r="L24" s="730"/>
      <c r="M24" s="730"/>
      <c r="N24" s="730"/>
      <c r="O24" s="730"/>
      <c r="P24" s="730"/>
      <c r="Q24" s="730"/>
      <c r="R24" s="730"/>
      <c r="S24" s="730">
        <v>23</v>
      </c>
      <c r="T24" s="730">
        <v>30</v>
      </c>
      <c r="U24" s="730"/>
      <c r="V24" s="730"/>
      <c r="W24" s="730"/>
      <c r="X24" s="730"/>
      <c r="Y24" s="729"/>
    </row>
    <row r="25" spans="2:25" ht="20.100000000000001" customHeight="1" thickTop="1" thickBot="1" x14ac:dyDescent="0.25">
      <c r="B25" s="662"/>
      <c r="C25" s="815" t="s">
        <v>99</v>
      </c>
      <c r="D25" s="794" t="str">
        <f>IF(_Pat_Gewicht/15&gt;5,"10 mg in 50 ml NaCl 0.9%",ROUND((E5)*24*60*(0.1/1000)/(24/50)/5,1)*5&amp;" mg in 50 ml NaCl 0.9%")</f>
        <v>0 mg in 50 ml NaCl 0.9%</v>
      </c>
      <c r="E25" s="795" t="str">
        <f>IF(_Pat_Gewicht&gt;0,"1 ml/uur = "&amp;IF(E5&gt;5,ROUND((10/50/E5/60)*1000,2),ROUND(24*ROUND((E5)*24*60*(0.1/1000)/(24/50)/5,1)*5/50/1.44/E5,2))&amp;" mcg/kg/min","")</f>
        <v/>
      </c>
      <c r="F25" s="795"/>
      <c r="G25" s="796" t="s">
        <v>389</v>
      </c>
      <c r="H25" s="644"/>
      <c r="I25" s="644"/>
      <c r="J25" s="729"/>
      <c r="K25" s="729"/>
      <c r="L25" s="730"/>
      <c r="M25" s="730"/>
      <c r="N25" s="730"/>
      <c r="O25" s="730"/>
      <c r="P25" s="730"/>
      <c r="Q25" s="730"/>
      <c r="R25" s="730"/>
      <c r="S25" s="730">
        <v>24</v>
      </c>
      <c r="T25" s="730">
        <v>30</v>
      </c>
      <c r="U25" s="730"/>
      <c r="V25" s="730"/>
      <c r="W25" s="730"/>
      <c r="X25" s="730"/>
      <c r="Y25" s="729"/>
    </row>
    <row r="26" spans="2:25" ht="20.100000000000001" customHeight="1" thickBot="1" x14ac:dyDescent="0.25">
      <c r="B26" s="692"/>
      <c r="C26" s="644"/>
      <c r="D26" s="640"/>
      <c r="E26" s="644"/>
      <c r="F26" s="644"/>
      <c r="G26" s="734"/>
      <c r="H26" s="644"/>
      <c r="I26" s="644"/>
      <c r="J26" s="729"/>
      <c r="K26" s="729"/>
      <c r="L26" s="730"/>
      <c r="M26" s="730"/>
      <c r="N26" s="730"/>
      <c r="O26" s="730"/>
      <c r="P26" s="730"/>
      <c r="Q26" s="730"/>
      <c r="R26" s="730"/>
      <c r="S26" s="730">
        <v>25</v>
      </c>
      <c r="T26" s="730">
        <v>30</v>
      </c>
      <c r="U26" s="730"/>
      <c r="V26" s="730"/>
      <c r="W26" s="730"/>
      <c r="X26" s="730"/>
      <c r="Y26" s="729"/>
    </row>
    <row r="27" spans="2:25" ht="20.100000000000001" customHeight="1" thickBot="1" x14ac:dyDescent="0.25">
      <c r="B27" s="882" t="s">
        <v>270</v>
      </c>
      <c r="C27" s="814" t="s">
        <v>431</v>
      </c>
      <c r="D27" s="789" t="str">
        <f>IF(ROUND(E5/2,0)*2&gt;50,"300 mg iv",ROUND(E5*5,0)&amp;" mg iv")</f>
        <v>0 mg iv</v>
      </c>
      <c r="E27" s="790" t="str">
        <f>IF(ROUND(E5/2,0)*2&gt;50,"6 ml van amiodarone 50 mg/ml iv",ROUND(E5*0.1,1)&amp;" ml van amiodarone 50 mg/ml iv")</f>
        <v>0 ml van amiodarone 50 mg/ml iv</v>
      </c>
      <c r="F27" s="790"/>
      <c r="G27" s="791" t="s">
        <v>10</v>
      </c>
      <c r="H27" s="644"/>
      <c r="I27" s="644"/>
      <c r="J27" s="729"/>
      <c r="K27" s="729"/>
      <c r="L27" s="730"/>
      <c r="M27" s="730"/>
      <c r="N27" s="730"/>
      <c r="O27" s="730"/>
      <c r="P27" s="730"/>
      <c r="Q27" s="730"/>
      <c r="R27" s="730"/>
      <c r="S27" s="730">
        <v>26</v>
      </c>
      <c r="T27" s="730">
        <v>30</v>
      </c>
      <c r="U27" s="730"/>
      <c r="V27" s="730"/>
      <c r="W27" s="730"/>
      <c r="X27" s="730"/>
      <c r="Y27" s="729"/>
    </row>
    <row r="28" spans="2:25" ht="20.100000000000001" customHeight="1" thickTop="1" thickBot="1" x14ac:dyDescent="0.25">
      <c r="B28" s="883"/>
      <c r="C28" s="815" t="s">
        <v>313</v>
      </c>
      <c r="D28" s="794" t="str">
        <f>IF(E5/10&gt;10,"10 ml iv",E5/10 &amp;" ml iv")</f>
        <v>0 ml iv</v>
      </c>
      <c r="E28" s="795" t="s">
        <v>238</v>
      </c>
      <c r="F28" s="795"/>
      <c r="G28" s="796" t="s">
        <v>11</v>
      </c>
      <c r="H28" s="644"/>
      <c r="I28" s="644"/>
      <c r="J28" s="729"/>
      <c r="K28" s="729"/>
      <c r="L28" s="730"/>
      <c r="M28" s="730"/>
      <c r="N28" s="730"/>
      <c r="O28" s="730"/>
      <c r="P28" s="730"/>
      <c r="Q28" s="730"/>
      <c r="R28" s="730"/>
      <c r="S28" s="730">
        <v>27</v>
      </c>
      <c r="T28" s="730">
        <v>30</v>
      </c>
      <c r="U28" s="730"/>
      <c r="V28" s="730"/>
      <c r="W28" s="730"/>
      <c r="X28" s="730"/>
      <c r="Y28" s="729"/>
    </row>
    <row r="29" spans="2:25" ht="20.100000000000001" customHeight="1" thickBot="1" x14ac:dyDescent="0.25">
      <c r="B29" s="692"/>
      <c r="C29" s="644"/>
      <c r="D29" s="640"/>
      <c r="E29" s="644"/>
      <c r="F29" s="644"/>
      <c r="G29" s="734"/>
      <c r="H29" s="644"/>
      <c r="I29" s="644"/>
      <c r="J29" s="729"/>
      <c r="K29" s="729"/>
      <c r="L29" s="730"/>
      <c r="M29" s="730"/>
      <c r="N29" s="730"/>
      <c r="O29" s="730"/>
      <c r="P29" s="730"/>
      <c r="Q29" s="730"/>
      <c r="R29" s="730"/>
      <c r="S29" s="730">
        <v>28</v>
      </c>
      <c r="T29" s="730">
        <v>30</v>
      </c>
      <c r="U29" s="730"/>
      <c r="V29" s="730"/>
      <c r="W29" s="730"/>
      <c r="X29" s="730"/>
      <c r="Y29" s="729"/>
    </row>
    <row r="30" spans="2:25" ht="20.100000000000001" customHeight="1" thickBot="1" x14ac:dyDescent="0.25">
      <c r="B30" s="881" t="s">
        <v>86</v>
      </c>
      <c r="C30" s="814" t="s">
        <v>100</v>
      </c>
      <c r="D30" s="789" t="str">
        <f>IF((0.5*E5)&gt;10,"10 mg rect",(0.5*E5)&amp;" mg rect")</f>
        <v>0 mg rect</v>
      </c>
      <c r="E30" s="790" t="str">
        <f>"= "&amp;IF((0.5*E5)&gt;10,"5 ml van diazepam 2 mg/ml",ROUND((0.5*E5)/2,1)&amp;" ml van diazepam 2 mg/ml")</f>
        <v>= 0 ml van diazepam 2 mg/ml</v>
      </c>
      <c r="F30" s="790"/>
      <c r="G30" s="791" t="s">
        <v>12</v>
      </c>
      <c r="H30" s="644"/>
      <c r="I30" s="644"/>
      <c r="J30" s="729"/>
      <c r="K30" s="729"/>
      <c r="L30" s="730"/>
      <c r="M30" s="730"/>
      <c r="N30" s="730"/>
      <c r="O30" s="730"/>
      <c r="P30" s="730"/>
      <c r="Q30" s="730"/>
      <c r="R30" s="730"/>
      <c r="S30" s="730">
        <v>29</v>
      </c>
      <c r="T30" s="730">
        <v>30</v>
      </c>
      <c r="U30" s="730"/>
      <c r="V30" s="730"/>
      <c r="W30" s="730"/>
      <c r="X30" s="730"/>
      <c r="Y30" s="729"/>
    </row>
    <row r="31" spans="2:25" ht="20.100000000000001" customHeight="1" thickTop="1" thickBot="1" x14ac:dyDescent="0.25">
      <c r="B31" s="881"/>
      <c r="C31" s="622" t="s">
        <v>272</v>
      </c>
      <c r="D31" s="792" t="str">
        <f>IF((20*E5)&gt;1500,"1500 mg iv",20*E5&amp;" mg iv")</f>
        <v>0 mg iv</v>
      </c>
      <c r="E31" s="884" t="str">
        <f>"= "&amp;IF((20*E5)&gt;750,"15 ml van fenytoine 50 mg/ml in 20 ml NaCl 0.9% langzaam iv",ROUND((15*E5)/50,1)&amp;" ml van fenytoine 50 mg/ml in 20 ml NaCl 0.9% langzaam iv")</f>
        <v>= 0 ml van fenytoine 50 mg/ml in 20 ml NaCl 0.9% langzaam iv</v>
      </c>
      <c r="F31" s="884"/>
      <c r="G31" s="797" t="s">
        <v>29</v>
      </c>
      <c r="H31" s="644"/>
      <c r="I31" s="644"/>
      <c r="J31" s="729"/>
      <c r="L31" s="730"/>
      <c r="M31" s="730"/>
      <c r="N31" s="730"/>
      <c r="O31" s="730"/>
      <c r="P31" s="730"/>
      <c r="Q31" s="730"/>
      <c r="R31" s="730"/>
      <c r="S31" s="730">
        <v>30</v>
      </c>
      <c r="T31" s="730">
        <v>30</v>
      </c>
      <c r="U31" s="730">
        <v>30</v>
      </c>
      <c r="V31" s="730"/>
      <c r="W31" s="730"/>
      <c r="X31" s="730"/>
      <c r="Y31" s="729"/>
    </row>
    <row r="32" spans="2:25" ht="20.100000000000001" customHeight="1" thickTop="1" thickBot="1" x14ac:dyDescent="0.25">
      <c r="B32" s="662"/>
      <c r="C32" s="622"/>
      <c r="D32" s="792"/>
      <c r="E32" s="884"/>
      <c r="F32" s="884"/>
      <c r="G32" s="793"/>
      <c r="H32" s="644"/>
      <c r="I32" s="644"/>
      <c r="L32" s="730"/>
      <c r="M32" s="730"/>
      <c r="N32" s="730"/>
      <c r="O32" s="730"/>
      <c r="P32" s="730"/>
      <c r="Q32" s="730"/>
      <c r="R32" s="730"/>
      <c r="S32" s="730">
        <v>31</v>
      </c>
      <c r="T32" s="730">
        <v>50</v>
      </c>
      <c r="U32" s="730"/>
      <c r="V32" s="730"/>
      <c r="W32" s="730"/>
      <c r="X32" s="730"/>
      <c r="Y32" s="729"/>
    </row>
    <row r="33" spans="2:25" ht="12.75" customHeight="1" thickTop="1" thickBot="1" x14ac:dyDescent="0.25">
      <c r="B33" s="662"/>
      <c r="C33" s="815" t="s">
        <v>356</v>
      </c>
      <c r="D33" s="794" t="str">
        <f>IF((0.1*E5)&gt;10,"10 mg iv",0.1*E5&amp;" mg iv")</f>
        <v>0 mg iv</v>
      </c>
      <c r="E33" s="795" t="str">
        <f>"= "&amp;IF((0.1*E5)&gt;15,10,ROUND((0.1*E5),1))&amp;" ml van dormicum 1 mg/ml iv"</f>
        <v>= 0 ml van dormicum 1 mg/ml iv</v>
      </c>
      <c r="F33" s="795"/>
      <c r="G33" s="798" t="s">
        <v>13</v>
      </c>
      <c r="H33" s="644"/>
      <c r="I33" s="644"/>
      <c r="L33" s="730"/>
      <c r="M33" s="730"/>
      <c r="N33" s="730"/>
      <c r="O33" s="730"/>
      <c r="P33" s="730"/>
      <c r="Q33" s="730"/>
      <c r="R33" s="730"/>
      <c r="S33" s="730">
        <v>32</v>
      </c>
      <c r="T33" s="730">
        <v>50</v>
      </c>
      <c r="U33" s="730"/>
      <c r="V33" s="730"/>
      <c r="W33" s="730"/>
      <c r="X33" s="730"/>
      <c r="Y33" s="729"/>
    </row>
    <row r="34" spans="2:25" ht="13.5" customHeight="1" thickBot="1" x14ac:dyDescent="0.25">
      <c r="B34" s="692"/>
      <c r="C34" s="644"/>
      <c r="D34" s="640"/>
      <c r="E34" s="644"/>
      <c r="F34" s="644"/>
      <c r="G34" s="738"/>
      <c r="H34" s="644"/>
      <c r="I34" s="644"/>
      <c r="L34" s="730"/>
      <c r="M34" s="730"/>
      <c r="N34" s="730"/>
      <c r="O34" s="730"/>
      <c r="P34" s="730"/>
      <c r="Q34" s="730"/>
      <c r="R34" s="730"/>
      <c r="S34" s="730">
        <v>33</v>
      </c>
      <c r="T34" s="730">
        <v>50</v>
      </c>
      <c r="U34" s="730"/>
      <c r="V34" s="730"/>
      <c r="W34" s="730"/>
      <c r="X34" s="730"/>
      <c r="Y34" s="729"/>
    </row>
    <row r="35" spans="2:25" ht="19.5" customHeight="1" thickBot="1" x14ac:dyDescent="0.25">
      <c r="B35" s="662" t="s">
        <v>87</v>
      </c>
      <c r="C35" s="814" t="s">
        <v>401</v>
      </c>
      <c r="D35" s="789" t="str">
        <f>IF(1*(E5&gt;25),"25 mg iv",1*(E5)&amp;" mg iv")</f>
        <v>0 mg iv</v>
      </c>
      <c r="E35" s="790"/>
      <c r="F35" s="790"/>
      <c r="G35" s="791" t="s">
        <v>14</v>
      </c>
      <c r="H35" s="644"/>
      <c r="I35" s="644"/>
      <c r="L35" s="730"/>
      <c r="M35" s="730"/>
      <c r="N35" s="730"/>
      <c r="O35" s="730"/>
      <c r="P35" s="730"/>
      <c r="Q35" s="730"/>
      <c r="R35" s="730"/>
      <c r="S35" s="730">
        <v>34</v>
      </c>
      <c r="T35" s="730">
        <v>50</v>
      </c>
      <c r="U35" s="730"/>
      <c r="V35" s="730"/>
      <c r="W35" s="730"/>
      <c r="X35" s="730"/>
      <c r="Y35" s="729"/>
    </row>
    <row r="36" spans="2:25" ht="19.5" customHeight="1" thickTop="1" thickBot="1" x14ac:dyDescent="0.25">
      <c r="B36" s="662"/>
      <c r="C36" s="815" t="s">
        <v>101</v>
      </c>
      <c r="D36" s="794" t="str">
        <f>IF(ROUND((0.5*E5),1)&gt;50,"50 gram iv",ROUND((0.5*E5),1)&amp;" gram iv")</f>
        <v>0 gram iv</v>
      </c>
      <c r="E36" s="795" t="str">
        <f>"= "&amp;IF(ROUND((0.5*E5),1)&gt;50,ROUND(50/0.15,0),ROUND((0.5*E5)/0.15,0))&amp;" ml van mannitol 15% in 30 min iv"</f>
        <v>= 0 ml van mannitol 15% in 30 min iv</v>
      </c>
      <c r="F36" s="795"/>
      <c r="G36" s="796" t="s">
        <v>15</v>
      </c>
      <c r="H36" s="644"/>
      <c r="I36" s="644"/>
      <c r="L36" s="730"/>
      <c r="M36" s="730"/>
      <c r="N36" s="730"/>
      <c r="O36" s="730"/>
      <c r="P36" s="730"/>
      <c r="Q36" s="730"/>
      <c r="R36" s="730"/>
      <c r="S36" s="730">
        <v>35</v>
      </c>
      <c r="T36" s="730">
        <v>50</v>
      </c>
      <c r="U36" s="730"/>
      <c r="V36" s="730"/>
      <c r="W36" s="730"/>
      <c r="X36" s="730"/>
      <c r="Y36" s="729"/>
    </row>
    <row r="37" spans="2:25" ht="25.5" customHeight="1" thickBot="1" x14ac:dyDescent="0.25">
      <c r="B37" s="692"/>
      <c r="C37" s="644"/>
      <c r="D37" s="640"/>
      <c r="E37" s="644"/>
      <c r="F37" s="644"/>
      <c r="G37" s="739"/>
      <c r="H37" s="644"/>
      <c r="I37" s="644"/>
      <c r="L37" s="730"/>
      <c r="M37" s="730"/>
      <c r="N37" s="730"/>
      <c r="O37" s="730"/>
      <c r="P37" s="730"/>
      <c r="Q37" s="730"/>
      <c r="R37" s="730"/>
      <c r="S37" s="730">
        <v>36</v>
      </c>
      <c r="T37" s="730">
        <v>50</v>
      </c>
      <c r="U37" s="730"/>
      <c r="V37" s="730"/>
      <c r="W37" s="730"/>
      <c r="X37" s="730"/>
      <c r="Y37" s="729"/>
    </row>
    <row r="38" spans="2:25" ht="19.5" customHeight="1" thickBot="1" x14ac:dyDescent="0.25">
      <c r="B38" s="662" t="s">
        <v>102</v>
      </c>
      <c r="C38" s="816" t="s">
        <v>297</v>
      </c>
      <c r="D38" s="789" t="str">
        <f ca="1">"AMV "&amp;ROUND(E5*8*VLOOKUP(C5,L2:M20,2)/1000,1)&amp;" L/min"</f>
        <v>AMV 0 L/min</v>
      </c>
      <c r="E38" s="790"/>
      <c r="F38" s="790" t="s">
        <v>103</v>
      </c>
      <c r="G38" s="799"/>
      <c r="H38" s="644"/>
      <c r="I38" s="644"/>
      <c r="L38" s="730"/>
      <c r="M38" s="730"/>
      <c r="N38" s="730"/>
      <c r="O38" s="730"/>
      <c r="P38" s="730"/>
      <c r="Q38" s="730"/>
      <c r="R38" s="730"/>
      <c r="S38" s="730"/>
      <c r="T38" s="730"/>
      <c r="U38" s="730"/>
      <c r="V38" s="730"/>
      <c r="W38" s="730"/>
      <c r="X38" s="730"/>
      <c r="Y38" s="729"/>
    </row>
    <row r="39" spans="2:25" ht="19.5" customHeight="1" thickTop="1" thickBot="1" x14ac:dyDescent="0.25">
      <c r="B39" s="662"/>
      <c r="C39" s="622"/>
      <c r="D39" s="792" t="str">
        <f ca="1">"frequentie "&amp;VLOOKUP(C5,L2:M20,2)&amp;"/min"</f>
        <v>frequentie 15/min</v>
      </c>
      <c r="E39" s="610"/>
      <c r="F39" s="610" t="s">
        <v>104</v>
      </c>
      <c r="G39" s="611"/>
      <c r="H39" s="644"/>
      <c r="I39" s="644"/>
      <c r="L39" s="730"/>
      <c r="M39" s="730"/>
      <c r="N39" s="730"/>
      <c r="O39" s="730"/>
      <c r="P39" s="730"/>
      <c r="Q39" s="730"/>
      <c r="R39" s="730"/>
      <c r="S39" s="730">
        <v>37</v>
      </c>
      <c r="T39" s="730">
        <v>50</v>
      </c>
      <c r="U39" s="730"/>
      <c r="V39" s="730"/>
      <c r="W39" s="730"/>
      <c r="X39" s="730"/>
      <c r="Y39" s="729"/>
    </row>
    <row r="40" spans="2:25" ht="19.5" customHeight="1" thickTop="1" thickBot="1" x14ac:dyDescent="0.25">
      <c r="B40" s="662"/>
      <c r="C40" s="622"/>
      <c r="D40" s="792" t="s">
        <v>432</v>
      </c>
      <c r="E40" s="610"/>
      <c r="F40" s="610" t="s">
        <v>419</v>
      </c>
      <c r="G40" s="611"/>
      <c r="H40" s="644"/>
      <c r="I40" s="644"/>
      <c r="L40" s="730"/>
      <c r="M40" s="730"/>
      <c r="N40" s="730"/>
      <c r="O40" s="730"/>
      <c r="P40" s="730"/>
      <c r="Q40" s="730"/>
      <c r="R40" s="730"/>
      <c r="S40" s="730">
        <v>38</v>
      </c>
      <c r="T40" s="730">
        <v>50</v>
      </c>
      <c r="U40" s="730"/>
      <c r="V40" s="730"/>
      <c r="W40" s="730"/>
      <c r="X40" s="730"/>
      <c r="Y40" s="729"/>
    </row>
    <row r="41" spans="2:25" ht="19.5" customHeight="1" thickTop="1" thickBot="1" x14ac:dyDescent="0.25">
      <c r="B41" s="662"/>
      <c r="C41" s="622"/>
      <c r="D41" s="792" t="s">
        <v>420</v>
      </c>
      <c r="E41" s="610"/>
      <c r="F41" s="610"/>
      <c r="G41" s="611"/>
      <c r="H41" s="644"/>
      <c r="I41" s="644"/>
      <c r="L41" s="730"/>
      <c r="M41" s="730"/>
      <c r="N41" s="730"/>
      <c r="O41" s="730"/>
      <c r="P41" s="730"/>
      <c r="Q41" s="730"/>
      <c r="R41" s="730"/>
      <c r="S41" s="730">
        <v>39</v>
      </c>
      <c r="T41" s="730">
        <v>50</v>
      </c>
      <c r="U41" s="730"/>
      <c r="V41" s="730"/>
      <c r="W41" s="730"/>
      <c r="X41" s="730"/>
      <c r="Y41" s="729"/>
    </row>
    <row r="42" spans="2:25" ht="19.5" customHeight="1" thickTop="1" thickBot="1" x14ac:dyDescent="0.25">
      <c r="B42" s="662"/>
      <c r="C42" s="815"/>
      <c r="D42" s="794"/>
      <c r="E42" s="795"/>
      <c r="F42" s="795"/>
      <c r="G42" s="800"/>
      <c r="H42" s="644"/>
      <c r="I42" s="644"/>
      <c r="L42" s="730"/>
      <c r="M42" s="730"/>
      <c r="N42" s="730"/>
      <c r="O42" s="730"/>
      <c r="P42" s="730"/>
      <c r="Q42" s="730"/>
      <c r="R42" s="730"/>
      <c r="S42" s="730">
        <v>40</v>
      </c>
      <c r="T42" s="730">
        <v>50</v>
      </c>
      <c r="U42" s="730"/>
      <c r="V42" s="730"/>
      <c r="W42" s="730"/>
      <c r="X42" s="730"/>
      <c r="Y42" s="729"/>
    </row>
    <row r="43" spans="2:25" ht="19.5" customHeight="1" x14ac:dyDescent="0.2">
      <c r="C43" s="644"/>
      <c r="D43" s="644"/>
      <c r="E43" s="644"/>
      <c r="F43" s="644"/>
      <c r="G43" s="644"/>
      <c r="H43" s="644"/>
      <c r="I43" s="644"/>
      <c r="L43" s="730"/>
      <c r="M43" s="730"/>
      <c r="N43" s="730"/>
      <c r="O43" s="730"/>
      <c r="P43" s="730"/>
      <c r="Q43" s="730"/>
      <c r="R43" s="730"/>
      <c r="S43" s="730">
        <v>41</v>
      </c>
      <c r="T43" s="730">
        <v>50</v>
      </c>
      <c r="U43" s="730"/>
      <c r="V43" s="730"/>
      <c r="W43" s="730"/>
      <c r="X43" s="730"/>
      <c r="Y43" s="729"/>
    </row>
    <row r="44" spans="2:25" ht="19.5" customHeight="1" x14ac:dyDescent="0.2">
      <c r="B44" s="668" t="s">
        <v>80</v>
      </c>
      <c r="C44" s="788"/>
      <c r="D44" s="644"/>
      <c r="E44" s="644"/>
      <c r="F44" s="644"/>
      <c r="G44" s="644"/>
      <c r="H44" s="644"/>
      <c r="I44" s="644"/>
      <c r="L44" s="730"/>
      <c r="M44" s="730"/>
      <c r="N44" s="730"/>
      <c r="O44" s="730"/>
      <c r="P44" s="730"/>
      <c r="Q44" s="730"/>
      <c r="R44" s="730"/>
      <c r="S44" s="730">
        <v>42</v>
      </c>
      <c r="T44" s="730">
        <v>50</v>
      </c>
      <c r="U44" s="730"/>
      <c r="V44" s="730"/>
      <c r="W44" s="730"/>
      <c r="X44" s="730"/>
      <c r="Y44" s="729"/>
    </row>
    <row r="45" spans="2:25" ht="19.5" customHeight="1" x14ac:dyDescent="0.2">
      <c r="B45" s="692"/>
      <c r="C45" s="644"/>
      <c r="D45" s="644"/>
      <c r="E45" s="644"/>
      <c r="F45" s="644"/>
      <c r="G45" s="644"/>
      <c r="H45" s="644"/>
      <c r="I45" s="644"/>
      <c r="L45" s="730"/>
      <c r="M45" s="730"/>
      <c r="N45" s="730"/>
      <c r="O45" s="730"/>
      <c r="P45" s="730"/>
      <c r="Q45" s="730"/>
      <c r="R45" s="730"/>
      <c r="S45" s="730">
        <v>43</v>
      </c>
      <c r="T45" s="730">
        <v>50</v>
      </c>
      <c r="U45" s="730"/>
      <c r="V45" s="730"/>
      <c r="W45" s="730"/>
      <c r="X45" s="730"/>
      <c r="Y45" s="729"/>
    </row>
    <row r="46" spans="2:25" ht="19.5" customHeight="1" x14ac:dyDescent="0.2">
      <c r="B46" s="692"/>
      <c r="C46" s="644"/>
      <c r="D46" s="644"/>
      <c r="E46" s="644"/>
      <c r="F46" s="644"/>
      <c r="G46" s="644"/>
      <c r="H46" s="644"/>
      <c r="I46" s="644"/>
      <c r="L46" s="730"/>
      <c r="M46" s="730"/>
      <c r="N46" s="730"/>
      <c r="O46" s="730"/>
      <c r="P46" s="730"/>
      <c r="Q46" s="730"/>
      <c r="R46" s="730"/>
      <c r="S46" s="730">
        <v>44</v>
      </c>
      <c r="T46" s="730">
        <v>50</v>
      </c>
      <c r="U46" s="730"/>
      <c r="V46" s="730"/>
      <c r="W46" s="730"/>
      <c r="X46" s="730"/>
      <c r="Y46" s="729"/>
    </row>
    <row r="47" spans="2:25" x14ac:dyDescent="0.2">
      <c r="B47" s="692"/>
      <c r="C47" s="644"/>
      <c r="D47" s="644"/>
      <c r="E47" s="644"/>
      <c r="F47" s="644"/>
      <c r="G47" s="644"/>
      <c r="H47" s="644"/>
      <c r="I47" s="644"/>
      <c r="L47" s="730"/>
      <c r="M47" s="730"/>
      <c r="N47" s="730"/>
      <c r="O47" s="730"/>
      <c r="P47" s="730"/>
      <c r="Q47" s="730"/>
      <c r="R47" s="730"/>
      <c r="S47" s="730">
        <v>45</v>
      </c>
      <c r="T47" s="730">
        <v>50</v>
      </c>
      <c r="U47" s="730"/>
      <c r="V47" s="730"/>
      <c r="W47" s="730"/>
      <c r="X47" s="730"/>
      <c r="Y47" s="729"/>
    </row>
    <row r="48" spans="2:25" x14ac:dyDescent="0.2">
      <c r="B48" s="692"/>
      <c r="C48" s="644"/>
      <c r="D48" s="644"/>
      <c r="E48" s="644"/>
      <c r="F48" s="644"/>
      <c r="G48" s="644"/>
      <c r="H48" s="644"/>
      <c r="I48" s="644"/>
      <c r="L48" s="730"/>
      <c r="M48" s="730"/>
      <c r="N48" s="730"/>
      <c r="O48" s="730"/>
      <c r="P48" s="730"/>
      <c r="Q48" s="730"/>
      <c r="R48" s="730"/>
      <c r="S48" s="730">
        <v>46</v>
      </c>
      <c r="T48" s="730">
        <v>50</v>
      </c>
      <c r="U48" s="730"/>
      <c r="V48" s="730"/>
      <c r="W48" s="730"/>
      <c r="X48" s="730"/>
      <c r="Y48" s="729"/>
    </row>
    <row r="49" spans="2:25" x14ac:dyDescent="0.2">
      <c r="B49" s="692"/>
      <c r="C49" s="644"/>
      <c r="D49" s="644"/>
      <c r="E49" s="644"/>
      <c r="F49" s="644"/>
      <c r="G49" s="644"/>
      <c r="H49" s="644"/>
      <c r="I49" s="644"/>
      <c r="L49" s="730"/>
      <c r="M49" s="730"/>
      <c r="N49" s="730"/>
      <c r="O49" s="730"/>
      <c r="P49" s="730"/>
      <c r="Q49" s="730"/>
      <c r="R49" s="730"/>
      <c r="S49" s="730">
        <v>47</v>
      </c>
      <c r="T49" s="730">
        <v>50</v>
      </c>
      <c r="U49" s="730"/>
      <c r="V49" s="730"/>
      <c r="W49" s="730"/>
      <c r="X49" s="730"/>
      <c r="Y49" s="729"/>
    </row>
    <row r="50" spans="2:25" x14ac:dyDescent="0.2">
      <c r="B50" s="692"/>
      <c r="C50" s="644"/>
      <c r="D50" s="644"/>
      <c r="E50" s="644"/>
      <c r="F50" s="644"/>
      <c r="G50" s="644"/>
      <c r="H50" s="644"/>
      <c r="I50" s="644"/>
      <c r="L50" s="730"/>
      <c r="M50" s="730"/>
      <c r="N50" s="730"/>
      <c r="O50" s="730"/>
      <c r="P50" s="730"/>
      <c r="Q50" s="730"/>
      <c r="R50" s="730"/>
      <c r="S50" s="730">
        <v>48</v>
      </c>
      <c r="T50" s="730">
        <v>50</v>
      </c>
      <c r="U50" s="730"/>
      <c r="V50" s="730"/>
      <c r="W50" s="730"/>
      <c r="X50" s="730"/>
      <c r="Y50" s="729"/>
    </row>
    <row r="51" spans="2:25" x14ac:dyDescent="0.2">
      <c r="B51" s="692"/>
      <c r="C51" s="644"/>
      <c r="D51" s="644"/>
      <c r="E51" s="644"/>
      <c r="F51" s="644"/>
      <c r="G51" s="644"/>
      <c r="H51" s="644"/>
      <c r="I51" s="644"/>
      <c r="L51" s="730"/>
      <c r="M51" s="730"/>
      <c r="N51" s="730"/>
      <c r="O51" s="730"/>
      <c r="P51" s="730"/>
      <c r="Q51" s="730"/>
      <c r="R51" s="730"/>
      <c r="S51" s="730">
        <v>49</v>
      </c>
      <c r="T51" s="730">
        <v>50</v>
      </c>
      <c r="U51" s="730"/>
      <c r="V51" s="730"/>
      <c r="W51" s="730"/>
      <c r="X51" s="730"/>
      <c r="Y51" s="729"/>
    </row>
    <row r="52" spans="2:25" x14ac:dyDescent="0.2">
      <c r="B52" s="692"/>
      <c r="C52" s="644"/>
      <c r="D52" s="644"/>
      <c r="E52" s="644"/>
      <c r="F52" s="644"/>
      <c r="G52" s="644"/>
      <c r="H52" s="644"/>
      <c r="I52" s="644"/>
      <c r="L52" s="730"/>
      <c r="M52" s="730"/>
      <c r="N52" s="730"/>
      <c r="O52" s="730"/>
      <c r="P52" s="730"/>
      <c r="Q52" s="730"/>
      <c r="R52" s="730"/>
      <c r="S52" s="730">
        <v>50</v>
      </c>
      <c r="T52" s="730">
        <v>50</v>
      </c>
      <c r="U52" s="730">
        <v>50</v>
      </c>
      <c r="V52" s="730"/>
      <c r="W52" s="730"/>
      <c r="X52" s="730"/>
      <c r="Y52" s="729"/>
    </row>
    <row r="53" spans="2:25" x14ac:dyDescent="0.2">
      <c r="B53" s="692"/>
      <c r="C53" s="644"/>
      <c r="D53" s="644"/>
      <c r="E53" s="644"/>
      <c r="F53" s="644"/>
      <c r="G53" s="644"/>
      <c r="H53" s="644"/>
      <c r="I53" s="644"/>
      <c r="L53" s="730"/>
      <c r="M53" s="730"/>
      <c r="N53" s="730"/>
      <c r="O53" s="730"/>
      <c r="P53" s="730"/>
      <c r="Q53" s="730"/>
      <c r="R53" s="730"/>
      <c r="S53" s="730">
        <v>51</v>
      </c>
      <c r="T53" s="730">
        <v>70</v>
      </c>
      <c r="U53" s="730"/>
      <c r="V53" s="730"/>
      <c r="W53" s="730"/>
      <c r="X53" s="730"/>
      <c r="Y53" s="729"/>
    </row>
    <row r="54" spans="2:25" x14ac:dyDescent="0.2">
      <c r="B54" s="692"/>
      <c r="C54" s="644"/>
      <c r="D54" s="644"/>
      <c r="E54" s="644"/>
      <c r="F54" s="644"/>
      <c r="G54" s="644"/>
      <c r="H54" s="644"/>
      <c r="I54" s="644"/>
      <c r="L54" s="730"/>
      <c r="M54" s="730"/>
      <c r="N54" s="730"/>
      <c r="O54" s="730"/>
      <c r="P54" s="730"/>
      <c r="Q54" s="730"/>
      <c r="R54" s="730"/>
      <c r="S54" s="730">
        <v>52</v>
      </c>
      <c r="T54" s="730">
        <v>70</v>
      </c>
      <c r="U54" s="730"/>
      <c r="V54" s="730"/>
      <c r="W54" s="730"/>
      <c r="X54" s="730"/>
      <c r="Y54" s="729"/>
    </row>
    <row r="55" spans="2:25" x14ac:dyDescent="0.2">
      <c r="B55" s="692"/>
      <c r="C55" s="644"/>
      <c r="D55" s="644"/>
      <c r="E55" s="644"/>
      <c r="F55" s="644"/>
      <c r="G55" s="644"/>
      <c r="H55" s="644"/>
      <c r="I55" s="644"/>
      <c r="L55" s="730"/>
      <c r="M55" s="730"/>
      <c r="N55" s="730"/>
      <c r="O55" s="730"/>
      <c r="P55" s="730"/>
      <c r="Q55" s="730"/>
      <c r="R55" s="730"/>
      <c r="S55" s="730">
        <v>53</v>
      </c>
      <c r="T55" s="730">
        <v>70</v>
      </c>
      <c r="U55" s="730"/>
      <c r="V55" s="730"/>
      <c r="W55" s="730"/>
      <c r="X55" s="730"/>
      <c r="Y55" s="729"/>
    </row>
    <row r="56" spans="2:25" x14ac:dyDescent="0.2">
      <c r="B56" s="692"/>
      <c r="C56" s="644"/>
      <c r="D56" s="644"/>
      <c r="E56" s="644"/>
      <c r="F56" s="644"/>
      <c r="G56" s="644"/>
      <c r="H56" s="644"/>
      <c r="I56" s="644"/>
      <c r="L56" s="730"/>
      <c r="M56" s="730"/>
      <c r="N56" s="730"/>
      <c r="O56" s="730"/>
      <c r="P56" s="730"/>
      <c r="Q56" s="730"/>
      <c r="R56" s="730"/>
      <c r="S56" s="730">
        <v>54</v>
      </c>
      <c r="T56" s="730">
        <v>70</v>
      </c>
      <c r="U56" s="730"/>
      <c r="V56" s="730"/>
      <c r="W56" s="730"/>
      <c r="X56" s="730"/>
      <c r="Y56" s="729"/>
    </row>
    <row r="57" spans="2:25" x14ac:dyDescent="0.2">
      <c r="B57" s="692"/>
      <c r="C57" s="644"/>
      <c r="D57" s="644"/>
      <c r="E57" s="644"/>
      <c r="F57" s="644"/>
      <c r="G57" s="644"/>
      <c r="H57" s="644"/>
      <c r="I57" s="644"/>
      <c r="L57" s="730"/>
      <c r="M57" s="730"/>
      <c r="N57" s="730"/>
      <c r="O57" s="730"/>
      <c r="P57" s="730"/>
      <c r="Q57" s="730"/>
      <c r="R57" s="730"/>
      <c r="S57" s="730">
        <v>55</v>
      </c>
      <c r="T57" s="730">
        <v>70</v>
      </c>
      <c r="U57" s="730"/>
      <c r="V57" s="730"/>
      <c r="W57" s="730"/>
      <c r="X57" s="730"/>
      <c r="Y57" s="729"/>
    </row>
    <row r="58" spans="2:25" x14ac:dyDescent="0.2">
      <c r="B58" s="692"/>
      <c r="C58" s="644"/>
      <c r="D58" s="644"/>
      <c r="E58" s="644"/>
      <c r="F58" s="644"/>
      <c r="G58" s="644"/>
      <c r="H58" s="644"/>
      <c r="I58" s="644"/>
      <c r="L58" s="730"/>
      <c r="M58" s="730"/>
      <c r="N58" s="730"/>
      <c r="O58" s="730"/>
      <c r="P58" s="730"/>
      <c r="Q58" s="730"/>
      <c r="R58" s="730"/>
      <c r="S58" s="730">
        <v>56</v>
      </c>
      <c r="T58" s="730">
        <v>70</v>
      </c>
      <c r="U58" s="730"/>
      <c r="V58" s="730"/>
      <c r="W58" s="730"/>
      <c r="X58" s="730"/>
      <c r="Y58" s="729"/>
    </row>
    <row r="59" spans="2:25" x14ac:dyDescent="0.2">
      <c r="B59" s="692"/>
      <c r="C59" s="644"/>
      <c r="D59" s="644"/>
      <c r="E59" s="644"/>
      <c r="F59" s="644"/>
      <c r="G59" s="644"/>
      <c r="H59" s="644"/>
      <c r="I59" s="644"/>
      <c r="L59" s="730"/>
      <c r="M59" s="730"/>
      <c r="N59" s="730"/>
      <c r="O59" s="730"/>
      <c r="P59" s="730"/>
      <c r="Q59" s="730"/>
      <c r="R59" s="730"/>
      <c r="S59" s="730">
        <v>57</v>
      </c>
      <c r="T59" s="730">
        <v>70</v>
      </c>
      <c r="U59" s="730"/>
      <c r="V59" s="730"/>
      <c r="W59" s="730"/>
      <c r="X59" s="730"/>
      <c r="Y59" s="729"/>
    </row>
    <row r="60" spans="2:25" x14ac:dyDescent="0.2">
      <c r="B60" s="692"/>
      <c r="C60" s="644"/>
      <c r="D60" s="644"/>
      <c r="E60" s="644"/>
      <c r="F60" s="644"/>
      <c r="G60" s="644"/>
      <c r="H60" s="644"/>
      <c r="I60" s="644"/>
      <c r="L60" s="730"/>
      <c r="M60" s="730"/>
      <c r="N60" s="730"/>
      <c r="O60" s="730"/>
      <c r="P60" s="730"/>
      <c r="Q60" s="730"/>
      <c r="R60" s="730"/>
      <c r="S60" s="730">
        <v>58</v>
      </c>
      <c r="T60" s="730">
        <v>70</v>
      </c>
      <c r="U60" s="730"/>
      <c r="V60" s="730"/>
      <c r="W60" s="730"/>
      <c r="X60" s="730"/>
      <c r="Y60" s="729"/>
    </row>
    <row r="61" spans="2:25" x14ac:dyDescent="0.2">
      <c r="B61" s="692"/>
      <c r="C61" s="644"/>
      <c r="D61" s="644"/>
      <c r="E61" s="644"/>
      <c r="F61" s="644"/>
      <c r="G61" s="644"/>
      <c r="H61" s="644"/>
      <c r="I61" s="644"/>
      <c r="L61" s="730"/>
      <c r="M61" s="730"/>
      <c r="N61" s="730"/>
      <c r="O61" s="730"/>
      <c r="P61" s="730"/>
      <c r="Q61" s="730"/>
      <c r="R61" s="730"/>
      <c r="S61" s="730">
        <v>59</v>
      </c>
      <c r="T61" s="730">
        <v>70</v>
      </c>
      <c r="U61" s="730"/>
      <c r="V61" s="730"/>
      <c r="W61" s="730"/>
      <c r="X61" s="730"/>
      <c r="Y61" s="729"/>
    </row>
    <row r="62" spans="2:25" x14ac:dyDescent="0.2">
      <c r="B62" s="692"/>
      <c r="C62" s="644"/>
      <c r="D62" s="644"/>
      <c r="E62" s="644"/>
      <c r="F62" s="644"/>
      <c r="G62" s="644"/>
      <c r="H62" s="644"/>
      <c r="I62" s="644"/>
      <c r="L62" s="730"/>
      <c r="M62" s="730"/>
      <c r="N62" s="730"/>
      <c r="O62" s="730"/>
      <c r="P62" s="730"/>
      <c r="Q62" s="730"/>
      <c r="R62" s="730"/>
      <c r="S62" s="730">
        <v>60</v>
      </c>
      <c r="T62" s="730">
        <v>70</v>
      </c>
      <c r="U62" s="730"/>
      <c r="V62" s="730"/>
      <c r="W62" s="730"/>
      <c r="X62" s="730"/>
      <c r="Y62" s="729"/>
    </row>
    <row r="63" spans="2:25" x14ac:dyDescent="0.2">
      <c r="B63" s="692"/>
      <c r="C63" s="644"/>
      <c r="D63" s="644"/>
      <c r="E63" s="644"/>
      <c r="F63" s="644"/>
      <c r="G63" s="644"/>
      <c r="H63" s="644"/>
      <c r="I63" s="644"/>
      <c r="L63" s="730"/>
      <c r="M63" s="730"/>
      <c r="N63" s="730"/>
      <c r="O63" s="730"/>
      <c r="P63" s="730"/>
      <c r="Q63" s="730"/>
      <c r="R63" s="730"/>
      <c r="S63" s="730">
        <v>61</v>
      </c>
      <c r="T63" s="730">
        <v>70</v>
      </c>
      <c r="U63" s="730"/>
      <c r="V63" s="730"/>
      <c r="W63" s="730"/>
      <c r="X63" s="730"/>
      <c r="Y63" s="729"/>
    </row>
    <row r="64" spans="2:25" x14ac:dyDescent="0.2">
      <c r="B64" s="692"/>
      <c r="C64" s="644"/>
      <c r="D64" s="644"/>
      <c r="E64" s="644"/>
      <c r="F64" s="644"/>
      <c r="G64" s="644"/>
      <c r="H64" s="644"/>
      <c r="I64" s="644"/>
      <c r="L64" s="730"/>
      <c r="M64" s="730"/>
      <c r="N64" s="730"/>
      <c r="O64" s="730"/>
      <c r="P64" s="730"/>
      <c r="Q64" s="730"/>
      <c r="R64" s="730"/>
      <c r="S64" s="730">
        <v>62</v>
      </c>
      <c r="T64" s="730">
        <v>70</v>
      </c>
      <c r="U64" s="730"/>
      <c r="V64" s="730"/>
      <c r="W64" s="730"/>
      <c r="X64" s="730"/>
      <c r="Y64" s="729"/>
    </row>
    <row r="65" spans="2:25" x14ac:dyDescent="0.2">
      <c r="B65" s="692"/>
      <c r="C65" s="644"/>
      <c r="D65" s="644"/>
      <c r="E65" s="644"/>
      <c r="F65" s="644"/>
      <c r="G65" s="644"/>
      <c r="H65" s="644"/>
      <c r="I65" s="644"/>
      <c r="L65" s="730"/>
      <c r="M65" s="730"/>
      <c r="N65" s="730"/>
      <c r="O65" s="730"/>
      <c r="P65" s="730"/>
      <c r="Q65" s="730"/>
      <c r="R65" s="730"/>
      <c r="S65" s="730">
        <v>63</v>
      </c>
      <c r="T65" s="730">
        <v>70</v>
      </c>
      <c r="U65" s="730"/>
      <c r="V65" s="730"/>
      <c r="W65" s="730"/>
      <c r="X65" s="730"/>
      <c r="Y65" s="729"/>
    </row>
    <row r="66" spans="2:25" x14ac:dyDescent="0.2">
      <c r="B66" s="692"/>
      <c r="C66" s="644"/>
      <c r="D66" s="644"/>
      <c r="E66" s="644"/>
      <c r="F66" s="644"/>
      <c r="G66" s="644"/>
      <c r="H66" s="644"/>
      <c r="I66" s="644"/>
      <c r="L66" s="730"/>
      <c r="M66" s="730"/>
      <c r="N66" s="730"/>
      <c r="O66" s="730"/>
      <c r="P66" s="730"/>
      <c r="Q66" s="730"/>
      <c r="R66" s="730"/>
      <c r="S66" s="730">
        <v>64</v>
      </c>
      <c r="T66" s="730">
        <v>70</v>
      </c>
      <c r="U66" s="730"/>
      <c r="V66" s="730"/>
      <c r="W66" s="730"/>
      <c r="X66" s="730"/>
      <c r="Y66" s="729"/>
    </row>
    <row r="67" spans="2:25" x14ac:dyDescent="0.2">
      <c r="B67" s="692"/>
      <c r="C67" s="644"/>
      <c r="D67" s="644"/>
      <c r="E67" s="644"/>
      <c r="F67" s="644"/>
      <c r="G67" s="644"/>
      <c r="H67" s="644"/>
      <c r="I67" s="644"/>
      <c r="L67" s="730"/>
      <c r="M67" s="730"/>
      <c r="N67" s="730"/>
      <c r="O67" s="730"/>
      <c r="P67" s="730"/>
      <c r="Q67" s="730"/>
      <c r="R67" s="730"/>
      <c r="S67" s="730">
        <v>65</v>
      </c>
      <c r="T67" s="730">
        <v>70</v>
      </c>
      <c r="U67" s="730"/>
      <c r="V67" s="730"/>
      <c r="W67" s="730"/>
      <c r="X67" s="730"/>
      <c r="Y67" s="729"/>
    </row>
    <row r="68" spans="2:25" x14ac:dyDescent="0.2">
      <c r="B68" s="692"/>
      <c r="C68" s="644"/>
      <c r="D68" s="644"/>
      <c r="E68" s="644"/>
      <c r="F68" s="644"/>
      <c r="G68" s="644"/>
      <c r="H68" s="644"/>
      <c r="I68" s="644"/>
      <c r="L68" s="730"/>
      <c r="M68" s="730"/>
      <c r="N68" s="730"/>
      <c r="O68" s="730"/>
      <c r="P68" s="730"/>
      <c r="Q68" s="730"/>
      <c r="R68" s="730"/>
      <c r="S68" s="730">
        <v>66</v>
      </c>
      <c r="T68" s="730">
        <v>70</v>
      </c>
      <c r="U68" s="730"/>
      <c r="V68" s="730"/>
      <c r="W68" s="730"/>
      <c r="X68" s="730"/>
      <c r="Y68" s="729"/>
    </row>
    <row r="69" spans="2:25" x14ac:dyDescent="0.2">
      <c r="B69" s="692"/>
      <c r="C69" s="644"/>
      <c r="D69" s="644"/>
      <c r="E69" s="644"/>
      <c r="F69" s="644"/>
      <c r="G69" s="644"/>
      <c r="H69" s="644"/>
      <c r="I69" s="644"/>
      <c r="L69" s="730"/>
      <c r="M69" s="730"/>
      <c r="N69" s="730"/>
      <c r="O69" s="730"/>
      <c r="P69" s="730"/>
      <c r="Q69" s="730"/>
      <c r="R69" s="730"/>
      <c r="S69" s="730">
        <v>67</v>
      </c>
      <c r="T69" s="730">
        <v>70</v>
      </c>
      <c r="U69" s="730"/>
      <c r="V69" s="730"/>
      <c r="W69" s="730"/>
      <c r="X69" s="730"/>
      <c r="Y69" s="729"/>
    </row>
    <row r="70" spans="2:25" x14ac:dyDescent="0.2">
      <c r="B70" s="692"/>
      <c r="C70" s="644"/>
      <c r="D70" s="644"/>
      <c r="E70" s="644"/>
      <c r="F70" s="644"/>
      <c r="G70" s="644"/>
      <c r="H70" s="644"/>
      <c r="I70" s="644"/>
      <c r="L70" s="730"/>
      <c r="M70" s="730"/>
      <c r="N70" s="730"/>
      <c r="O70" s="730"/>
      <c r="P70" s="730"/>
      <c r="Q70" s="730"/>
      <c r="R70" s="730"/>
      <c r="S70" s="730">
        <v>68</v>
      </c>
      <c r="T70" s="730">
        <v>70</v>
      </c>
      <c r="U70" s="730"/>
      <c r="V70" s="730"/>
      <c r="W70" s="730"/>
      <c r="X70" s="730"/>
      <c r="Y70" s="729"/>
    </row>
    <row r="71" spans="2:25" x14ac:dyDescent="0.2">
      <c r="B71" s="692"/>
      <c r="C71" s="644"/>
      <c r="D71" s="644"/>
      <c r="E71" s="644"/>
      <c r="F71" s="644"/>
      <c r="G71" s="644"/>
      <c r="H71" s="644"/>
      <c r="I71" s="644"/>
      <c r="L71" s="730"/>
      <c r="M71" s="730"/>
      <c r="N71" s="730"/>
      <c r="O71" s="730"/>
      <c r="P71" s="730"/>
      <c r="Q71" s="730"/>
      <c r="R71" s="730"/>
      <c r="S71" s="730">
        <v>69</v>
      </c>
      <c r="T71" s="730">
        <v>70</v>
      </c>
      <c r="U71" s="730"/>
      <c r="V71" s="730"/>
      <c r="W71" s="730"/>
      <c r="X71" s="730"/>
      <c r="Y71" s="729"/>
    </row>
    <row r="72" spans="2:25" x14ac:dyDescent="0.2">
      <c r="B72" s="692"/>
      <c r="C72" s="644"/>
      <c r="D72" s="644"/>
      <c r="E72" s="644"/>
      <c r="F72" s="644"/>
      <c r="G72" s="644"/>
      <c r="H72" s="644"/>
      <c r="I72" s="644"/>
      <c r="L72" s="730"/>
      <c r="M72" s="730"/>
      <c r="N72" s="730"/>
      <c r="O72" s="730"/>
      <c r="P72" s="730"/>
      <c r="Q72" s="730"/>
      <c r="R72" s="730"/>
      <c r="S72" s="730">
        <v>70</v>
      </c>
      <c r="T72" s="730">
        <v>70</v>
      </c>
      <c r="U72" s="730">
        <v>70</v>
      </c>
      <c r="V72" s="730"/>
      <c r="W72" s="730"/>
      <c r="X72" s="730"/>
      <c r="Y72" s="729"/>
    </row>
    <row r="73" spans="2:25" x14ac:dyDescent="0.2">
      <c r="B73" s="692"/>
      <c r="C73" s="644"/>
      <c r="D73" s="644"/>
      <c r="E73" s="644"/>
      <c r="F73" s="644"/>
      <c r="G73" s="644"/>
      <c r="H73" s="644"/>
      <c r="I73" s="644"/>
      <c r="L73" s="730"/>
      <c r="M73" s="730"/>
      <c r="N73" s="730"/>
      <c r="O73" s="730"/>
      <c r="P73" s="730"/>
      <c r="Q73" s="730"/>
      <c r="R73" s="730"/>
      <c r="S73" s="730">
        <v>71</v>
      </c>
      <c r="T73" s="730">
        <v>100</v>
      </c>
      <c r="U73" s="730"/>
      <c r="V73" s="730"/>
      <c r="W73" s="730"/>
      <c r="X73" s="730"/>
      <c r="Y73" s="729"/>
    </row>
    <row r="74" spans="2:25" x14ac:dyDescent="0.2">
      <c r="B74" s="692"/>
      <c r="C74" s="644"/>
      <c r="D74" s="644"/>
      <c r="E74" s="644"/>
      <c r="F74" s="644"/>
      <c r="G74" s="644"/>
      <c r="H74" s="644"/>
      <c r="I74" s="644"/>
      <c r="L74" s="730"/>
      <c r="M74" s="730"/>
      <c r="N74" s="730"/>
      <c r="O74" s="730"/>
      <c r="P74" s="730"/>
      <c r="Q74" s="730"/>
      <c r="R74" s="730"/>
      <c r="S74" s="730">
        <v>72</v>
      </c>
      <c r="T74" s="730">
        <v>100</v>
      </c>
      <c r="U74" s="730"/>
      <c r="V74" s="730"/>
      <c r="W74" s="730"/>
      <c r="X74" s="730"/>
      <c r="Y74" s="729"/>
    </row>
    <row r="75" spans="2:25" x14ac:dyDescent="0.2">
      <c r="B75" s="692"/>
      <c r="C75" s="644"/>
      <c r="D75" s="644"/>
      <c r="E75" s="644"/>
      <c r="F75" s="644"/>
      <c r="G75" s="644"/>
      <c r="H75" s="644"/>
      <c r="I75" s="644"/>
      <c r="L75" s="730"/>
      <c r="M75" s="730"/>
      <c r="N75" s="730"/>
      <c r="O75" s="730"/>
      <c r="P75" s="730"/>
      <c r="Q75" s="730"/>
      <c r="R75" s="730"/>
      <c r="S75" s="730">
        <v>73</v>
      </c>
      <c r="T75" s="730">
        <v>100</v>
      </c>
      <c r="U75" s="730"/>
      <c r="V75" s="730"/>
      <c r="W75" s="730"/>
      <c r="X75" s="730"/>
      <c r="Y75" s="729"/>
    </row>
    <row r="76" spans="2:25" x14ac:dyDescent="0.2">
      <c r="B76" s="692"/>
      <c r="C76" s="644"/>
      <c r="D76" s="644"/>
      <c r="E76" s="644"/>
      <c r="F76" s="644"/>
      <c r="G76" s="644"/>
      <c r="H76" s="644"/>
      <c r="I76" s="644"/>
      <c r="L76" s="730"/>
      <c r="M76" s="730"/>
      <c r="N76" s="730"/>
      <c r="O76" s="730"/>
      <c r="P76" s="730"/>
      <c r="Q76" s="730"/>
      <c r="R76" s="730"/>
      <c r="S76" s="730">
        <v>74</v>
      </c>
      <c r="T76" s="730">
        <v>100</v>
      </c>
      <c r="U76" s="730"/>
      <c r="V76" s="730"/>
      <c r="W76" s="730"/>
      <c r="X76" s="730"/>
      <c r="Y76" s="729"/>
    </row>
    <row r="77" spans="2:25" x14ac:dyDescent="0.2">
      <c r="H77" s="644"/>
      <c r="I77" s="644"/>
      <c r="L77" s="730"/>
      <c r="M77" s="730"/>
      <c r="N77" s="730"/>
      <c r="O77" s="730"/>
      <c r="P77" s="730"/>
      <c r="Q77" s="730"/>
      <c r="R77" s="730"/>
      <c r="S77" s="730">
        <v>75</v>
      </c>
      <c r="T77" s="730">
        <v>100</v>
      </c>
      <c r="U77" s="730"/>
      <c r="V77" s="730"/>
      <c r="W77" s="730"/>
      <c r="X77" s="730"/>
      <c r="Y77" s="729"/>
    </row>
    <row r="78" spans="2:25" x14ac:dyDescent="0.2">
      <c r="L78" s="730"/>
      <c r="M78" s="730"/>
      <c r="N78" s="730"/>
      <c r="O78" s="730"/>
      <c r="P78" s="730"/>
      <c r="Q78" s="730"/>
      <c r="R78" s="730"/>
      <c r="S78" s="730">
        <v>76</v>
      </c>
      <c r="T78" s="730">
        <v>100</v>
      </c>
      <c r="U78" s="730"/>
      <c r="V78" s="730"/>
      <c r="W78" s="730"/>
      <c r="X78" s="730"/>
      <c r="Y78" s="729"/>
    </row>
    <row r="79" spans="2:25" x14ac:dyDescent="0.2">
      <c r="L79" s="730"/>
      <c r="M79" s="730"/>
      <c r="N79" s="730"/>
      <c r="O79" s="730"/>
      <c r="P79" s="730"/>
      <c r="Q79" s="730"/>
      <c r="R79" s="730"/>
      <c r="S79" s="730">
        <v>77</v>
      </c>
      <c r="T79" s="730">
        <v>100</v>
      </c>
      <c r="U79" s="730"/>
      <c r="V79" s="730"/>
      <c r="W79" s="730"/>
      <c r="X79" s="730"/>
      <c r="Y79" s="729"/>
    </row>
    <row r="80" spans="2:25" x14ac:dyDescent="0.2">
      <c r="L80" s="730"/>
      <c r="M80" s="730"/>
      <c r="N80" s="730"/>
      <c r="O80" s="730"/>
      <c r="P80" s="730"/>
      <c r="Q80" s="730"/>
      <c r="R80" s="730"/>
      <c r="S80" s="730">
        <v>78</v>
      </c>
      <c r="T80" s="730">
        <v>100</v>
      </c>
      <c r="U80" s="730"/>
      <c r="V80" s="730"/>
      <c r="W80" s="730"/>
      <c r="X80" s="730"/>
      <c r="Y80" s="729"/>
    </row>
    <row r="81" spans="12:25" x14ac:dyDescent="0.2">
      <c r="L81" s="730"/>
      <c r="M81" s="730"/>
      <c r="N81" s="730"/>
      <c r="O81" s="730"/>
      <c r="P81" s="730"/>
      <c r="Q81" s="730"/>
      <c r="R81" s="730"/>
      <c r="S81" s="730">
        <v>79</v>
      </c>
      <c r="T81" s="730">
        <v>100</v>
      </c>
      <c r="U81" s="730"/>
      <c r="V81" s="730"/>
      <c r="W81" s="730"/>
      <c r="X81" s="730"/>
      <c r="Y81" s="729"/>
    </row>
    <row r="82" spans="12:25" x14ac:dyDescent="0.2">
      <c r="L82" s="730"/>
      <c r="M82" s="730"/>
      <c r="N82" s="730"/>
      <c r="O82" s="730"/>
      <c r="P82" s="730"/>
      <c r="Q82" s="730"/>
      <c r="R82" s="730"/>
      <c r="S82" s="730">
        <v>80</v>
      </c>
      <c r="T82" s="730">
        <v>100</v>
      </c>
      <c r="U82" s="730"/>
      <c r="V82" s="730"/>
      <c r="W82" s="730"/>
      <c r="X82" s="730"/>
      <c r="Y82" s="729"/>
    </row>
    <row r="83" spans="12:25" x14ac:dyDescent="0.2">
      <c r="L83" s="730"/>
      <c r="M83" s="730"/>
      <c r="N83" s="730"/>
      <c r="O83" s="730"/>
      <c r="P83" s="730"/>
      <c r="Q83" s="730"/>
      <c r="R83" s="730"/>
      <c r="S83" s="730">
        <v>81</v>
      </c>
      <c r="T83" s="730">
        <v>100</v>
      </c>
      <c r="U83" s="730"/>
      <c r="V83" s="730"/>
      <c r="W83" s="730"/>
      <c r="X83" s="730"/>
      <c r="Y83" s="729"/>
    </row>
    <row r="84" spans="12:25" x14ac:dyDescent="0.2">
      <c r="L84" s="730"/>
      <c r="M84" s="730"/>
      <c r="N84" s="730"/>
      <c r="O84" s="730"/>
      <c r="P84" s="730"/>
      <c r="Q84" s="730"/>
      <c r="R84" s="730"/>
      <c r="S84" s="730">
        <v>82</v>
      </c>
      <c r="T84" s="730">
        <v>100</v>
      </c>
      <c r="U84" s="730"/>
      <c r="V84" s="730"/>
      <c r="W84" s="730"/>
      <c r="X84" s="730"/>
      <c r="Y84" s="729"/>
    </row>
    <row r="85" spans="12:25" x14ac:dyDescent="0.2">
      <c r="L85" s="730"/>
      <c r="M85" s="730"/>
      <c r="N85" s="730"/>
      <c r="O85" s="730"/>
      <c r="P85" s="730"/>
      <c r="Q85" s="730"/>
      <c r="R85" s="730"/>
      <c r="S85" s="730">
        <v>83</v>
      </c>
      <c r="T85" s="730">
        <v>100</v>
      </c>
      <c r="U85" s="730"/>
      <c r="V85" s="730"/>
      <c r="W85" s="730"/>
      <c r="X85" s="730"/>
      <c r="Y85" s="729"/>
    </row>
    <row r="86" spans="12:25" x14ac:dyDescent="0.2">
      <c r="L86" s="730"/>
      <c r="M86" s="730"/>
      <c r="N86" s="730"/>
      <c r="O86" s="730"/>
      <c r="P86" s="730"/>
      <c r="Q86" s="730"/>
      <c r="R86" s="730"/>
      <c r="S86" s="730">
        <v>84</v>
      </c>
      <c r="T86" s="730">
        <v>100</v>
      </c>
      <c r="U86" s="730"/>
      <c r="V86" s="730"/>
      <c r="W86" s="730"/>
      <c r="X86" s="730"/>
      <c r="Y86" s="729"/>
    </row>
    <row r="87" spans="12:25" x14ac:dyDescent="0.2">
      <c r="L87" s="730"/>
      <c r="M87" s="730"/>
      <c r="N87" s="730"/>
      <c r="O87" s="730"/>
      <c r="P87" s="730"/>
      <c r="Q87" s="730"/>
      <c r="R87" s="730"/>
      <c r="S87" s="730">
        <v>85</v>
      </c>
      <c r="T87" s="730">
        <v>100</v>
      </c>
      <c r="U87" s="730"/>
      <c r="V87" s="730"/>
      <c r="W87" s="730"/>
      <c r="X87" s="730"/>
      <c r="Y87" s="729"/>
    </row>
    <row r="88" spans="12:25" x14ac:dyDescent="0.2">
      <c r="L88" s="730"/>
      <c r="M88" s="730"/>
      <c r="N88" s="730"/>
      <c r="O88" s="730"/>
      <c r="P88" s="730"/>
      <c r="Q88" s="730"/>
      <c r="R88" s="730"/>
      <c r="S88" s="730">
        <v>86</v>
      </c>
      <c r="T88" s="730">
        <v>100</v>
      </c>
      <c r="U88" s="730"/>
      <c r="V88" s="730"/>
      <c r="W88" s="730"/>
      <c r="X88" s="730"/>
      <c r="Y88" s="729"/>
    </row>
    <row r="89" spans="12:25" x14ac:dyDescent="0.2">
      <c r="L89" s="730"/>
      <c r="M89" s="730"/>
      <c r="N89" s="730"/>
      <c r="O89" s="730"/>
      <c r="P89" s="730"/>
      <c r="Q89" s="730"/>
      <c r="R89" s="730"/>
      <c r="S89" s="730">
        <v>87</v>
      </c>
      <c r="T89" s="730">
        <v>100</v>
      </c>
      <c r="U89" s="730"/>
      <c r="V89" s="730"/>
      <c r="W89" s="730"/>
      <c r="X89" s="730"/>
      <c r="Y89" s="729"/>
    </row>
    <row r="90" spans="12:25" x14ac:dyDescent="0.2">
      <c r="L90" s="730"/>
      <c r="M90" s="730"/>
      <c r="N90" s="730"/>
      <c r="O90" s="730"/>
      <c r="P90" s="730"/>
      <c r="Q90" s="730"/>
      <c r="R90" s="730"/>
      <c r="S90" s="730">
        <v>88</v>
      </c>
      <c r="T90" s="730">
        <v>100</v>
      </c>
      <c r="U90" s="730"/>
      <c r="V90" s="730"/>
      <c r="W90" s="730"/>
      <c r="X90" s="730"/>
      <c r="Y90" s="729"/>
    </row>
    <row r="91" spans="12:25" x14ac:dyDescent="0.2">
      <c r="L91" s="730"/>
      <c r="M91" s="730"/>
      <c r="N91" s="730"/>
      <c r="O91" s="730"/>
      <c r="P91" s="730"/>
      <c r="Q91" s="730"/>
      <c r="R91" s="730"/>
      <c r="S91" s="730">
        <v>89</v>
      </c>
      <c r="T91" s="730">
        <v>100</v>
      </c>
      <c r="U91" s="730"/>
      <c r="V91" s="730"/>
      <c r="W91" s="730"/>
      <c r="X91" s="730"/>
      <c r="Y91" s="729"/>
    </row>
    <row r="92" spans="12:25" x14ac:dyDescent="0.2">
      <c r="L92" s="730"/>
      <c r="M92" s="730"/>
      <c r="N92" s="730"/>
      <c r="O92" s="730"/>
      <c r="P92" s="730"/>
      <c r="Q92" s="730"/>
      <c r="R92" s="730"/>
      <c r="S92" s="730">
        <v>90</v>
      </c>
      <c r="T92" s="730">
        <v>100</v>
      </c>
      <c r="U92" s="730"/>
      <c r="V92" s="730"/>
      <c r="W92" s="730"/>
      <c r="X92" s="730"/>
      <c r="Y92" s="729"/>
    </row>
    <row r="93" spans="12:25" x14ac:dyDescent="0.2">
      <c r="L93" s="730"/>
      <c r="M93" s="730"/>
      <c r="N93" s="730"/>
      <c r="O93" s="730"/>
      <c r="P93" s="730"/>
      <c r="Q93" s="730"/>
      <c r="R93" s="730"/>
      <c r="S93" s="730">
        <v>91</v>
      </c>
      <c r="T93" s="730">
        <v>100</v>
      </c>
      <c r="U93" s="730"/>
      <c r="V93" s="730"/>
      <c r="W93" s="730"/>
      <c r="X93" s="730"/>
      <c r="Y93" s="729"/>
    </row>
    <row r="94" spans="12:25" x14ac:dyDescent="0.2">
      <c r="L94" s="730"/>
      <c r="M94" s="730"/>
      <c r="N94" s="730"/>
      <c r="O94" s="730"/>
      <c r="P94" s="730"/>
      <c r="Q94" s="730"/>
      <c r="R94" s="730"/>
      <c r="S94" s="730">
        <v>92</v>
      </c>
      <c r="T94" s="730">
        <v>100</v>
      </c>
      <c r="U94" s="730"/>
      <c r="V94" s="730"/>
      <c r="W94" s="730"/>
      <c r="X94" s="730"/>
      <c r="Y94" s="729"/>
    </row>
    <row r="95" spans="12:25" x14ac:dyDescent="0.2">
      <c r="L95" s="730"/>
      <c r="M95" s="730"/>
      <c r="N95" s="730"/>
      <c r="O95" s="730"/>
      <c r="P95" s="730"/>
      <c r="Q95" s="730"/>
      <c r="R95" s="730"/>
      <c r="S95" s="730">
        <v>93</v>
      </c>
      <c r="T95" s="730">
        <v>100</v>
      </c>
      <c r="U95" s="730"/>
      <c r="V95" s="730"/>
      <c r="W95" s="730"/>
      <c r="X95" s="730"/>
      <c r="Y95" s="729"/>
    </row>
    <row r="96" spans="12:25" x14ac:dyDescent="0.2">
      <c r="L96" s="730"/>
      <c r="M96" s="730"/>
      <c r="N96" s="730"/>
      <c r="O96" s="730"/>
      <c r="P96" s="730"/>
      <c r="Q96" s="730"/>
      <c r="R96" s="730"/>
      <c r="S96" s="730">
        <v>94</v>
      </c>
      <c r="T96" s="730">
        <v>100</v>
      </c>
      <c r="U96" s="730"/>
      <c r="V96" s="730"/>
      <c r="W96" s="730"/>
      <c r="X96" s="730"/>
      <c r="Y96" s="729"/>
    </row>
    <row r="97" spans="12:25" x14ac:dyDescent="0.2">
      <c r="L97" s="730"/>
      <c r="M97" s="730"/>
      <c r="N97" s="730"/>
      <c r="O97" s="730"/>
      <c r="P97" s="730"/>
      <c r="Q97" s="730"/>
      <c r="R97" s="730"/>
      <c r="S97" s="730">
        <v>95</v>
      </c>
      <c r="T97" s="730">
        <v>100</v>
      </c>
      <c r="U97" s="730"/>
      <c r="V97" s="730"/>
      <c r="W97" s="730"/>
      <c r="X97" s="730"/>
      <c r="Y97" s="729"/>
    </row>
    <row r="98" spans="12:25" x14ac:dyDescent="0.2">
      <c r="L98" s="730"/>
      <c r="M98" s="730"/>
      <c r="N98" s="730"/>
      <c r="O98" s="730"/>
      <c r="P98" s="730"/>
      <c r="Q98" s="730"/>
      <c r="R98" s="730"/>
      <c r="S98" s="730">
        <v>96</v>
      </c>
      <c r="T98" s="730">
        <v>100</v>
      </c>
      <c r="U98" s="730"/>
      <c r="V98" s="730"/>
      <c r="W98" s="730"/>
      <c r="X98" s="730"/>
      <c r="Y98" s="729"/>
    </row>
    <row r="99" spans="12:25" x14ac:dyDescent="0.2">
      <c r="L99" s="730"/>
      <c r="M99" s="730"/>
      <c r="N99" s="730"/>
      <c r="O99" s="730"/>
      <c r="P99" s="730"/>
      <c r="Q99" s="730"/>
      <c r="R99" s="730"/>
      <c r="S99" s="730">
        <v>97</v>
      </c>
      <c r="T99" s="730">
        <v>100</v>
      </c>
      <c r="U99" s="730"/>
      <c r="V99" s="730"/>
      <c r="W99" s="730"/>
      <c r="X99" s="730"/>
      <c r="Y99" s="729"/>
    </row>
    <row r="100" spans="12:25" x14ac:dyDescent="0.2">
      <c r="L100" s="730"/>
      <c r="M100" s="730"/>
      <c r="N100" s="730"/>
      <c r="O100" s="730"/>
      <c r="P100" s="730"/>
      <c r="Q100" s="730"/>
      <c r="R100" s="730"/>
      <c r="S100" s="730">
        <v>98</v>
      </c>
      <c r="T100" s="730">
        <v>100</v>
      </c>
      <c r="U100" s="730"/>
      <c r="V100" s="730"/>
      <c r="W100" s="730"/>
      <c r="X100" s="730"/>
      <c r="Y100" s="729"/>
    </row>
    <row r="101" spans="12:25" x14ac:dyDescent="0.2">
      <c r="L101" s="730"/>
      <c r="M101" s="730"/>
      <c r="N101" s="730"/>
      <c r="O101" s="730"/>
      <c r="P101" s="730"/>
      <c r="Q101" s="730"/>
      <c r="R101" s="730"/>
      <c r="S101" s="730">
        <v>99</v>
      </c>
      <c r="T101" s="730">
        <v>100</v>
      </c>
      <c r="U101" s="730"/>
      <c r="V101" s="730"/>
      <c r="W101" s="730"/>
      <c r="X101" s="730"/>
      <c r="Y101" s="729"/>
    </row>
    <row r="102" spans="12:25" x14ac:dyDescent="0.2">
      <c r="L102" s="730"/>
      <c r="M102" s="730"/>
      <c r="N102" s="730"/>
      <c r="O102" s="730"/>
      <c r="P102" s="730"/>
      <c r="Q102" s="730"/>
      <c r="R102" s="730"/>
      <c r="S102" s="730">
        <v>100</v>
      </c>
      <c r="T102" s="730">
        <v>100</v>
      </c>
      <c r="U102" s="730">
        <v>100</v>
      </c>
      <c r="V102" s="730"/>
      <c r="W102" s="730"/>
      <c r="X102" s="730"/>
      <c r="Y102" s="729"/>
    </row>
    <row r="103" spans="12:25" x14ac:dyDescent="0.2">
      <c r="L103" s="730"/>
      <c r="M103" s="730"/>
      <c r="N103" s="730"/>
      <c r="O103" s="730"/>
      <c r="P103" s="730"/>
      <c r="Q103" s="730"/>
      <c r="R103" s="730"/>
      <c r="S103" s="730">
        <v>101</v>
      </c>
      <c r="T103" s="730">
        <v>150</v>
      </c>
      <c r="U103" s="730"/>
      <c r="V103" s="730"/>
      <c r="W103" s="730"/>
      <c r="X103" s="730"/>
      <c r="Y103" s="729"/>
    </row>
    <row r="104" spans="12:25" x14ac:dyDescent="0.2">
      <c r="L104" s="730"/>
      <c r="M104" s="730"/>
      <c r="N104" s="730"/>
      <c r="O104" s="730"/>
      <c r="P104" s="730"/>
      <c r="Q104" s="730"/>
      <c r="R104" s="730"/>
      <c r="S104" s="730">
        <v>102</v>
      </c>
      <c r="T104" s="730">
        <v>150</v>
      </c>
      <c r="U104" s="730"/>
      <c r="V104" s="730"/>
      <c r="W104" s="730"/>
      <c r="X104" s="730"/>
      <c r="Y104" s="729"/>
    </row>
    <row r="105" spans="12:25" x14ac:dyDescent="0.2">
      <c r="L105" s="730"/>
      <c r="M105" s="730"/>
      <c r="N105" s="730"/>
      <c r="O105" s="730"/>
      <c r="P105" s="730"/>
      <c r="Q105" s="730"/>
      <c r="R105" s="730"/>
      <c r="S105" s="730">
        <v>103</v>
      </c>
      <c r="T105" s="730">
        <v>150</v>
      </c>
      <c r="U105" s="730"/>
      <c r="V105" s="730"/>
      <c r="W105" s="730"/>
      <c r="X105" s="730"/>
      <c r="Y105" s="729"/>
    </row>
    <row r="106" spans="12:25" x14ac:dyDescent="0.2">
      <c r="L106" s="730"/>
      <c r="M106" s="730"/>
      <c r="N106" s="730"/>
      <c r="O106" s="730"/>
      <c r="P106" s="730"/>
      <c r="Q106" s="730"/>
      <c r="R106" s="730"/>
      <c r="S106" s="730">
        <v>104</v>
      </c>
      <c r="T106" s="730">
        <v>150</v>
      </c>
      <c r="U106" s="730"/>
      <c r="V106" s="730"/>
      <c r="W106" s="730"/>
      <c r="X106" s="730"/>
      <c r="Y106" s="729"/>
    </row>
    <row r="107" spans="12:25" x14ac:dyDescent="0.2">
      <c r="L107" s="730"/>
      <c r="M107" s="730"/>
      <c r="N107" s="730"/>
      <c r="O107" s="730"/>
      <c r="P107" s="730"/>
      <c r="Q107" s="730"/>
      <c r="R107" s="730"/>
      <c r="S107" s="730">
        <v>105</v>
      </c>
      <c r="T107" s="730">
        <v>150</v>
      </c>
      <c r="U107" s="730"/>
      <c r="V107" s="730"/>
      <c r="W107" s="730"/>
      <c r="X107" s="730"/>
      <c r="Y107" s="729"/>
    </row>
    <row r="108" spans="12:25" x14ac:dyDescent="0.2">
      <c r="L108" s="730"/>
      <c r="M108" s="730"/>
      <c r="N108" s="730"/>
      <c r="O108" s="730"/>
      <c r="P108" s="730"/>
      <c r="Q108" s="730"/>
      <c r="R108" s="730"/>
      <c r="S108" s="730">
        <v>106</v>
      </c>
      <c r="T108" s="730">
        <v>150</v>
      </c>
      <c r="U108" s="730"/>
      <c r="V108" s="730"/>
      <c r="W108" s="730"/>
      <c r="X108" s="730"/>
      <c r="Y108" s="729"/>
    </row>
    <row r="109" spans="12:25" x14ac:dyDescent="0.2">
      <c r="L109" s="730"/>
      <c r="M109" s="730"/>
      <c r="N109" s="730"/>
      <c r="O109" s="730"/>
      <c r="P109" s="730"/>
      <c r="Q109" s="730"/>
      <c r="R109" s="730"/>
      <c r="S109" s="730">
        <v>107</v>
      </c>
      <c r="T109" s="730">
        <v>150</v>
      </c>
      <c r="U109" s="730"/>
      <c r="V109" s="730"/>
      <c r="W109" s="730"/>
      <c r="X109" s="730"/>
      <c r="Y109" s="729"/>
    </row>
    <row r="110" spans="12:25" x14ac:dyDescent="0.2">
      <c r="L110" s="730"/>
      <c r="M110" s="730"/>
      <c r="N110" s="730"/>
      <c r="O110" s="730"/>
      <c r="P110" s="730"/>
      <c r="Q110" s="730"/>
      <c r="R110" s="730"/>
      <c r="S110" s="730">
        <v>108</v>
      </c>
      <c r="T110" s="730">
        <v>150</v>
      </c>
      <c r="U110" s="730"/>
      <c r="V110" s="730"/>
      <c r="W110" s="730"/>
      <c r="X110" s="730"/>
      <c r="Y110" s="729"/>
    </row>
    <row r="111" spans="12:25" x14ac:dyDescent="0.2">
      <c r="L111" s="730"/>
      <c r="M111" s="730"/>
      <c r="N111" s="730"/>
      <c r="O111" s="730"/>
      <c r="P111" s="730"/>
      <c r="Q111" s="730"/>
      <c r="R111" s="730"/>
      <c r="S111" s="730">
        <v>109</v>
      </c>
      <c r="T111" s="730">
        <v>150</v>
      </c>
      <c r="U111" s="730"/>
      <c r="V111" s="730"/>
      <c r="W111" s="730"/>
      <c r="X111" s="730"/>
      <c r="Y111" s="729"/>
    </row>
    <row r="112" spans="12:25" x14ac:dyDescent="0.2">
      <c r="L112" s="730"/>
      <c r="M112" s="730"/>
      <c r="N112" s="730"/>
      <c r="O112" s="730"/>
      <c r="P112" s="730"/>
      <c r="Q112" s="730"/>
      <c r="R112" s="730"/>
      <c r="S112" s="730">
        <v>110</v>
      </c>
      <c r="T112" s="730">
        <v>150</v>
      </c>
      <c r="U112" s="730"/>
      <c r="V112" s="730"/>
      <c r="W112" s="730"/>
      <c r="X112" s="730"/>
      <c r="Y112" s="729"/>
    </row>
    <row r="113" spans="12:25" x14ac:dyDescent="0.2">
      <c r="L113" s="730"/>
      <c r="M113" s="730"/>
      <c r="N113" s="730"/>
      <c r="O113" s="730"/>
      <c r="P113" s="730"/>
      <c r="Q113" s="730"/>
      <c r="R113" s="730"/>
      <c r="S113" s="730">
        <v>111</v>
      </c>
      <c r="T113" s="730">
        <v>150</v>
      </c>
      <c r="U113" s="730"/>
      <c r="V113" s="730"/>
      <c r="W113" s="730"/>
      <c r="X113" s="730"/>
      <c r="Y113" s="729"/>
    </row>
    <row r="114" spans="12:25" x14ac:dyDescent="0.2">
      <c r="L114" s="730"/>
      <c r="M114" s="730"/>
      <c r="N114" s="730"/>
      <c r="O114" s="730"/>
      <c r="P114" s="730"/>
      <c r="Q114" s="730"/>
      <c r="R114" s="730"/>
      <c r="S114" s="730">
        <v>112</v>
      </c>
      <c r="T114" s="730">
        <v>150</v>
      </c>
      <c r="U114" s="730"/>
      <c r="V114" s="730"/>
      <c r="W114" s="730"/>
      <c r="X114" s="730"/>
      <c r="Y114" s="729"/>
    </row>
    <row r="115" spans="12:25" x14ac:dyDescent="0.2">
      <c r="L115" s="730"/>
      <c r="M115" s="730"/>
      <c r="N115" s="730"/>
      <c r="O115" s="730"/>
      <c r="P115" s="730"/>
      <c r="Q115" s="730"/>
      <c r="R115" s="730"/>
      <c r="S115" s="730">
        <v>113</v>
      </c>
      <c r="T115" s="730">
        <v>150</v>
      </c>
      <c r="U115" s="730"/>
      <c r="V115" s="730"/>
      <c r="W115" s="730"/>
      <c r="X115" s="730"/>
      <c r="Y115" s="729"/>
    </row>
    <row r="116" spans="12:25" x14ac:dyDescent="0.2">
      <c r="L116" s="730"/>
      <c r="M116" s="730"/>
      <c r="N116" s="730"/>
      <c r="O116" s="730"/>
      <c r="P116" s="730"/>
      <c r="Q116" s="730"/>
      <c r="R116" s="730"/>
      <c r="S116" s="730">
        <v>114</v>
      </c>
      <c r="T116" s="730">
        <v>150</v>
      </c>
      <c r="U116" s="730"/>
      <c r="V116" s="730"/>
      <c r="W116" s="730"/>
      <c r="X116" s="730"/>
      <c r="Y116" s="729"/>
    </row>
    <row r="117" spans="12:25" x14ac:dyDescent="0.2">
      <c r="L117" s="730"/>
      <c r="M117" s="730"/>
      <c r="N117" s="730"/>
      <c r="O117" s="730"/>
      <c r="P117" s="730"/>
      <c r="Q117" s="730"/>
      <c r="R117" s="730"/>
      <c r="S117" s="730">
        <v>115</v>
      </c>
      <c r="T117" s="730">
        <v>150</v>
      </c>
      <c r="U117" s="730"/>
      <c r="V117" s="730"/>
      <c r="W117" s="730"/>
      <c r="X117" s="730"/>
      <c r="Y117" s="729"/>
    </row>
    <row r="118" spans="12:25" x14ac:dyDescent="0.2">
      <c r="L118" s="730"/>
      <c r="M118" s="730"/>
      <c r="N118" s="730"/>
      <c r="O118" s="730"/>
      <c r="P118" s="730"/>
      <c r="Q118" s="730"/>
      <c r="R118" s="730"/>
      <c r="S118" s="730">
        <v>116</v>
      </c>
      <c r="T118" s="730">
        <v>150</v>
      </c>
      <c r="U118" s="730"/>
      <c r="V118" s="730"/>
      <c r="W118" s="730"/>
      <c r="X118" s="730"/>
      <c r="Y118" s="729"/>
    </row>
    <row r="119" spans="12:25" x14ac:dyDescent="0.2">
      <c r="L119" s="730"/>
      <c r="M119" s="730"/>
      <c r="N119" s="730"/>
      <c r="O119" s="730"/>
      <c r="P119" s="730"/>
      <c r="Q119" s="730"/>
      <c r="R119" s="730"/>
      <c r="S119" s="730">
        <v>117</v>
      </c>
      <c r="T119" s="730">
        <v>150</v>
      </c>
      <c r="U119" s="730"/>
      <c r="V119" s="730"/>
      <c r="W119" s="730"/>
      <c r="X119" s="730"/>
      <c r="Y119" s="729"/>
    </row>
    <row r="120" spans="12:25" x14ac:dyDescent="0.2">
      <c r="L120" s="730"/>
      <c r="M120" s="730"/>
      <c r="N120" s="730"/>
      <c r="O120" s="730"/>
      <c r="P120" s="730"/>
      <c r="Q120" s="730"/>
      <c r="R120" s="730"/>
      <c r="S120" s="730">
        <v>118</v>
      </c>
      <c r="T120" s="730">
        <v>150</v>
      </c>
      <c r="U120" s="730"/>
      <c r="V120" s="730"/>
      <c r="W120" s="730"/>
      <c r="X120" s="730"/>
      <c r="Y120" s="729"/>
    </row>
    <row r="121" spans="12:25" x14ac:dyDescent="0.2">
      <c r="L121" s="730"/>
      <c r="M121" s="730"/>
      <c r="N121" s="730"/>
      <c r="O121" s="730"/>
      <c r="P121" s="730"/>
      <c r="Q121" s="730"/>
      <c r="R121" s="730"/>
      <c r="S121" s="730">
        <v>119</v>
      </c>
      <c r="T121" s="730">
        <v>150</v>
      </c>
      <c r="U121" s="730"/>
      <c r="V121" s="730"/>
      <c r="W121" s="730"/>
      <c r="X121" s="730"/>
      <c r="Y121" s="729"/>
    </row>
    <row r="122" spans="12:25" x14ac:dyDescent="0.2">
      <c r="L122" s="730"/>
      <c r="M122" s="730"/>
      <c r="N122" s="730"/>
      <c r="O122" s="730"/>
      <c r="P122" s="730"/>
      <c r="Q122" s="730"/>
      <c r="R122" s="730"/>
      <c r="S122" s="730">
        <v>120</v>
      </c>
      <c r="T122" s="730">
        <v>150</v>
      </c>
      <c r="U122" s="730"/>
      <c r="V122" s="730"/>
      <c r="W122" s="730"/>
      <c r="X122" s="730"/>
      <c r="Y122" s="729"/>
    </row>
    <row r="123" spans="12:25" x14ac:dyDescent="0.2">
      <c r="L123" s="730"/>
      <c r="M123" s="730"/>
      <c r="N123" s="730"/>
      <c r="O123" s="730"/>
      <c r="P123" s="730"/>
      <c r="Q123" s="730"/>
      <c r="R123" s="730"/>
      <c r="S123" s="730">
        <v>121</v>
      </c>
      <c r="T123" s="730">
        <v>150</v>
      </c>
      <c r="U123" s="730"/>
      <c r="V123" s="730"/>
      <c r="W123" s="730"/>
      <c r="X123" s="730"/>
      <c r="Y123" s="729"/>
    </row>
    <row r="124" spans="12:25" x14ac:dyDescent="0.2">
      <c r="L124" s="730"/>
      <c r="M124" s="730"/>
      <c r="N124" s="730"/>
      <c r="O124" s="730"/>
      <c r="P124" s="730"/>
      <c r="Q124" s="730"/>
      <c r="R124" s="730"/>
      <c r="S124" s="730">
        <v>122</v>
      </c>
      <c r="T124" s="730">
        <v>150</v>
      </c>
      <c r="U124" s="730"/>
      <c r="V124" s="730"/>
      <c r="W124" s="730"/>
      <c r="X124" s="730"/>
      <c r="Y124" s="729"/>
    </row>
    <row r="125" spans="12:25" x14ac:dyDescent="0.2">
      <c r="L125" s="730"/>
      <c r="M125" s="730"/>
      <c r="N125" s="730"/>
      <c r="O125" s="730"/>
      <c r="P125" s="730"/>
      <c r="Q125" s="730"/>
      <c r="R125" s="730"/>
      <c r="S125" s="730">
        <v>123</v>
      </c>
      <c r="T125" s="730">
        <v>150</v>
      </c>
      <c r="U125" s="730"/>
      <c r="V125" s="730"/>
      <c r="W125" s="730"/>
      <c r="X125" s="730"/>
      <c r="Y125" s="729"/>
    </row>
    <row r="126" spans="12:25" x14ac:dyDescent="0.2">
      <c r="L126" s="730"/>
      <c r="M126" s="730"/>
      <c r="N126" s="730"/>
      <c r="O126" s="730"/>
      <c r="P126" s="730"/>
      <c r="Q126" s="730"/>
      <c r="R126" s="730"/>
      <c r="S126" s="730">
        <v>124</v>
      </c>
      <c r="T126" s="730">
        <v>150</v>
      </c>
      <c r="U126" s="730"/>
      <c r="V126" s="730"/>
      <c r="W126" s="730"/>
      <c r="X126" s="730"/>
      <c r="Y126" s="729"/>
    </row>
    <row r="127" spans="12:25" x14ac:dyDescent="0.2">
      <c r="L127" s="730"/>
      <c r="M127" s="730"/>
      <c r="N127" s="730"/>
      <c r="O127" s="730"/>
      <c r="P127" s="730"/>
      <c r="Q127" s="730"/>
      <c r="R127" s="730"/>
      <c r="S127" s="730">
        <v>125</v>
      </c>
      <c r="T127" s="730">
        <v>150</v>
      </c>
      <c r="U127" s="730"/>
      <c r="V127" s="730"/>
      <c r="W127" s="730"/>
      <c r="X127" s="730"/>
      <c r="Y127" s="729"/>
    </row>
    <row r="128" spans="12:25" x14ac:dyDescent="0.2">
      <c r="L128" s="730"/>
      <c r="M128" s="730"/>
      <c r="N128" s="730"/>
      <c r="O128" s="730"/>
      <c r="P128" s="730"/>
      <c r="Q128" s="730"/>
      <c r="R128" s="730"/>
      <c r="S128" s="730">
        <v>126</v>
      </c>
      <c r="T128" s="730">
        <v>150</v>
      </c>
      <c r="U128" s="730"/>
      <c r="V128" s="730"/>
      <c r="W128" s="730"/>
      <c r="X128" s="730"/>
      <c r="Y128" s="729"/>
    </row>
    <row r="129" spans="12:25" x14ac:dyDescent="0.2">
      <c r="L129" s="730"/>
      <c r="M129" s="730"/>
      <c r="N129" s="730"/>
      <c r="O129" s="730"/>
      <c r="P129" s="730"/>
      <c r="Q129" s="730"/>
      <c r="R129" s="730"/>
      <c r="S129" s="730">
        <v>127</v>
      </c>
      <c r="T129" s="730">
        <v>150</v>
      </c>
      <c r="U129" s="730"/>
      <c r="V129" s="730"/>
      <c r="W129" s="730"/>
      <c r="X129" s="730"/>
      <c r="Y129" s="729"/>
    </row>
    <row r="130" spans="12:25" x14ac:dyDescent="0.2">
      <c r="L130" s="730"/>
      <c r="M130" s="730"/>
      <c r="N130" s="730"/>
      <c r="O130" s="730"/>
      <c r="P130" s="730"/>
      <c r="Q130" s="730"/>
      <c r="R130" s="730"/>
      <c r="S130" s="730">
        <v>128</v>
      </c>
      <c r="T130" s="730">
        <v>150</v>
      </c>
      <c r="U130" s="730"/>
      <c r="V130" s="730"/>
      <c r="W130" s="730"/>
      <c r="X130" s="730"/>
      <c r="Y130" s="729"/>
    </row>
    <row r="131" spans="12:25" x14ac:dyDescent="0.2">
      <c r="L131" s="730"/>
      <c r="M131" s="730"/>
      <c r="N131" s="730"/>
      <c r="O131" s="730"/>
      <c r="P131" s="730"/>
      <c r="Q131" s="730"/>
      <c r="R131" s="730"/>
      <c r="S131" s="730">
        <v>129</v>
      </c>
      <c r="T131" s="730">
        <v>150</v>
      </c>
      <c r="U131" s="730"/>
      <c r="V131" s="730"/>
      <c r="W131" s="730"/>
      <c r="X131" s="730"/>
      <c r="Y131" s="729"/>
    </row>
    <row r="132" spans="12:25" x14ac:dyDescent="0.2">
      <c r="L132" s="730"/>
      <c r="M132" s="730"/>
      <c r="N132" s="730"/>
      <c r="O132" s="730"/>
      <c r="P132" s="730"/>
      <c r="Q132" s="730"/>
      <c r="R132" s="730"/>
      <c r="S132" s="730">
        <v>130</v>
      </c>
      <c r="T132" s="730">
        <v>150</v>
      </c>
      <c r="U132" s="730"/>
      <c r="V132" s="730"/>
      <c r="W132" s="730"/>
      <c r="X132" s="730"/>
      <c r="Y132" s="729"/>
    </row>
    <row r="133" spans="12:25" x14ac:dyDescent="0.2">
      <c r="L133" s="730"/>
      <c r="M133" s="730"/>
      <c r="N133" s="730"/>
      <c r="O133" s="730"/>
      <c r="P133" s="730"/>
      <c r="Q133" s="730"/>
      <c r="R133" s="730"/>
      <c r="S133" s="730">
        <v>131</v>
      </c>
      <c r="T133" s="730">
        <v>150</v>
      </c>
      <c r="U133" s="730"/>
      <c r="V133" s="730"/>
      <c r="W133" s="730"/>
      <c r="X133" s="730"/>
      <c r="Y133" s="729"/>
    </row>
    <row r="134" spans="12:25" x14ac:dyDescent="0.2">
      <c r="L134" s="730"/>
      <c r="M134" s="730"/>
      <c r="N134" s="730"/>
      <c r="O134" s="730"/>
      <c r="P134" s="730"/>
      <c r="Q134" s="730"/>
      <c r="R134" s="730"/>
      <c r="S134" s="730">
        <v>132</v>
      </c>
      <c r="T134" s="730">
        <v>150</v>
      </c>
      <c r="U134" s="730"/>
      <c r="V134" s="730"/>
      <c r="W134" s="730"/>
      <c r="X134" s="730"/>
      <c r="Y134" s="729"/>
    </row>
    <row r="135" spans="12:25" x14ac:dyDescent="0.2">
      <c r="L135" s="730"/>
      <c r="M135" s="730"/>
      <c r="N135" s="730"/>
      <c r="O135" s="730"/>
      <c r="P135" s="730"/>
      <c r="Q135" s="730"/>
      <c r="R135" s="730"/>
      <c r="S135" s="730">
        <v>133</v>
      </c>
      <c r="T135" s="730">
        <v>150</v>
      </c>
      <c r="U135" s="730"/>
      <c r="V135" s="730"/>
      <c r="W135" s="730"/>
      <c r="X135" s="730"/>
      <c r="Y135" s="729"/>
    </row>
    <row r="136" spans="12:25" x14ac:dyDescent="0.2">
      <c r="L136" s="730"/>
      <c r="M136" s="730"/>
      <c r="N136" s="730"/>
      <c r="O136" s="730"/>
      <c r="P136" s="730"/>
      <c r="Q136" s="730"/>
      <c r="R136" s="730"/>
      <c r="S136" s="730">
        <v>134</v>
      </c>
      <c r="T136" s="730">
        <v>150</v>
      </c>
      <c r="U136" s="730"/>
      <c r="V136" s="730"/>
      <c r="W136" s="730"/>
      <c r="X136" s="730"/>
      <c r="Y136" s="729"/>
    </row>
    <row r="137" spans="12:25" x14ac:dyDescent="0.2">
      <c r="L137" s="730"/>
      <c r="M137" s="730"/>
      <c r="N137" s="730"/>
      <c r="O137" s="730"/>
      <c r="P137" s="730"/>
      <c r="Q137" s="730"/>
      <c r="R137" s="730"/>
      <c r="S137" s="730">
        <v>135</v>
      </c>
      <c r="T137" s="730">
        <v>150</v>
      </c>
      <c r="U137" s="730"/>
      <c r="V137" s="730"/>
      <c r="W137" s="730"/>
      <c r="X137" s="730"/>
      <c r="Y137" s="729"/>
    </row>
    <row r="138" spans="12:25" x14ac:dyDescent="0.2">
      <c r="L138" s="730"/>
      <c r="M138" s="730"/>
      <c r="N138" s="730"/>
      <c r="O138" s="730"/>
      <c r="P138" s="730"/>
      <c r="Q138" s="730"/>
      <c r="R138" s="730"/>
      <c r="S138" s="730">
        <v>136</v>
      </c>
      <c r="T138" s="730">
        <v>150</v>
      </c>
      <c r="U138" s="730"/>
      <c r="V138" s="730"/>
      <c r="W138" s="730"/>
      <c r="X138" s="730"/>
      <c r="Y138" s="729"/>
    </row>
    <row r="139" spans="12:25" x14ac:dyDescent="0.2">
      <c r="L139" s="730"/>
      <c r="M139" s="730"/>
      <c r="N139" s="730"/>
      <c r="O139" s="730"/>
      <c r="P139" s="730"/>
      <c r="Q139" s="730"/>
      <c r="R139" s="730"/>
      <c r="S139" s="730">
        <v>137</v>
      </c>
      <c r="T139" s="730">
        <v>150</v>
      </c>
      <c r="U139" s="730"/>
      <c r="V139" s="730"/>
      <c r="W139" s="730"/>
      <c r="X139" s="730"/>
      <c r="Y139" s="729"/>
    </row>
    <row r="140" spans="12:25" x14ac:dyDescent="0.2">
      <c r="L140" s="730"/>
      <c r="M140" s="730"/>
      <c r="N140" s="730"/>
      <c r="O140" s="730"/>
      <c r="P140" s="730"/>
      <c r="Q140" s="730"/>
      <c r="R140" s="730"/>
      <c r="S140" s="730">
        <v>138</v>
      </c>
      <c r="T140" s="730">
        <v>150</v>
      </c>
      <c r="U140" s="730"/>
      <c r="V140" s="730"/>
      <c r="W140" s="730"/>
      <c r="X140" s="730"/>
      <c r="Y140" s="729"/>
    </row>
    <row r="141" spans="12:25" x14ac:dyDescent="0.2">
      <c r="L141" s="730"/>
      <c r="M141" s="730"/>
      <c r="N141" s="730"/>
      <c r="O141" s="730"/>
      <c r="P141" s="730"/>
      <c r="Q141" s="730"/>
      <c r="R141" s="730"/>
      <c r="S141" s="730">
        <v>139</v>
      </c>
      <c r="T141" s="730">
        <v>150</v>
      </c>
      <c r="U141" s="730"/>
      <c r="V141" s="730"/>
      <c r="W141" s="730"/>
      <c r="X141" s="730"/>
      <c r="Y141" s="729"/>
    </row>
    <row r="142" spans="12:25" x14ac:dyDescent="0.2">
      <c r="L142" s="730"/>
      <c r="M142" s="730"/>
      <c r="N142" s="730"/>
      <c r="O142" s="730"/>
      <c r="P142" s="730"/>
      <c r="Q142" s="730"/>
      <c r="R142" s="730"/>
      <c r="S142" s="730">
        <v>140</v>
      </c>
      <c r="T142" s="730">
        <v>150</v>
      </c>
      <c r="U142" s="730"/>
      <c r="V142" s="730"/>
      <c r="W142" s="730"/>
      <c r="X142" s="730"/>
      <c r="Y142" s="729"/>
    </row>
    <row r="143" spans="12:25" x14ac:dyDescent="0.2">
      <c r="L143" s="730"/>
      <c r="M143" s="730"/>
      <c r="N143" s="730"/>
      <c r="O143" s="730"/>
      <c r="P143" s="730"/>
      <c r="Q143" s="730"/>
      <c r="R143" s="730"/>
      <c r="S143" s="730">
        <v>141</v>
      </c>
      <c r="T143" s="730">
        <v>150</v>
      </c>
      <c r="U143" s="730"/>
      <c r="V143" s="730"/>
      <c r="W143" s="730"/>
      <c r="X143" s="730"/>
      <c r="Y143" s="729"/>
    </row>
    <row r="144" spans="12:25" x14ac:dyDescent="0.2">
      <c r="L144" s="730"/>
      <c r="M144" s="730"/>
      <c r="N144" s="730"/>
      <c r="O144" s="730"/>
      <c r="P144" s="730"/>
      <c r="Q144" s="730"/>
      <c r="R144" s="730"/>
      <c r="S144" s="730">
        <v>142</v>
      </c>
      <c r="T144" s="730">
        <v>150</v>
      </c>
      <c r="U144" s="730"/>
      <c r="V144" s="730"/>
      <c r="W144" s="730"/>
      <c r="X144" s="730"/>
      <c r="Y144" s="729"/>
    </row>
    <row r="145" spans="12:25" x14ac:dyDescent="0.2">
      <c r="L145" s="730"/>
      <c r="M145" s="730"/>
      <c r="N145" s="730"/>
      <c r="O145" s="730"/>
      <c r="P145" s="730"/>
      <c r="Q145" s="730"/>
      <c r="R145" s="730"/>
      <c r="S145" s="730">
        <v>143</v>
      </c>
      <c r="T145" s="730">
        <v>150</v>
      </c>
      <c r="U145" s="730"/>
      <c r="V145" s="730"/>
      <c r="W145" s="730"/>
      <c r="X145" s="730"/>
      <c r="Y145" s="729"/>
    </row>
    <row r="146" spans="12:25" x14ac:dyDescent="0.2">
      <c r="L146" s="730"/>
      <c r="M146" s="730"/>
      <c r="N146" s="730"/>
      <c r="O146" s="730"/>
      <c r="P146" s="730"/>
      <c r="Q146" s="730"/>
      <c r="R146" s="730"/>
      <c r="S146" s="730">
        <v>144</v>
      </c>
      <c r="T146" s="730">
        <v>150</v>
      </c>
      <c r="U146" s="730"/>
      <c r="V146" s="730"/>
      <c r="W146" s="730"/>
      <c r="X146" s="730"/>
      <c r="Y146" s="729"/>
    </row>
    <row r="147" spans="12:25" x14ac:dyDescent="0.2">
      <c r="L147" s="730"/>
      <c r="M147" s="730"/>
      <c r="N147" s="730"/>
      <c r="O147" s="730"/>
      <c r="P147" s="730"/>
      <c r="Q147" s="730"/>
      <c r="R147" s="730"/>
      <c r="S147" s="730">
        <v>145</v>
      </c>
      <c r="T147" s="730">
        <v>150</v>
      </c>
      <c r="U147" s="730"/>
      <c r="V147" s="730"/>
      <c r="W147" s="730"/>
      <c r="X147" s="730"/>
      <c r="Y147" s="729"/>
    </row>
    <row r="148" spans="12:25" x14ac:dyDescent="0.2">
      <c r="L148" s="730"/>
      <c r="M148" s="730"/>
      <c r="N148" s="730"/>
      <c r="O148" s="730"/>
      <c r="P148" s="730"/>
      <c r="Q148" s="730"/>
      <c r="R148" s="730"/>
      <c r="S148" s="730">
        <v>146</v>
      </c>
      <c r="T148" s="730">
        <v>150</v>
      </c>
      <c r="U148" s="730"/>
      <c r="V148" s="730"/>
      <c r="W148" s="730"/>
      <c r="X148" s="730"/>
      <c r="Y148" s="729"/>
    </row>
    <row r="149" spans="12:25" x14ac:dyDescent="0.2">
      <c r="L149" s="730"/>
      <c r="M149" s="730"/>
      <c r="N149" s="730"/>
      <c r="O149" s="730"/>
      <c r="P149" s="730"/>
      <c r="Q149" s="730"/>
      <c r="R149" s="730"/>
      <c r="S149" s="730">
        <v>147</v>
      </c>
      <c r="T149" s="730">
        <v>150</v>
      </c>
      <c r="U149" s="730"/>
      <c r="V149" s="730"/>
      <c r="W149" s="730"/>
      <c r="X149" s="730"/>
      <c r="Y149" s="729"/>
    </row>
    <row r="150" spans="12:25" x14ac:dyDescent="0.2">
      <c r="L150" s="730"/>
      <c r="M150" s="730"/>
      <c r="N150" s="730"/>
      <c r="O150" s="730"/>
      <c r="P150" s="730"/>
      <c r="Q150" s="730"/>
      <c r="R150" s="730"/>
      <c r="S150" s="730">
        <v>148</v>
      </c>
      <c r="T150" s="730">
        <v>150</v>
      </c>
      <c r="U150" s="730"/>
      <c r="V150" s="730"/>
      <c r="W150" s="730"/>
      <c r="X150" s="730"/>
      <c r="Y150" s="729"/>
    </row>
    <row r="151" spans="12:25" x14ac:dyDescent="0.2">
      <c r="L151" s="730"/>
      <c r="M151" s="730"/>
      <c r="N151" s="730"/>
      <c r="O151" s="730"/>
      <c r="P151" s="730"/>
      <c r="Q151" s="730"/>
      <c r="R151" s="730"/>
      <c r="S151" s="730">
        <v>149</v>
      </c>
      <c r="T151" s="730">
        <v>150</v>
      </c>
      <c r="U151" s="730"/>
      <c r="V151" s="730"/>
      <c r="W151" s="730"/>
      <c r="X151" s="730"/>
      <c r="Y151" s="729"/>
    </row>
    <row r="152" spans="12:25" x14ac:dyDescent="0.2">
      <c r="L152" s="730"/>
      <c r="M152" s="730"/>
      <c r="N152" s="730"/>
      <c r="O152" s="730"/>
      <c r="P152" s="730"/>
      <c r="Q152" s="730"/>
      <c r="R152" s="730"/>
      <c r="S152" s="730">
        <v>150</v>
      </c>
      <c r="T152" s="730">
        <v>150</v>
      </c>
      <c r="U152" s="730">
        <v>150</v>
      </c>
      <c r="V152" s="730"/>
      <c r="W152" s="730"/>
      <c r="X152" s="730"/>
      <c r="Y152" s="729"/>
    </row>
    <row r="153" spans="12:25" x14ac:dyDescent="0.2">
      <c r="L153" s="730"/>
      <c r="M153" s="730"/>
      <c r="N153" s="730"/>
      <c r="O153" s="730"/>
      <c r="P153" s="730"/>
      <c r="Q153" s="730"/>
      <c r="R153" s="730"/>
      <c r="S153" s="730">
        <v>151</v>
      </c>
      <c r="T153" s="730">
        <v>150</v>
      </c>
      <c r="U153" s="730"/>
      <c r="V153" s="730"/>
      <c r="W153" s="730"/>
      <c r="X153" s="730"/>
      <c r="Y153" s="729"/>
    </row>
    <row r="154" spans="12:25" x14ac:dyDescent="0.2">
      <c r="L154" s="730"/>
      <c r="M154" s="730"/>
      <c r="N154" s="730"/>
      <c r="O154" s="730"/>
      <c r="P154" s="730"/>
      <c r="Q154" s="730"/>
      <c r="R154" s="730"/>
      <c r="S154" s="730">
        <v>152</v>
      </c>
      <c r="T154" s="730">
        <v>150</v>
      </c>
      <c r="U154" s="730"/>
      <c r="V154" s="730"/>
      <c r="W154" s="730"/>
      <c r="X154" s="730"/>
      <c r="Y154" s="729"/>
    </row>
    <row r="155" spans="12:25" x14ac:dyDescent="0.2">
      <c r="L155" s="730"/>
      <c r="M155" s="730"/>
      <c r="N155" s="730"/>
      <c r="O155" s="730"/>
      <c r="P155" s="730"/>
      <c r="Q155" s="730"/>
      <c r="R155" s="730"/>
      <c r="S155" s="730">
        <v>153</v>
      </c>
      <c r="T155" s="730">
        <v>150</v>
      </c>
      <c r="U155" s="730"/>
      <c r="V155" s="730"/>
      <c r="W155" s="730"/>
      <c r="X155" s="730"/>
      <c r="Y155" s="729"/>
    </row>
    <row r="156" spans="12:25" x14ac:dyDescent="0.2">
      <c r="L156" s="730"/>
      <c r="M156" s="730"/>
      <c r="N156" s="730"/>
      <c r="O156" s="730"/>
      <c r="P156" s="730"/>
      <c r="Q156" s="730"/>
      <c r="R156" s="730"/>
      <c r="S156" s="730">
        <v>154</v>
      </c>
      <c r="T156" s="730">
        <v>150</v>
      </c>
      <c r="U156" s="730"/>
      <c r="V156" s="730"/>
      <c r="W156" s="730"/>
      <c r="X156" s="730"/>
      <c r="Y156" s="729"/>
    </row>
    <row r="157" spans="12:25" x14ac:dyDescent="0.2">
      <c r="L157" s="730"/>
      <c r="M157" s="730"/>
      <c r="N157" s="730"/>
      <c r="O157" s="730"/>
      <c r="P157" s="730"/>
      <c r="Q157" s="730"/>
      <c r="R157" s="730"/>
      <c r="S157" s="730">
        <v>155</v>
      </c>
      <c r="T157" s="730">
        <v>150</v>
      </c>
      <c r="U157" s="730"/>
      <c r="V157" s="730"/>
      <c r="W157" s="730"/>
      <c r="X157" s="730"/>
      <c r="Y157" s="729"/>
    </row>
    <row r="158" spans="12:25" x14ac:dyDescent="0.2">
      <c r="L158" s="730"/>
      <c r="M158" s="730"/>
      <c r="N158" s="730"/>
      <c r="O158" s="730"/>
      <c r="P158" s="730"/>
      <c r="Q158" s="730"/>
      <c r="R158" s="730"/>
      <c r="S158" s="730">
        <v>156</v>
      </c>
      <c r="T158" s="730">
        <v>150</v>
      </c>
      <c r="U158" s="730"/>
      <c r="V158" s="730"/>
      <c r="W158" s="730"/>
      <c r="X158" s="730"/>
      <c r="Y158" s="729"/>
    </row>
    <row r="159" spans="12:25" x14ac:dyDescent="0.2">
      <c r="L159" s="730"/>
      <c r="M159" s="730"/>
      <c r="N159" s="730"/>
      <c r="O159" s="730"/>
      <c r="P159" s="730"/>
      <c r="Q159" s="730"/>
      <c r="R159" s="730"/>
      <c r="S159" s="730">
        <v>157</v>
      </c>
      <c r="T159" s="730">
        <v>150</v>
      </c>
      <c r="U159" s="730"/>
      <c r="V159" s="730"/>
      <c r="W159" s="730"/>
      <c r="X159" s="730"/>
      <c r="Y159" s="729"/>
    </row>
    <row r="160" spans="12:25" x14ac:dyDescent="0.2">
      <c r="L160" s="730"/>
      <c r="M160" s="730"/>
      <c r="N160" s="730"/>
      <c r="O160" s="730"/>
      <c r="P160" s="730"/>
      <c r="Q160" s="730"/>
      <c r="R160" s="730"/>
      <c r="S160" s="730">
        <v>158</v>
      </c>
      <c r="T160" s="730">
        <v>150</v>
      </c>
      <c r="U160" s="730"/>
      <c r="V160" s="730"/>
      <c r="W160" s="730"/>
      <c r="X160" s="730"/>
      <c r="Y160" s="729"/>
    </row>
    <row r="161" spans="12:25" x14ac:dyDescent="0.2">
      <c r="L161" s="730"/>
      <c r="M161" s="730"/>
      <c r="N161" s="730"/>
      <c r="O161" s="730"/>
      <c r="P161" s="730"/>
      <c r="Q161" s="730"/>
      <c r="R161" s="730"/>
      <c r="S161" s="730">
        <v>159</v>
      </c>
      <c r="T161" s="730">
        <v>150</v>
      </c>
      <c r="U161" s="730"/>
      <c r="V161" s="730"/>
      <c r="W161" s="730"/>
      <c r="X161" s="730"/>
      <c r="Y161" s="729"/>
    </row>
    <row r="162" spans="12:25" x14ac:dyDescent="0.2">
      <c r="L162" s="730"/>
      <c r="M162" s="730"/>
      <c r="N162" s="730"/>
      <c r="O162" s="730"/>
      <c r="P162" s="730"/>
      <c r="Q162" s="730"/>
      <c r="R162" s="730"/>
      <c r="S162" s="730">
        <v>160</v>
      </c>
      <c r="T162" s="730">
        <v>150</v>
      </c>
      <c r="U162" s="730"/>
      <c r="V162" s="730"/>
      <c r="W162" s="730"/>
      <c r="X162" s="730"/>
      <c r="Y162" s="729"/>
    </row>
    <row r="163" spans="12:25" x14ac:dyDescent="0.2">
      <c r="L163" s="730"/>
      <c r="M163" s="730"/>
      <c r="N163" s="730"/>
      <c r="O163" s="730"/>
      <c r="P163" s="730"/>
      <c r="Q163" s="730"/>
      <c r="R163" s="730"/>
      <c r="S163" s="730">
        <v>161</v>
      </c>
      <c r="T163" s="730">
        <v>150</v>
      </c>
      <c r="U163" s="730"/>
      <c r="V163" s="730"/>
      <c r="W163" s="730"/>
      <c r="X163" s="730"/>
      <c r="Y163" s="729"/>
    </row>
    <row r="164" spans="12:25" x14ac:dyDescent="0.2">
      <c r="L164" s="730"/>
      <c r="M164" s="730"/>
      <c r="N164" s="730"/>
      <c r="O164" s="730"/>
      <c r="P164" s="730"/>
      <c r="Q164" s="730"/>
      <c r="R164" s="730"/>
      <c r="S164" s="730">
        <v>162</v>
      </c>
      <c r="T164" s="730">
        <v>150</v>
      </c>
      <c r="U164" s="730"/>
      <c r="V164" s="730"/>
      <c r="W164" s="730"/>
      <c r="X164" s="730"/>
      <c r="Y164" s="729"/>
    </row>
    <row r="165" spans="12:25" x14ac:dyDescent="0.2">
      <c r="L165" s="730"/>
      <c r="M165" s="730"/>
      <c r="N165" s="730"/>
      <c r="O165" s="730"/>
      <c r="P165" s="730"/>
      <c r="Q165" s="730"/>
      <c r="R165" s="730"/>
      <c r="S165" s="730">
        <v>163</v>
      </c>
      <c r="T165" s="730">
        <v>150</v>
      </c>
      <c r="U165" s="730"/>
      <c r="V165" s="730"/>
      <c r="W165" s="730"/>
      <c r="X165" s="730"/>
      <c r="Y165" s="729"/>
    </row>
    <row r="166" spans="12:25" x14ac:dyDescent="0.2">
      <c r="L166" s="730"/>
      <c r="M166" s="730"/>
      <c r="N166" s="730"/>
      <c r="O166" s="730"/>
      <c r="P166" s="730"/>
      <c r="Q166" s="730"/>
      <c r="R166" s="730"/>
      <c r="S166" s="730">
        <v>164</v>
      </c>
      <c r="T166" s="730">
        <v>150</v>
      </c>
      <c r="U166" s="730"/>
      <c r="V166" s="730"/>
      <c r="W166" s="730"/>
      <c r="X166" s="730"/>
      <c r="Y166" s="729"/>
    </row>
    <row r="167" spans="12:25" x14ac:dyDescent="0.2">
      <c r="L167" s="730"/>
      <c r="M167" s="730"/>
      <c r="N167" s="730"/>
      <c r="O167" s="730"/>
      <c r="P167" s="730"/>
      <c r="Q167" s="730"/>
      <c r="R167" s="730"/>
      <c r="S167" s="730">
        <v>165</v>
      </c>
      <c r="T167" s="730">
        <v>150</v>
      </c>
      <c r="U167" s="730"/>
      <c r="V167" s="730"/>
      <c r="W167" s="730"/>
      <c r="X167" s="730"/>
      <c r="Y167" s="729"/>
    </row>
    <row r="168" spans="12:25" x14ac:dyDescent="0.2">
      <c r="L168" s="730"/>
      <c r="M168" s="730"/>
      <c r="N168" s="730"/>
      <c r="O168" s="730"/>
      <c r="P168" s="730"/>
      <c r="Q168" s="730"/>
      <c r="R168" s="730"/>
      <c r="S168" s="730">
        <v>166</v>
      </c>
      <c r="T168" s="730">
        <v>150</v>
      </c>
      <c r="U168" s="730"/>
      <c r="V168" s="730"/>
      <c r="W168" s="730"/>
      <c r="X168" s="730"/>
      <c r="Y168" s="729"/>
    </row>
    <row r="169" spans="12:25" x14ac:dyDescent="0.2">
      <c r="L169" s="730"/>
      <c r="M169" s="730"/>
      <c r="N169" s="730"/>
      <c r="O169" s="730"/>
      <c r="P169" s="730"/>
      <c r="Q169" s="730"/>
      <c r="R169" s="730"/>
      <c r="S169" s="730">
        <v>167</v>
      </c>
      <c r="T169" s="730">
        <v>150</v>
      </c>
      <c r="U169" s="730"/>
      <c r="V169" s="730"/>
      <c r="W169" s="730"/>
      <c r="X169" s="730"/>
      <c r="Y169" s="729"/>
    </row>
    <row r="170" spans="12:25" x14ac:dyDescent="0.2">
      <c r="L170" s="730"/>
      <c r="M170" s="730"/>
      <c r="N170" s="730"/>
      <c r="O170" s="730"/>
      <c r="P170" s="730"/>
      <c r="Q170" s="730"/>
      <c r="R170" s="730"/>
      <c r="S170" s="730">
        <v>168</v>
      </c>
      <c r="T170" s="730">
        <v>150</v>
      </c>
      <c r="U170" s="730"/>
      <c r="V170" s="730"/>
      <c r="W170" s="730"/>
      <c r="X170" s="730"/>
      <c r="Y170" s="729"/>
    </row>
    <row r="171" spans="12:25" x14ac:dyDescent="0.2">
      <c r="L171" s="730"/>
      <c r="M171" s="730"/>
      <c r="N171" s="730"/>
      <c r="O171" s="730"/>
      <c r="P171" s="730"/>
      <c r="Q171" s="730"/>
      <c r="R171" s="730"/>
      <c r="S171" s="730">
        <v>169</v>
      </c>
      <c r="T171" s="730">
        <v>150</v>
      </c>
      <c r="U171" s="730"/>
      <c r="V171" s="730"/>
      <c r="W171" s="730"/>
      <c r="X171" s="730"/>
      <c r="Y171" s="729"/>
    </row>
    <row r="172" spans="12:25" x14ac:dyDescent="0.2">
      <c r="L172" s="730"/>
      <c r="M172" s="730"/>
      <c r="N172" s="730"/>
      <c r="O172" s="730"/>
      <c r="P172" s="730"/>
      <c r="Q172" s="730"/>
      <c r="R172" s="730"/>
      <c r="S172" s="730">
        <v>170</v>
      </c>
      <c r="T172" s="730">
        <v>150</v>
      </c>
      <c r="U172" s="730"/>
      <c r="V172" s="730"/>
      <c r="W172" s="730"/>
      <c r="X172" s="730"/>
      <c r="Y172" s="729"/>
    </row>
    <row r="173" spans="12:25" x14ac:dyDescent="0.2">
      <c r="L173" s="730"/>
      <c r="M173" s="730"/>
      <c r="N173" s="730"/>
      <c r="O173" s="730"/>
      <c r="P173" s="730"/>
      <c r="Q173" s="730"/>
      <c r="R173" s="730"/>
      <c r="S173" s="730">
        <v>171</v>
      </c>
      <c r="T173" s="730">
        <v>150</v>
      </c>
      <c r="U173" s="730"/>
      <c r="V173" s="730"/>
      <c r="W173" s="730"/>
      <c r="X173" s="730"/>
      <c r="Y173" s="729"/>
    </row>
    <row r="174" spans="12:25" x14ac:dyDescent="0.2">
      <c r="L174" s="730"/>
      <c r="M174" s="730"/>
      <c r="N174" s="730"/>
      <c r="O174" s="730"/>
      <c r="P174" s="730"/>
      <c r="Q174" s="730"/>
      <c r="R174" s="730"/>
      <c r="S174" s="730">
        <v>172</v>
      </c>
      <c r="T174" s="730">
        <v>150</v>
      </c>
      <c r="U174" s="730"/>
      <c r="V174" s="730"/>
      <c r="W174" s="730"/>
      <c r="X174" s="730"/>
      <c r="Y174" s="729"/>
    </row>
    <row r="175" spans="12:25" x14ac:dyDescent="0.2">
      <c r="L175" s="730"/>
      <c r="M175" s="730"/>
      <c r="N175" s="730"/>
      <c r="O175" s="730"/>
      <c r="P175" s="730"/>
      <c r="Q175" s="730"/>
      <c r="R175" s="730"/>
      <c r="S175" s="730">
        <v>173</v>
      </c>
      <c r="T175" s="730">
        <v>150</v>
      </c>
      <c r="U175" s="730"/>
      <c r="V175" s="730"/>
      <c r="W175" s="730"/>
      <c r="X175" s="730"/>
      <c r="Y175" s="729"/>
    </row>
    <row r="176" spans="12:25" x14ac:dyDescent="0.2">
      <c r="L176" s="730"/>
      <c r="M176" s="730"/>
      <c r="N176" s="730"/>
      <c r="O176" s="730"/>
      <c r="P176" s="730"/>
      <c r="Q176" s="730"/>
      <c r="R176" s="730"/>
      <c r="S176" s="730">
        <v>174</v>
      </c>
      <c r="T176" s="730">
        <v>150</v>
      </c>
      <c r="U176" s="730"/>
      <c r="V176" s="730"/>
      <c r="W176" s="730"/>
      <c r="X176" s="730"/>
      <c r="Y176" s="729"/>
    </row>
    <row r="177" spans="12:25" x14ac:dyDescent="0.2">
      <c r="L177" s="730"/>
      <c r="M177" s="730"/>
      <c r="N177" s="730"/>
      <c r="O177" s="730"/>
      <c r="P177" s="730"/>
      <c r="Q177" s="730"/>
      <c r="R177" s="730"/>
      <c r="S177" s="730">
        <v>175</v>
      </c>
      <c r="T177" s="730">
        <v>150</v>
      </c>
      <c r="U177" s="730"/>
      <c r="V177" s="730"/>
      <c r="W177" s="730"/>
      <c r="X177" s="730"/>
      <c r="Y177" s="729"/>
    </row>
    <row r="178" spans="12:25" x14ac:dyDescent="0.2">
      <c r="L178" s="730"/>
      <c r="M178" s="730"/>
      <c r="N178" s="730"/>
      <c r="O178" s="730"/>
      <c r="P178" s="730"/>
      <c r="Q178" s="730"/>
      <c r="R178" s="730"/>
      <c r="S178" s="730">
        <v>176</v>
      </c>
      <c r="T178" s="730">
        <v>150</v>
      </c>
      <c r="U178" s="730"/>
      <c r="V178" s="730"/>
      <c r="W178" s="730"/>
      <c r="X178" s="730"/>
      <c r="Y178" s="729"/>
    </row>
    <row r="179" spans="12:25" x14ac:dyDescent="0.2">
      <c r="L179" s="730"/>
      <c r="M179" s="730"/>
      <c r="N179" s="730"/>
      <c r="O179" s="730"/>
      <c r="P179" s="730"/>
      <c r="Q179" s="730"/>
      <c r="R179" s="730"/>
      <c r="S179" s="730">
        <v>177</v>
      </c>
      <c r="T179" s="730">
        <v>150</v>
      </c>
      <c r="U179" s="730"/>
      <c r="V179" s="730"/>
      <c r="W179" s="730"/>
      <c r="X179" s="730"/>
      <c r="Y179" s="729"/>
    </row>
    <row r="180" spans="12:25" x14ac:dyDescent="0.2">
      <c r="L180" s="730"/>
      <c r="M180" s="730"/>
      <c r="N180" s="730"/>
      <c r="O180" s="730"/>
      <c r="P180" s="730"/>
      <c r="Q180" s="730"/>
      <c r="R180" s="730"/>
      <c r="S180" s="730">
        <v>178</v>
      </c>
      <c r="T180" s="730">
        <v>150</v>
      </c>
      <c r="U180" s="730"/>
      <c r="V180" s="730"/>
      <c r="W180" s="730"/>
      <c r="X180" s="730"/>
      <c r="Y180" s="729"/>
    </row>
    <row r="181" spans="12:25" x14ac:dyDescent="0.2">
      <c r="L181" s="730"/>
      <c r="M181" s="730"/>
      <c r="N181" s="730"/>
      <c r="O181" s="730"/>
      <c r="P181" s="730"/>
      <c r="Q181" s="730"/>
      <c r="R181" s="730"/>
      <c r="S181" s="730">
        <v>179</v>
      </c>
      <c r="T181" s="730">
        <v>150</v>
      </c>
      <c r="U181" s="730"/>
      <c r="V181" s="730"/>
      <c r="W181" s="730"/>
      <c r="X181" s="730"/>
      <c r="Y181" s="729"/>
    </row>
    <row r="182" spans="12:25" x14ac:dyDescent="0.2">
      <c r="L182" s="730"/>
      <c r="M182" s="730"/>
      <c r="N182" s="730"/>
      <c r="O182" s="730"/>
      <c r="P182" s="730"/>
      <c r="Q182" s="730"/>
      <c r="R182" s="730"/>
      <c r="S182" s="730">
        <v>180</v>
      </c>
      <c r="T182" s="730">
        <v>150</v>
      </c>
      <c r="U182" s="730"/>
      <c r="V182" s="730"/>
      <c r="W182" s="730"/>
      <c r="X182" s="730"/>
      <c r="Y182" s="729"/>
    </row>
    <row r="183" spans="12:25" x14ac:dyDescent="0.2">
      <c r="L183" s="730"/>
      <c r="M183" s="730"/>
      <c r="N183" s="730"/>
      <c r="O183" s="730"/>
      <c r="P183" s="730"/>
      <c r="Q183" s="730"/>
      <c r="R183" s="730"/>
      <c r="S183" s="730">
        <v>181</v>
      </c>
      <c r="T183" s="730">
        <v>150</v>
      </c>
      <c r="U183" s="730"/>
      <c r="V183" s="730"/>
      <c r="W183" s="730"/>
      <c r="X183" s="730"/>
      <c r="Y183" s="729"/>
    </row>
    <row r="184" spans="12:25" x14ac:dyDescent="0.2">
      <c r="L184" s="730"/>
      <c r="M184" s="730"/>
      <c r="N184" s="730"/>
      <c r="O184" s="730"/>
      <c r="P184" s="730"/>
      <c r="Q184" s="730"/>
      <c r="R184" s="730"/>
      <c r="S184" s="730">
        <v>182</v>
      </c>
      <c r="T184" s="730">
        <v>150</v>
      </c>
      <c r="U184" s="730"/>
      <c r="V184" s="730"/>
      <c r="W184" s="730"/>
      <c r="X184" s="730"/>
      <c r="Y184" s="729"/>
    </row>
    <row r="185" spans="12:25" x14ac:dyDescent="0.2">
      <c r="L185" s="730"/>
      <c r="M185" s="730"/>
      <c r="N185" s="730"/>
      <c r="O185" s="730"/>
      <c r="P185" s="730"/>
      <c r="Q185" s="730"/>
      <c r="R185" s="730"/>
      <c r="S185" s="730">
        <v>183</v>
      </c>
      <c r="T185" s="730">
        <v>150</v>
      </c>
      <c r="U185" s="730"/>
      <c r="V185" s="730"/>
      <c r="W185" s="730"/>
      <c r="X185" s="730"/>
      <c r="Y185" s="729"/>
    </row>
    <row r="186" spans="12:25" x14ac:dyDescent="0.2">
      <c r="L186" s="730"/>
      <c r="M186" s="730"/>
      <c r="N186" s="730"/>
      <c r="O186" s="730"/>
      <c r="P186" s="730"/>
      <c r="Q186" s="730"/>
      <c r="R186" s="730"/>
      <c r="S186" s="730">
        <v>184</v>
      </c>
      <c r="T186" s="730">
        <v>150</v>
      </c>
      <c r="U186" s="730"/>
      <c r="V186" s="730"/>
      <c r="W186" s="730"/>
      <c r="X186" s="730"/>
      <c r="Y186" s="729"/>
    </row>
    <row r="187" spans="12:25" x14ac:dyDescent="0.2">
      <c r="L187" s="730"/>
      <c r="M187" s="730"/>
      <c r="N187" s="730"/>
      <c r="O187" s="730"/>
      <c r="P187" s="730"/>
      <c r="Q187" s="730"/>
      <c r="R187" s="730"/>
      <c r="S187" s="730">
        <v>185</v>
      </c>
      <c r="T187" s="730">
        <v>150</v>
      </c>
      <c r="U187" s="730"/>
      <c r="V187" s="730"/>
      <c r="W187" s="730"/>
      <c r="X187" s="730"/>
      <c r="Y187" s="729"/>
    </row>
    <row r="188" spans="12:25" x14ac:dyDescent="0.2">
      <c r="L188" s="730"/>
      <c r="M188" s="730"/>
      <c r="N188" s="730"/>
      <c r="O188" s="730"/>
      <c r="P188" s="730"/>
      <c r="Q188" s="730"/>
      <c r="R188" s="730"/>
      <c r="S188" s="730">
        <v>186</v>
      </c>
      <c r="T188" s="730">
        <v>150</v>
      </c>
      <c r="U188" s="730"/>
      <c r="V188" s="730"/>
      <c r="W188" s="730"/>
      <c r="X188" s="730"/>
      <c r="Y188" s="729"/>
    </row>
    <row r="189" spans="12:25" x14ac:dyDescent="0.2">
      <c r="L189" s="730"/>
      <c r="M189" s="730"/>
      <c r="N189" s="730"/>
      <c r="O189" s="730"/>
      <c r="P189" s="730"/>
      <c r="Q189" s="730"/>
      <c r="R189" s="730"/>
      <c r="S189" s="730">
        <v>187</v>
      </c>
      <c r="T189" s="730">
        <v>150</v>
      </c>
      <c r="U189" s="730"/>
      <c r="V189" s="730"/>
      <c r="W189" s="730"/>
      <c r="X189" s="730"/>
      <c r="Y189" s="729"/>
    </row>
    <row r="190" spans="12:25" x14ac:dyDescent="0.2">
      <c r="L190" s="730"/>
      <c r="M190" s="730"/>
      <c r="N190" s="730"/>
      <c r="O190" s="730"/>
      <c r="P190" s="730"/>
      <c r="Q190" s="730"/>
      <c r="R190" s="730"/>
      <c r="S190" s="730">
        <v>188</v>
      </c>
      <c r="T190" s="730">
        <v>150</v>
      </c>
      <c r="U190" s="730"/>
      <c r="V190" s="730"/>
      <c r="W190" s="730"/>
      <c r="X190" s="730"/>
      <c r="Y190" s="729"/>
    </row>
    <row r="191" spans="12:25" x14ac:dyDescent="0.2">
      <c r="L191" s="730"/>
      <c r="M191" s="730"/>
      <c r="N191" s="730"/>
      <c r="O191" s="730"/>
      <c r="P191" s="730"/>
      <c r="Q191" s="730"/>
      <c r="R191" s="730"/>
      <c r="S191" s="730">
        <v>189</v>
      </c>
      <c r="T191" s="730">
        <v>150</v>
      </c>
      <c r="U191" s="730"/>
      <c r="V191" s="730"/>
      <c r="W191" s="730"/>
      <c r="X191" s="730"/>
      <c r="Y191" s="729"/>
    </row>
    <row r="192" spans="12:25" x14ac:dyDescent="0.2">
      <c r="L192" s="730"/>
      <c r="M192" s="730"/>
      <c r="N192" s="730"/>
      <c r="O192" s="730"/>
      <c r="P192" s="730"/>
      <c r="Q192" s="730"/>
      <c r="R192" s="730"/>
      <c r="S192" s="730">
        <v>190</v>
      </c>
      <c r="T192" s="730">
        <v>150</v>
      </c>
      <c r="U192" s="730"/>
      <c r="V192" s="730"/>
      <c r="W192" s="730"/>
      <c r="X192" s="730"/>
      <c r="Y192" s="729"/>
    </row>
    <row r="193" spans="12:25" x14ac:dyDescent="0.2">
      <c r="L193" s="730"/>
      <c r="M193" s="730"/>
      <c r="N193" s="730"/>
      <c r="O193" s="730"/>
      <c r="P193" s="730"/>
      <c r="Q193" s="730"/>
      <c r="R193" s="730"/>
      <c r="S193" s="730">
        <v>191</v>
      </c>
      <c r="T193" s="730">
        <v>150</v>
      </c>
      <c r="U193" s="730"/>
      <c r="V193" s="730"/>
      <c r="W193" s="730"/>
      <c r="X193" s="730"/>
      <c r="Y193" s="729"/>
    </row>
    <row r="194" spans="12:25" x14ac:dyDescent="0.2">
      <c r="L194" s="730"/>
      <c r="M194" s="730"/>
      <c r="N194" s="730"/>
      <c r="O194" s="730"/>
      <c r="P194" s="730"/>
      <c r="Q194" s="730"/>
      <c r="R194" s="730"/>
      <c r="S194" s="730">
        <v>192</v>
      </c>
      <c r="T194" s="730">
        <v>150</v>
      </c>
      <c r="U194" s="730"/>
      <c r="V194" s="730"/>
      <c r="W194" s="730"/>
      <c r="X194" s="730"/>
      <c r="Y194" s="729"/>
    </row>
    <row r="195" spans="12:25" x14ac:dyDescent="0.2">
      <c r="L195" s="730"/>
      <c r="M195" s="730"/>
      <c r="N195" s="730"/>
      <c r="O195" s="730"/>
      <c r="P195" s="730"/>
      <c r="Q195" s="730"/>
      <c r="R195" s="730"/>
      <c r="S195" s="730">
        <v>193</v>
      </c>
      <c r="T195" s="730">
        <v>150</v>
      </c>
      <c r="U195" s="730"/>
      <c r="V195" s="730"/>
      <c r="W195" s="730"/>
      <c r="X195" s="730"/>
      <c r="Y195" s="729"/>
    </row>
    <row r="196" spans="12:25" x14ac:dyDescent="0.2">
      <c r="L196" s="730"/>
      <c r="M196" s="730"/>
      <c r="N196" s="730"/>
      <c r="O196" s="730"/>
      <c r="P196" s="730"/>
      <c r="Q196" s="730"/>
      <c r="R196" s="730"/>
      <c r="S196" s="730">
        <v>194</v>
      </c>
      <c r="T196" s="730">
        <v>150</v>
      </c>
      <c r="U196" s="730"/>
      <c r="V196" s="730"/>
      <c r="W196" s="730"/>
      <c r="X196" s="730"/>
      <c r="Y196" s="729"/>
    </row>
    <row r="197" spans="12:25" x14ac:dyDescent="0.2">
      <c r="L197" s="730"/>
      <c r="M197" s="730"/>
      <c r="N197" s="730"/>
      <c r="O197" s="730"/>
      <c r="P197" s="730"/>
      <c r="Q197" s="730"/>
      <c r="R197" s="730"/>
      <c r="S197" s="730">
        <v>195</v>
      </c>
      <c r="T197" s="730">
        <v>150</v>
      </c>
      <c r="U197" s="730"/>
      <c r="V197" s="730"/>
      <c r="W197" s="730"/>
      <c r="X197" s="730"/>
      <c r="Y197" s="729"/>
    </row>
    <row r="198" spans="12:25" x14ac:dyDescent="0.2">
      <c r="L198" s="730"/>
      <c r="M198" s="730"/>
      <c r="N198" s="730"/>
      <c r="O198" s="730"/>
      <c r="P198" s="730"/>
      <c r="Q198" s="730"/>
      <c r="R198" s="730"/>
      <c r="S198" s="730">
        <v>196</v>
      </c>
      <c r="T198" s="730">
        <v>150</v>
      </c>
      <c r="U198" s="730"/>
      <c r="V198" s="730"/>
      <c r="W198" s="730"/>
      <c r="X198" s="730"/>
      <c r="Y198" s="729"/>
    </row>
    <row r="199" spans="12:25" x14ac:dyDescent="0.2">
      <c r="L199" s="730"/>
      <c r="M199" s="730"/>
      <c r="N199" s="730"/>
      <c r="O199" s="730"/>
      <c r="P199" s="730"/>
      <c r="Q199" s="730"/>
      <c r="R199" s="730"/>
      <c r="S199" s="730">
        <v>197</v>
      </c>
      <c r="T199" s="730">
        <v>150</v>
      </c>
      <c r="U199" s="730"/>
      <c r="V199" s="730"/>
      <c r="W199" s="730"/>
      <c r="X199" s="730"/>
      <c r="Y199" s="729"/>
    </row>
    <row r="200" spans="12:25" x14ac:dyDescent="0.2">
      <c r="L200" s="730"/>
      <c r="M200" s="730"/>
      <c r="N200" s="730"/>
      <c r="O200" s="730"/>
      <c r="P200" s="730"/>
      <c r="Q200" s="730"/>
      <c r="R200" s="730"/>
      <c r="S200" s="730">
        <v>198</v>
      </c>
      <c r="T200" s="730">
        <v>150</v>
      </c>
      <c r="U200" s="730"/>
      <c r="V200" s="730"/>
      <c r="W200" s="730"/>
      <c r="X200" s="730"/>
      <c r="Y200" s="729"/>
    </row>
    <row r="201" spans="12:25" x14ac:dyDescent="0.2">
      <c r="L201" s="730"/>
      <c r="M201" s="730"/>
      <c r="N201" s="730"/>
      <c r="O201" s="730"/>
      <c r="P201" s="730"/>
      <c r="Q201" s="730"/>
      <c r="R201" s="730"/>
      <c r="S201" s="730">
        <v>199</v>
      </c>
      <c r="T201" s="730">
        <v>150</v>
      </c>
      <c r="U201" s="730"/>
      <c r="V201" s="730"/>
      <c r="W201" s="730"/>
      <c r="X201" s="730"/>
      <c r="Y201" s="729"/>
    </row>
    <row r="202" spans="12:25" x14ac:dyDescent="0.2">
      <c r="L202" s="730"/>
      <c r="M202" s="730"/>
      <c r="N202" s="730"/>
      <c r="O202" s="730"/>
      <c r="P202" s="730"/>
      <c r="Q202" s="730"/>
      <c r="R202" s="730"/>
      <c r="S202" s="730">
        <v>200</v>
      </c>
      <c r="T202" s="730">
        <v>150</v>
      </c>
      <c r="U202" s="730">
        <v>200</v>
      </c>
      <c r="V202" s="730"/>
      <c r="W202" s="730"/>
      <c r="X202" s="730"/>
      <c r="Y202" s="729"/>
    </row>
    <row r="203" spans="12:25" x14ac:dyDescent="0.2">
      <c r="L203" s="730"/>
      <c r="M203" s="730"/>
      <c r="N203" s="730"/>
      <c r="O203" s="730"/>
      <c r="P203" s="730"/>
      <c r="Q203" s="730"/>
      <c r="R203" s="730"/>
      <c r="S203" s="730">
        <v>201</v>
      </c>
      <c r="T203" s="730">
        <v>150</v>
      </c>
      <c r="U203" s="730"/>
      <c r="V203" s="730"/>
      <c r="W203" s="730"/>
      <c r="X203" s="730"/>
      <c r="Y203" s="729"/>
    </row>
    <row r="204" spans="12:25" x14ac:dyDescent="0.2">
      <c r="L204" s="730"/>
      <c r="M204" s="730"/>
      <c r="N204" s="730"/>
      <c r="O204" s="730"/>
      <c r="P204" s="730"/>
      <c r="Q204" s="730"/>
      <c r="R204" s="730"/>
      <c r="S204" s="730">
        <v>202</v>
      </c>
      <c r="T204" s="730">
        <v>150</v>
      </c>
      <c r="U204" s="730"/>
      <c r="V204" s="730"/>
      <c r="W204" s="730"/>
      <c r="X204" s="730"/>
      <c r="Y204" s="729"/>
    </row>
    <row r="205" spans="12:25" x14ac:dyDescent="0.2">
      <c r="L205" s="730"/>
      <c r="M205" s="730"/>
      <c r="N205" s="730"/>
      <c r="O205" s="730"/>
      <c r="P205" s="730"/>
      <c r="Q205" s="730"/>
      <c r="R205" s="730"/>
      <c r="S205" s="730">
        <v>203</v>
      </c>
      <c r="T205" s="730">
        <v>150</v>
      </c>
      <c r="U205" s="730"/>
      <c r="V205" s="730"/>
      <c r="W205" s="730"/>
      <c r="X205" s="730"/>
      <c r="Y205" s="729"/>
    </row>
    <row r="206" spans="12:25" x14ac:dyDescent="0.2">
      <c r="L206" s="730"/>
      <c r="M206" s="730"/>
      <c r="N206" s="730"/>
      <c r="O206" s="730"/>
      <c r="P206" s="730"/>
      <c r="Q206" s="730"/>
      <c r="R206" s="730"/>
      <c r="S206" s="730">
        <v>204</v>
      </c>
      <c r="T206" s="730">
        <v>150</v>
      </c>
      <c r="U206" s="730"/>
      <c r="V206" s="730"/>
      <c r="W206" s="730"/>
      <c r="X206" s="730"/>
      <c r="Y206" s="729"/>
    </row>
    <row r="207" spans="12:25" x14ac:dyDescent="0.2">
      <c r="L207" s="730"/>
      <c r="M207" s="730"/>
      <c r="N207" s="730"/>
      <c r="O207" s="730"/>
      <c r="P207" s="730"/>
      <c r="Q207" s="730"/>
      <c r="R207" s="730"/>
      <c r="S207" s="730">
        <v>205</v>
      </c>
      <c r="T207" s="730">
        <v>150</v>
      </c>
      <c r="U207" s="730"/>
      <c r="V207" s="730"/>
      <c r="W207" s="730"/>
      <c r="X207" s="730"/>
      <c r="Y207" s="729"/>
    </row>
    <row r="208" spans="12:25" x14ac:dyDescent="0.2">
      <c r="L208" s="730"/>
      <c r="M208" s="730"/>
      <c r="N208" s="730"/>
      <c r="O208" s="730"/>
      <c r="P208" s="730"/>
      <c r="Q208" s="730"/>
      <c r="R208" s="730"/>
      <c r="S208" s="730">
        <v>206</v>
      </c>
      <c r="T208" s="730">
        <v>150</v>
      </c>
      <c r="U208" s="730"/>
      <c r="V208" s="730"/>
      <c r="W208" s="730"/>
      <c r="X208" s="730"/>
      <c r="Y208" s="729"/>
    </row>
    <row r="209" spans="12:25" x14ac:dyDescent="0.2">
      <c r="L209" s="730"/>
      <c r="M209" s="730"/>
      <c r="N209" s="730"/>
      <c r="O209" s="730"/>
      <c r="P209" s="730"/>
      <c r="Q209" s="730"/>
      <c r="R209" s="730"/>
      <c r="S209" s="730">
        <v>207</v>
      </c>
      <c r="T209" s="730">
        <v>150</v>
      </c>
      <c r="U209" s="730"/>
      <c r="V209" s="730"/>
      <c r="W209" s="730"/>
      <c r="X209" s="730"/>
      <c r="Y209" s="729"/>
    </row>
    <row r="210" spans="12:25" x14ac:dyDescent="0.2">
      <c r="L210" s="730"/>
      <c r="M210" s="730"/>
      <c r="N210" s="730"/>
      <c r="O210" s="730"/>
      <c r="P210" s="730"/>
      <c r="Q210" s="730"/>
      <c r="R210" s="730"/>
      <c r="S210" s="730">
        <v>208</v>
      </c>
      <c r="T210" s="730">
        <v>150</v>
      </c>
      <c r="U210" s="730"/>
      <c r="V210" s="730"/>
      <c r="W210" s="730"/>
      <c r="X210" s="730"/>
      <c r="Y210" s="729"/>
    </row>
    <row r="211" spans="12:25" x14ac:dyDescent="0.2">
      <c r="L211" s="730"/>
      <c r="M211" s="730"/>
      <c r="N211" s="730"/>
      <c r="O211" s="730"/>
      <c r="P211" s="730"/>
      <c r="Q211" s="730"/>
      <c r="R211" s="730"/>
      <c r="S211" s="730">
        <v>209</v>
      </c>
      <c r="T211" s="730">
        <v>150</v>
      </c>
      <c r="U211" s="730"/>
      <c r="V211" s="730"/>
      <c r="W211" s="730"/>
      <c r="X211" s="730"/>
      <c r="Y211" s="729"/>
    </row>
    <row r="212" spans="12:25" x14ac:dyDescent="0.2">
      <c r="L212" s="730"/>
      <c r="M212" s="730"/>
      <c r="N212" s="730"/>
      <c r="O212" s="730"/>
      <c r="P212" s="730"/>
      <c r="Q212" s="730"/>
      <c r="R212" s="730"/>
      <c r="S212" s="730">
        <v>210</v>
      </c>
      <c r="T212" s="730">
        <v>150</v>
      </c>
      <c r="U212" s="730"/>
      <c r="V212" s="730"/>
      <c r="W212" s="730"/>
      <c r="X212" s="730"/>
      <c r="Y212" s="729"/>
    </row>
    <row r="213" spans="12:25" x14ac:dyDescent="0.2">
      <c r="L213" s="730"/>
      <c r="M213" s="730"/>
      <c r="N213" s="730"/>
      <c r="O213" s="730"/>
      <c r="P213" s="730"/>
      <c r="Q213" s="730"/>
      <c r="R213" s="730"/>
      <c r="S213" s="730">
        <v>211</v>
      </c>
      <c r="T213" s="730">
        <v>150</v>
      </c>
      <c r="U213" s="730"/>
      <c r="V213" s="730"/>
      <c r="W213" s="730"/>
      <c r="X213" s="730"/>
      <c r="Y213" s="729"/>
    </row>
    <row r="214" spans="12:25" x14ac:dyDescent="0.2">
      <c r="L214" s="730"/>
      <c r="M214" s="730"/>
      <c r="N214" s="730"/>
      <c r="O214" s="730"/>
      <c r="P214" s="730"/>
      <c r="Q214" s="730"/>
      <c r="R214" s="730"/>
      <c r="S214" s="730">
        <v>212</v>
      </c>
      <c r="T214" s="730">
        <v>150</v>
      </c>
      <c r="U214" s="730"/>
      <c r="V214" s="730"/>
      <c r="W214" s="730"/>
      <c r="X214" s="730"/>
      <c r="Y214" s="729"/>
    </row>
    <row r="215" spans="12:25" x14ac:dyDescent="0.2">
      <c r="L215" s="730"/>
      <c r="M215" s="730"/>
      <c r="N215" s="730"/>
      <c r="O215" s="730"/>
      <c r="P215" s="730"/>
      <c r="Q215" s="730"/>
      <c r="R215" s="730"/>
      <c r="S215" s="730">
        <v>213</v>
      </c>
      <c r="T215" s="730">
        <v>150</v>
      </c>
      <c r="U215" s="730"/>
      <c r="V215" s="730"/>
      <c r="W215" s="730"/>
      <c r="X215" s="730"/>
      <c r="Y215" s="729"/>
    </row>
    <row r="216" spans="12:25" x14ac:dyDescent="0.2">
      <c r="L216" s="730"/>
      <c r="M216" s="730"/>
      <c r="N216" s="730"/>
      <c r="O216" s="730"/>
      <c r="P216" s="730"/>
      <c r="Q216" s="730"/>
      <c r="R216" s="730"/>
      <c r="S216" s="730">
        <v>214</v>
      </c>
      <c r="T216" s="730">
        <v>150</v>
      </c>
      <c r="U216" s="730"/>
      <c r="V216" s="730"/>
      <c r="W216" s="730"/>
      <c r="X216" s="730"/>
      <c r="Y216" s="729"/>
    </row>
    <row r="217" spans="12:25" x14ac:dyDescent="0.2">
      <c r="L217" s="730"/>
      <c r="M217" s="730"/>
      <c r="N217" s="730"/>
      <c r="O217" s="730"/>
      <c r="P217" s="730"/>
      <c r="Q217" s="730"/>
      <c r="R217" s="730"/>
      <c r="S217" s="730">
        <v>215</v>
      </c>
      <c r="T217" s="730">
        <v>150</v>
      </c>
      <c r="U217" s="730"/>
      <c r="V217" s="730"/>
      <c r="W217" s="730"/>
      <c r="X217" s="730"/>
      <c r="Y217" s="729"/>
    </row>
    <row r="218" spans="12:25" x14ac:dyDescent="0.2">
      <c r="L218" s="730"/>
      <c r="M218" s="730"/>
      <c r="N218" s="730"/>
      <c r="O218" s="730"/>
      <c r="P218" s="730"/>
      <c r="Q218" s="730"/>
      <c r="R218" s="730"/>
      <c r="S218" s="730">
        <v>216</v>
      </c>
      <c r="T218" s="730">
        <v>150</v>
      </c>
      <c r="U218" s="730"/>
      <c r="V218" s="730"/>
      <c r="W218" s="730"/>
      <c r="X218" s="730"/>
      <c r="Y218" s="729"/>
    </row>
    <row r="219" spans="12:25" x14ac:dyDescent="0.2">
      <c r="L219" s="730"/>
      <c r="M219" s="730"/>
      <c r="N219" s="730"/>
      <c r="O219" s="730"/>
      <c r="P219" s="730"/>
      <c r="Q219" s="730"/>
      <c r="R219" s="730"/>
      <c r="S219" s="730">
        <v>217</v>
      </c>
      <c r="T219" s="730">
        <v>150</v>
      </c>
      <c r="U219" s="730"/>
      <c r="V219" s="730"/>
      <c r="W219" s="730"/>
      <c r="X219" s="730"/>
      <c r="Y219" s="729"/>
    </row>
    <row r="220" spans="12:25" x14ac:dyDescent="0.2">
      <c r="L220" s="730"/>
      <c r="M220" s="730"/>
      <c r="N220" s="730"/>
      <c r="O220" s="730"/>
      <c r="P220" s="730"/>
      <c r="Q220" s="730"/>
      <c r="R220" s="730"/>
      <c r="S220" s="730">
        <v>218</v>
      </c>
      <c r="T220" s="730">
        <v>150</v>
      </c>
      <c r="U220" s="730"/>
      <c r="V220" s="730"/>
      <c r="W220" s="730"/>
      <c r="X220" s="730"/>
      <c r="Y220" s="729"/>
    </row>
    <row r="221" spans="12:25" x14ac:dyDescent="0.2">
      <c r="L221" s="730"/>
      <c r="M221" s="730"/>
      <c r="N221" s="730"/>
      <c r="O221" s="730"/>
      <c r="P221" s="730"/>
      <c r="Q221" s="730"/>
      <c r="R221" s="730"/>
      <c r="S221" s="730">
        <v>219</v>
      </c>
      <c r="T221" s="730">
        <v>150</v>
      </c>
      <c r="U221" s="730"/>
      <c r="V221" s="730"/>
      <c r="W221" s="730"/>
      <c r="X221" s="730"/>
      <c r="Y221" s="729"/>
    </row>
    <row r="222" spans="12:25" x14ac:dyDescent="0.2">
      <c r="L222" s="730"/>
      <c r="M222" s="730"/>
      <c r="N222" s="730"/>
      <c r="O222" s="730"/>
      <c r="P222" s="730"/>
      <c r="Q222" s="730"/>
      <c r="R222" s="730"/>
      <c r="S222" s="730">
        <v>220</v>
      </c>
      <c r="T222" s="730">
        <v>150</v>
      </c>
      <c r="U222" s="730"/>
      <c r="V222" s="730"/>
      <c r="W222" s="730"/>
      <c r="X222" s="730"/>
      <c r="Y222" s="729"/>
    </row>
    <row r="223" spans="12:25" x14ac:dyDescent="0.2">
      <c r="L223" s="730"/>
      <c r="M223" s="730"/>
      <c r="N223" s="730"/>
      <c r="O223" s="730"/>
      <c r="P223" s="730"/>
      <c r="Q223" s="730"/>
      <c r="R223" s="730"/>
      <c r="S223" s="730">
        <v>221</v>
      </c>
      <c r="T223" s="730">
        <v>150</v>
      </c>
      <c r="U223" s="730"/>
      <c r="V223" s="730"/>
      <c r="W223" s="730"/>
      <c r="X223" s="730"/>
      <c r="Y223" s="729"/>
    </row>
    <row r="224" spans="12:25" x14ac:dyDescent="0.2">
      <c r="L224" s="730"/>
      <c r="M224" s="730"/>
      <c r="N224" s="730"/>
      <c r="O224" s="730"/>
      <c r="P224" s="730"/>
      <c r="Q224" s="730"/>
      <c r="R224" s="730"/>
      <c r="S224" s="730">
        <v>222</v>
      </c>
      <c r="T224" s="730">
        <v>150</v>
      </c>
      <c r="U224" s="730"/>
      <c r="V224" s="730"/>
      <c r="W224" s="730"/>
      <c r="X224" s="730"/>
      <c r="Y224" s="729"/>
    </row>
    <row r="225" spans="12:25" x14ac:dyDescent="0.2">
      <c r="L225" s="730"/>
      <c r="M225" s="730"/>
      <c r="N225" s="730"/>
      <c r="O225" s="730"/>
      <c r="P225" s="730"/>
      <c r="Q225" s="730"/>
      <c r="R225" s="730"/>
      <c r="S225" s="730">
        <v>223</v>
      </c>
      <c r="T225" s="730">
        <v>150</v>
      </c>
      <c r="U225" s="730"/>
      <c r="V225" s="730"/>
      <c r="W225" s="730"/>
      <c r="X225" s="730"/>
      <c r="Y225" s="729"/>
    </row>
    <row r="226" spans="12:25" x14ac:dyDescent="0.2">
      <c r="L226" s="730"/>
      <c r="M226" s="730"/>
      <c r="N226" s="730"/>
      <c r="O226" s="730"/>
      <c r="P226" s="730"/>
      <c r="Q226" s="730"/>
      <c r="R226" s="730"/>
      <c r="S226" s="730">
        <v>224</v>
      </c>
      <c r="T226" s="730">
        <v>150</v>
      </c>
      <c r="U226" s="730"/>
      <c r="V226" s="730"/>
      <c r="W226" s="730"/>
      <c r="X226" s="730"/>
      <c r="Y226" s="729"/>
    </row>
    <row r="227" spans="12:25" x14ac:dyDescent="0.2">
      <c r="L227" s="730"/>
      <c r="M227" s="730"/>
      <c r="N227" s="730"/>
      <c r="O227" s="730"/>
      <c r="P227" s="730"/>
      <c r="Q227" s="730"/>
      <c r="R227" s="730"/>
      <c r="S227" s="730">
        <v>225</v>
      </c>
      <c r="T227" s="730">
        <v>150</v>
      </c>
      <c r="U227" s="730"/>
      <c r="V227" s="730"/>
      <c r="W227" s="730"/>
      <c r="X227" s="730"/>
      <c r="Y227" s="729"/>
    </row>
    <row r="228" spans="12:25" x14ac:dyDescent="0.2">
      <c r="L228" s="730"/>
      <c r="M228" s="730"/>
      <c r="N228" s="730"/>
      <c r="O228" s="730"/>
      <c r="P228" s="730"/>
      <c r="Q228" s="730"/>
      <c r="R228" s="730"/>
      <c r="S228" s="730">
        <v>226</v>
      </c>
      <c r="T228" s="730">
        <v>150</v>
      </c>
      <c r="U228" s="730"/>
      <c r="V228" s="730"/>
      <c r="W228" s="730"/>
      <c r="X228" s="730"/>
      <c r="Y228" s="729"/>
    </row>
    <row r="229" spans="12:25" x14ac:dyDescent="0.2">
      <c r="L229" s="730"/>
      <c r="M229" s="730"/>
      <c r="N229" s="730"/>
      <c r="O229" s="730"/>
      <c r="P229" s="730"/>
      <c r="Q229" s="730"/>
      <c r="R229" s="730"/>
      <c r="S229" s="730">
        <v>227</v>
      </c>
      <c r="T229" s="730">
        <v>150</v>
      </c>
      <c r="U229" s="730"/>
      <c r="V229" s="730"/>
      <c r="W229" s="730"/>
      <c r="X229" s="730"/>
      <c r="Y229" s="729"/>
    </row>
    <row r="230" spans="12:25" x14ac:dyDescent="0.2">
      <c r="L230" s="730"/>
      <c r="M230" s="730"/>
      <c r="N230" s="730"/>
      <c r="O230" s="730"/>
      <c r="P230" s="730"/>
      <c r="Q230" s="730"/>
      <c r="R230" s="730"/>
      <c r="S230" s="730">
        <v>228</v>
      </c>
      <c r="T230" s="730">
        <v>150</v>
      </c>
      <c r="U230" s="730"/>
      <c r="V230" s="730"/>
      <c r="W230" s="730"/>
      <c r="X230" s="730"/>
      <c r="Y230" s="729"/>
    </row>
    <row r="231" spans="12:25" x14ac:dyDescent="0.2">
      <c r="L231" s="730"/>
      <c r="M231" s="730"/>
      <c r="N231" s="730"/>
      <c r="O231" s="730"/>
      <c r="P231" s="730"/>
      <c r="Q231" s="730"/>
      <c r="R231" s="730"/>
      <c r="S231" s="730">
        <v>229</v>
      </c>
      <c r="T231" s="730">
        <v>150</v>
      </c>
      <c r="U231" s="730"/>
      <c r="V231" s="730"/>
      <c r="W231" s="730"/>
      <c r="X231" s="730"/>
      <c r="Y231" s="729"/>
    </row>
    <row r="232" spans="12:25" x14ac:dyDescent="0.2">
      <c r="L232" s="730"/>
      <c r="M232" s="730"/>
      <c r="N232" s="730"/>
      <c r="O232" s="730"/>
      <c r="P232" s="730"/>
      <c r="Q232" s="730"/>
      <c r="R232" s="730"/>
      <c r="S232" s="730">
        <v>230</v>
      </c>
      <c r="T232" s="730">
        <v>150</v>
      </c>
      <c r="U232" s="730"/>
      <c r="V232" s="730"/>
      <c r="W232" s="730"/>
      <c r="X232" s="730"/>
      <c r="Y232" s="729"/>
    </row>
    <row r="233" spans="12:25" x14ac:dyDescent="0.2">
      <c r="L233" s="730"/>
      <c r="M233" s="730"/>
      <c r="N233" s="730"/>
      <c r="O233" s="730"/>
      <c r="P233" s="730"/>
      <c r="Q233" s="730"/>
      <c r="R233" s="730"/>
      <c r="S233" s="730">
        <v>231</v>
      </c>
      <c r="T233" s="730">
        <v>150</v>
      </c>
      <c r="U233" s="730"/>
      <c r="V233" s="730"/>
      <c r="W233" s="730"/>
      <c r="X233" s="730"/>
      <c r="Y233" s="729"/>
    </row>
    <row r="234" spans="12:25" x14ac:dyDescent="0.2">
      <c r="L234" s="730"/>
      <c r="M234" s="730"/>
      <c r="N234" s="730"/>
      <c r="O234" s="730"/>
      <c r="P234" s="730"/>
      <c r="Q234" s="730"/>
      <c r="R234" s="730"/>
      <c r="S234" s="730">
        <v>232</v>
      </c>
      <c r="T234" s="730">
        <v>150</v>
      </c>
      <c r="U234" s="730"/>
      <c r="V234" s="730"/>
      <c r="W234" s="730"/>
      <c r="X234" s="730"/>
      <c r="Y234" s="729"/>
    </row>
    <row r="235" spans="12:25" x14ac:dyDescent="0.2">
      <c r="L235" s="730"/>
      <c r="M235" s="730"/>
      <c r="N235" s="730"/>
      <c r="O235" s="730"/>
      <c r="P235" s="730"/>
      <c r="Q235" s="730"/>
      <c r="R235" s="730"/>
      <c r="S235" s="730">
        <v>233</v>
      </c>
      <c r="T235" s="730">
        <v>150</v>
      </c>
      <c r="U235" s="730"/>
      <c r="V235" s="730"/>
      <c r="W235" s="730"/>
      <c r="X235" s="730"/>
      <c r="Y235" s="729"/>
    </row>
    <row r="236" spans="12:25" x14ac:dyDescent="0.2">
      <c r="L236" s="730"/>
      <c r="M236" s="730"/>
      <c r="N236" s="730"/>
      <c r="O236" s="730"/>
      <c r="P236" s="730"/>
      <c r="Q236" s="730"/>
      <c r="R236" s="730"/>
      <c r="S236" s="730">
        <v>234</v>
      </c>
      <c r="T236" s="730">
        <v>150</v>
      </c>
      <c r="U236" s="730"/>
      <c r="V236" s="730"/>
      <c r="W236" s="730"/>
      <c r="X236" s="730"/>
      <c r="Y236" s="729"/>
    </row>
    <row r="237" spans="12:25" x14ac:dyDescent="0.2">
      <c r="L237" s="730"/>
      <c r="M237" s="730"/>
      <c r="N237" s="730"/>
      <c r="O237" s="730"/>
      <c r="P237" s="730"/>
      <c r="Q237" s="730"/>
      <c r="R237" s="730"/>
      <c r="S237" s="730">
        <v>235</v>
      </c>
      <c r="T237" s="730">
        <v>150</v>
      </c>
      <c r="U237" s="730"/>
      <c r="V237" s="730"/>
      <c r="W237" s="730"/>
      <c r="X237" s="730"/>
      <c r="Y237" s="729"/>
    </row>
    <row r="238" spans="12:25" x14ac:dyDescent="0.2">
      <c r="L238" s="730"/>
      <c r="M238" s="730"/>
      <c r="N238" s="730"/>
      <c r="O238" s="730"/>
      <c r="P238" s="730"/>
      <c r="Q238" s="730"/>
      <c r="R238" s="730"/>
      <c r="S238" s="730">
        <v>236</v>
      </c>
      <c r="T238" s="730">
        <v>150</v>
      </c>
      <c r="U238" s="730"/>
      <c r="V238" s="730"/>
      <c r="W238" s="730"/>
      <c r="X238" s="730"/>
      <c r="Y238" s="729"/>
    </row>
    <row r="239" spans="12:25" x14ac:dyDescent="0.2">
      <c r="L239" s="730"/>
      <c r="M239" s="730"/>
      <c r="N239" s="730"/>
      <c r="O239" s="730"/>
      <c r="P239" s="730"/>
      <c r="Q239" s="730"/>
      <c r="R239" s="730"/>
      <c r="S239" s="730">
        <v>237</v>
      </c>
      <c r="T239" s="730">
        <v>150</v>
      </c>
      <c r="U239" s="730"/>
      <c r="V239" s="730"/>
      <c r="W239" s="730"/>
      <c r="X239" s="730"/>
      <c r="Y239" s="729"/>
    </row>
    <row r="240" spans="12:25" x14ac:dyDescent="0.2">
      <c r="L240" s="730"/>
      <c r="M240" s="730"/>
      <c r="N240" s="730"/>
      <c r="O240" s="730"/>
      <c r="P240" s="730"/>
      <c r="Q240" s="730"/>
      <c r="R240" s="730"/>
      <c r="S240" s="730">
        <v>238</v>
      </c>
      <c r="T240" s="730">
        <v>150</v>
      </c>
      <c r="U240" s="730"/>
      <c r="V240" s="730"/>
      <c r="W240" s="730"/>
      <c r="X240" s="730"/>
      <c r="Y240" s="729"/>
    </row>
    <row r="241" spans="12:25" x14ac:dyDescent="0.2">
      <c r="L241" s="730"/>
      <c r="M241" s="730"/>
      <c r="N241" s="730"/>
      <c r="O241" s="730"/>
      <c r="P241" s="730"/>
      <c r="Q241" s="730"/>
      <c r="R241" s="730"/>
      <c r="S241" s="730">
        <v>239</v>
      </c>
      <c r="T241" s="730">
        <v>150</v>
      </c>
      <c r="U241" s="730"/>
      <c r="V241" s="730"/>
      <c r="W241" s="730"/>
      <c r="X241" s="730"/>
      <c r="Y241" s="729"/>
    </row>
    <row r="242" spans="12:25" x14ac:dyDescent="0.2">
      <c r="L242" s="730"/>
      <c r="M242" s="730"/>
      <c r="N242" s="730"/>
      <c r="O242" s="730"/>
      <c r="P242" s="730"/>
      <c r="Q242" s="730"/>
      <c r="R242" s="730"/>
      <c r="S242" s="730">
        <v>240</v>
      </c>
      <c r="T242" s="730">
        <v>150</v>
      </c>
      <c r="U242" s="730"/>
      <c r="V242" s="730"/>
      <c r="W242" s="730"/>
      <c r="X242" s="730"/>
      <c r="Y242" s="729"/>
    </row>
    <row r="243" spans="12:25" x14ac:dyDescent="0.2">
      <c r="L243" s="730"/>
      <c r="M243" s="730"/>
      <c r="N243" s="730"/>
      <c r="O243" s="730"/>
      <c r="P243" s="730"/>
      <c r="Q243" s="730"/>
      <c r="R243" s="730"/>
      <c r="S243" s="730">
        <v>241</v>
      </c>
      <c r="T243" s="730">
        <v>150</v>
      </c>
      <c r="U243" s="730"/>
      <c r="V243" s="730"/>
      <c r="W243" s="730"/>
      <c r="X243" s="730"/>
      <c r="Y243" s="729"/>
    </row>
    <row r="244" spans="12:25" x14ac:dyDescent="0.2">
      <c r="L244" s="730"/>
      <c r="M244" s="730"/>
      <c r="N244" s="730"/>
      <c r="O244" s="730"/>
      <c r="P244" s="730"/>
      <c r="Q244" s="730"/>
      <c r="R244" s="730"/>
      <c r="S244" s="730">
        <v>242</v>
      </c>
      <c r="T244" s="730">
        <v>150</v>
      </c>
      <c r="U244" s="730"/>
      <c r="V244" s="730"/>
      <c r="W244" s="730"/>
      <c r="X244" s="730"/>
      <c r="Y244" s="729"/>
    </row>
    <row r="245" spans="12:25" x14ac:dyDescent="0.2">
      <c r="L245" s="730"/>
      <c r="M245" s="730"/>
      <c r="N245" s="730"/>
      <c r="O245" s="730"/>
      <c r="P245" s="730"/>
      <c r="Q245" s="730"/>
      <c r="R245" s="730"/>
      <c r="S245" s="730">
        <v>243</v>
      </c>
      <c r="T245" s="730">
        <v>150</v>
      </c>
      <c r="U245" s="730"/>
      <c r="V245" s="730"/>
      <c r="W245" s="730"/>
      <c r="X245" s="730"/>
      <c r="Y245" s="729"/>
    </row>
    <row r="246" spans="12:25" x14ac:dyDescent="0.2">
      <c r="L246" s="730"/>
      <c r="M246" s="730"/>
      <c r="N246" s="730"/>
      <c r="O246" s="730"/>
      <c r="P246" s="730"/>
      <c r="Q246" s="730"/>
      <c r="R246" s="730"/>
      <c r="S246" s="730">
        <v>244</v>
      </c>
      <c r="T246" s="730">
        <v>150</v>
      </c>
      <c r="U246" s="730"/>
      <c r="V246" s="730"/>
      <c r="W246" s="730"/>
      <c r="X246" s="730"/>
      <c r="Y246" s="729"/>
    </row>
    <row r="247" spans="12:25" x14ac:dyDescent="0.2">
      <c r="L247" s="730"/>
      <c r="M247" s="730"/>
      <c r="N247" s="730"/>
      <c r="O247" s="730"/>
      <c r="P247" s="730"/>
      <c r="Q247" s="730"/>
      <c r="R247" s="730"/>
      <c r="S247" s="730">
        <v>245</v>
      </c>
      <c r="T247" s="730">
        <v>150</v>
      </c>
      <c r="U247" s="730"/>
      <c r="V247" s="730"/>
      <c r="W247" s="730"/>
      <c r="X247" s="730"/>
      <c r="Y247" s="729"/>
    </row>
    <row r="248" spans="12:25" x14ac:dyDescent="0.2">
      <c r="L248" s="730"/>
      <c r="M248" s="730"/>
      <c r="N248" s="730"/>
      <c r="O248" s="730"/>
      <c r="P248" s="730"/>
      <c r="Q248" s="730"/>
      <c r="R248" s="730"/>
      <c r="S248" s="730">
        <v>246</v>
      </c>
      <c r="T248" s="730">
        <v>150</v>
      </c>
      <c r="U248" s="730"/>
      <c r="V248" s="730"/>
      <c r="W248" s="730"/>
      <c r="X248" s="730"/>
      <c r="Y248" s="729"/>
    </row>
    <row r="249" spans="12:25" x14ac:dyDescent="0.2">
      <c r="L249" s="730"/>
      <c r="M249" s="730"/>
      <c r="N249" s="730"/>
      <c r="O249" s="730"/>
      <c r="P249" s="730"/>
      <c r="Q249" s="730"/>
      <c r="R249" s="730"/>
      <c r="S249" s="730">
        <v>247</v>
      </c>
      <c r="T249" s="730">
        <v>150</v>
      </c>
      <c r="U249" s="730"/>
      <c r="V249" s="730"/>
      <c r="W249" s="730"/>
      <c r="X249" s="730"/>
      <c r="Y249" s="729"/>
    </row>
    <row r="250" spans="12:25" x14ac:dyDescent="0.2">
      <c r="L250" s="730"/>
      <c r="M250" s="730"/>
      <c r="N250" s="730"/>
      <c r="O250" s="730"/>
      <c r="P250" s="730"/>
      <c r="Q250" s="730"/>
      <c r="R250" s="730"/>
      <c r="S250" s="730">
        <v>248</v>
      </c>
      <c r="T250" s="730">
        <v>150</v>
      </c>
      <c r="U250" s="730"/>
      <c r="V250" s="730"/>
      <c r="W250" s="730"/>
      <c r="X250" s="730"/>
      <c r="Y250" s="729"/>
    </row>
    <row r="251" spans="12:25" x14ac:dyDescent="0.2">
      <c r="L251" s="730"/>
      <c r="M251" s="730"/>
      <c r="N251" s="730"/>
      <c r="O251" s="730"/>
      <c r="P251" s="730"/>
      <c r="Q251" s="730"/>
      <c r="R251" s="730"/>
      <c r="S251" s="730">
        <v>249</v>
      </c>
      <c r="T251" s="730">
        <v>150</v>
      </c>
      <c r="U251" s="730"/>
      <c r="V251" s="730"/>
      <c r="W251" s="730"/>
      <c r="X251" s="730"/>
      <c r="Y251" s="729"/>
    </row>
    <row r="252" spans="12:25" x14ac:dyDescent="0.2">
      <c r="L252" s="730"/>
      <c r="M252" s="730"/>
      <c r="N252" s="730"/>
      <c r="O252" s="730"/>
      <c r="P252" s="730"/>
      <c r="Q252" s="730"/>
      <c r="R252" s="730"/>
      <c r="S252" s="730">
        <v>250</v>
      </c>
      <c r="T252" s="730">
        <v>150</v>
      </c>
      <c r="U252" s="730"/>
      <c r="V252" s="730"/>
      <c r="W252" s="730"/>
      <c r="X252" s="730"/>
      <c r="Y252" s="729"/>
    </row>
    <row r="253" spans="12:25" x14ac:dyDescent="0.2">
      <c r="L253" s="730"/>
      <c r="M253" s="730"/>
      <c r="N253" s="730"/>
      <c r="O253" s="730"/>
      <c r="P253" s="730"/>
      <c r="Q253" s="730"/>
      <c r="R253" s="730"/>
      <c r="S253" s="730">
        <v>251</v>
      </c>
      <c r="T253" s="730">
        <v>150</v>
      </c>
      <c r="U253" s="730"/>
      <c r="V253" s="730"/>
      <c r="W253" s="730"/>
      <c r="X253" s="730"/>
      <c r="Y253" s="729"/>
    </row>
    <row r="254" spans="12:25" x14ac:dyDescent="0.2">
      <c r="L254" s="730"/>
      <c r="M254" s="730"/>
      <c r="N254" s="730"/>
      <c r="O254" s="730"/>
      <c r="P254" s="730"/>
      <c r="Q254" s="730"/>
      <c r="R254" s="730"/>
      <c r="S254" s="730">
        <v>252</v>
      </c>
      <c r="T254" s="730">
        <v>150</v>
      </c>
      <c r="U254" s="730"/>
      <c r="V254" s="730"/>
      <c r="W254" s="730"/>
      <c r="X254" s="730"/>
      <c r="Y254" s="729"/>
    </row>
    <row r="255" spans="12:25" x14ac:dyDescent="0.2">
      <c r="L255" s="730"/>
      <c r="M255" s="730"/>
      <c r="N255" s="730"/>
      <c r="O255" s="730"/>
      <c r="P255" s="730"/>
      <c r="Q255" s="730"/>
      <c r="R255" s="730"/>
      <c r="S255" s="730">
        <v>253</v>
      </c>
      <c r="T255" s="730">
        <v>150</v>
      </c>
      <c r="U255" s="730"/>
      <c r="V255" s="730"/>
      <c r="W255" s="730"/>
      <c r="X255" s="730"/>
      <c r="Y255" s="729"/>
    </row>
    <row r="256" spans="12:25" x14ac:dyDescent="0.2">
      <c r="L256" s="730"/>
      <c r="M256" s="730"/>
      <c r="N256" s="730"/>
      <c r="O256" s="730"/>
      <c r="P256" s="730"/>
      <c r="Q256" s="730"/>
      <c r="R256" s="730"/>
      <c r="S256" s="730">
        <v>254</v>
      </c>
      <c r="T256" s="730">
        <v>150</v>
      </c>
      <c r="U256" s="730"/>
      <c r="V256" s="730"/>
      <c r="W256" s="730"/>
      <c r="X256" s="730"/>
      <c r="Y256" s="729"/>
    </row>
    <row r="257" spans="12:25" x14ac:dyDescent="0.2">
      <c r="L257" s="730"/>
      <c r="M257" s="730"/>
      <c r="N257" s="730"/>
      <c r="O257" s="730"/>
      <c r="P257" s="730"/>
      <c r="Q257" s="730"/>
      <c r="R257" s="730"/>
      <c r="S257" s="730">
        <v>255</v>
      </c>
      <c r="T257" s="730">
        <v>150</v>
      </c>
      <c r="U257" s="730"/>
      <c r="V257" s="730"/>
      <c r="W257" s="730"/>
      <c r="X257" s="730"/>
      <c r="Y257" s="729"/>
    </row>
    <row r="258" spans="12:25" x14ac:dyDescent="0.2">
      <c r="L258" s="730"/>
      <c r="M258" s="730"/>
      <c r="N258" s="730"/>
      <c r="O258" s="730"/>
      <c r="P258" s="730"/>
      <c r="Q258" s="730"/>
      <c r="R258" s="730"/>
      <c r="S258" s="730">
        <v>256</v>
      </c>
      <c r="T258" s="730">
        <v>150</v>
      </c>
      <c r="U258" s="730"/>
      <c r="V258" s="730"/>
      <c r="W258" s="730"/>
      <c r="X258" s="730"/>
      <c r="Y258" s="729"/>
    </row>
    <row r="259" spans="12:25" x14ac:dyDescent="0.2">
      <c r="L259" s="730"/>
      <c r="M259" s="730"/>
      <c r="N259" s="730"/>
      <c r="O259" s="730"/>
      <c r="P259" s="730"/>
      <c r="Q259" s="730"/>
      <c r="R259" s="730"/>
      <c r="S259" s="730">
        <v>257</v>
      </c>
      <c r="T259" s="730">
        <v>150</v>
      </c>
      <c r="U259" s="730"/>
      <c r="V259" s="730"/>
      <c r="W259" s="730"/>
      <c r="X259" s="730"/>
      <c r="Y259" s="729"/>
    </row>
    <row r="260" spans="12:25" x14ac:dyDescent="0.2">
      <c r="L260" s="730"/>
      <c r="M260" s="730"/>
      <c r="N260" s="730"/>
      <c r="O260" s="730"/>
      <c r="P260" s="730"/>
      <c r="Q260" s="730"/>
      <c r="R260" s="730"/>
      <c r="S260" s="730">
        <v>258</v>
      </c>
      <c r="T260" s="730">
        <v>150</v>
      </c>
      <c r="U260" s="730"/>
      <c r="V260" s="730"/>
      <c r="W260" s="730"/>
      <c r="X260" s="730"/>
      <c r="Y260" s="729"/>
    </row>
    <row r="261" spans="12:25" x14ac:dyDescent="0.2">
      <c r="L261" s="730"/>
      <c r="M261" s="730"/>
      <c r="N261" s="730"/>
      <c r="O261" s="730"/>
      <c r="P261" s="730"/>
      <c r="Q261" s="730"/>
      <c r="R261" s="730"/>
      <c r="S261" s="730">
        <v>259</v>
      </c>
      <c r="T261" s="730">
        <v>150</v>
      </c>
      <c r="U261" s="730"/>
      <c r="V261" s="730"/>
      <c r="W261" s="730"/>
      <c r="X261" s="730"/>
      <c r="Y261" s="729"/>
    </row>
    <row r="262" spans="12:25" x14ac:dyDescent="0.2">
      <c r="L262" s="730"/>
      <c r="M262" s="730"/>
      <c r="N262" s="730"/>
      <c r="O262" s="730"/>
      <c r="P262" s="730"/>
      <c r="Q262" s="730"/>
      <c r="R262" s="730"/>
      <c r="S262" s="730">
        <v>260</v>
      </c>
      <c r="T262" s="730">
        <v>150</v>
      </c>
      <c r="U262" s="730"/>
      <c r="V262" s="730"/>
      <c r="W262" s="730"/>
      <c r="X262" s="730"/>
      <c r="Y262" s="729"/>
    </row>
    <row r="263" spans="12:25" x14ac:dyDescent="0.2">
      <c r="L263" s="730"/>
      <c r="M263" s="730"/>
      <c r="N263" s="730"/>
      <c r="O263" s="730"/>
      <c r="P263" s="730"/>
      <c r="Q263" s="730"/>
      <c r="R263" s="730"/>
      <c r="S263" s="730">
        <v>261</v>
      </c>
      <c r="T263" s="730">
        <v>150</v>
      </c>
      <c r="U263" s="730"/>
      <c r="V263" s="730"/>
      <c r="W263" s="730"/>
      <c r="X263" s="730"/>
      <c r="Y263" s="729"/>
    </row>
    <row r="264" spans="12:25" x14ac:dyDescent="0.2">
      <c r="L264" s="730"/>
      <c r="M264" s="730"/>
      <c r="N264" s="730"/>
      <c r="O264" s="730"/>
      <c r="P264" s="730"/>
      <c r="Q264" s="730"/>
      <c r="R264" s="730"/>
      <c r="S264" s="730">
        <v>262</v>
      </c>
      <c r="T264" s="730">
        <v>150</v>
      </c>
      <c r="U264" s="730"/>
      <c r="V264" s="730"/>
      <c r="W264" s="730"/>
      <c r="X264" s="730"/>
      <c r="Y264" s="729"/>
    </row>
    <row r="265" spans="12:25" x14ac:dyDescent="0.2">
      <c r="L265" s="730"/>
      <c r="M265" s="730"/>
      <c r="N265" s="730"/>
      <c r="O265" s="730"/>
      <c r="P265" s="730"/>
      <c r="Q265" s="730"/>
      <c r="R265" s="730"/>
      <c r="S265" s="730">
        <v>263</v>
      </c>
      <c r="T265" s="730">
        <v>150</v>
      </c>
      <c r="U265" s="730"/>
      <c r="V265" s="730"/>
      <c r="W265" s="730"/>
      <c r="X265" s="730"/>
      <c r="Y265" s="729"/>
    </row>
    <row r="266" spans="12:25" x14ac:dyDescent="0.2">
      <c r="L266" s="730"/>
      <c r="M266" s="730"/>
      <c r="N266" s="730"/>
      <c r="O266" s="730"/>
      <c r="P266" s="730"/>
      <c r="Q266" s="730"/>
      <c r="R266" s="730"/>
      <c r="S266" s="730">
        <v>264</v>
      </c>
      <c r="T266" s="730">
        <v>150</v>
      </c>
      <c r="U266" s="730"/>
      <c r="V266" s="730"/>
      <c r="W266" s="730"/>
      <c r="X266" s="730"/>
      <c r="Y266" s="729"/>
    </row>
    <row r="267" spans="12:25" x14ac:dyDescent="0.2">
      <c r="L267" s="730"/>
      <c r="M267" s="730"/>
      <c r="N267" s="730"/>
      <c r="O267" s="730"/>
      <c r="P267" s="730"/>
      <c r="Q267" s="730"/>
      <c r="R267" s="730"/>
      <c r="S267" s="730">
        <v>265</v>
      </c>
      <c r="T267" s="730">
        <v>150</v>
      </c>
      <c r="U267" s="730"/>
      <c r="V267" s="730"/>
      <c r="W267" s="730"/>
      <c r="X267" s="730"/>
      <c r="Y267" s="729"/>
    </row>
    <row r="268" spans="12:25" x14ac:dyDescent="0.2">
      <c r="L268" s="730"/>
      <c r="M268" s="730"/>
      <c r="N268" s="730"/>
      <c r="O268" s="730"/>
      <c r="P268" s="730"/>
      <c r="Q268" s="730"/>
      <c r="R268" s="730"/>
      <c r="S268" s="730">
        <v>266</v>
      </c>
      <c r="T268" s="730">
        <v>150</v>
      </c>
      <c r="U268" s="730"/>
      <c r="V268" s="730"/>
      <c r="W268" s="730"/>
      <c r="X268" s="730"/>
      <c r="Y268" s="729"/>
    </row>
    <row r="269" spans="12:25" x14ac:dyDescent="0.2">
      <c r="L269" s="730"/>
      <c r="M269" s="730"/>
      <c r="N269" s="730"/>
      <c r="O269" s="730"/>
      <c r="P269" s="730"/>
      <c r="Q269" s="730"/>
      <c r="R269" s="730"/>
      <c r="S269" s="730">
        <v>267</v>
      </c>
      <c r="T269" s="730">
        <v>150</v>
      </c>
      <c r="U269" s="730"/>
      <c r="V269" s="730"/>
      <c r="W269" s="730"/>
      <c r="X269" s="730"/>
      <c r="Y269" s="729"/>
    </row>
    <row r="270" spans="12:25" x14ac:dyDescent="0.2">
      <c r="L270" s="730"/>
      <c r="M270" s="730"/>
      <c r="N270" s="730"/>
      <c r="O270" s="730"/>
      <c r="P270" s="730"/>
      <c r="Q270" s="730"/>
      <c r="R270" s="730"/>
      <c r="S270" s="730">
        <v>268</v>
      </c>
      <c r="T270" s="730">
        <v>150</v>
      </c>
      <c r="U270" s="730"/>
      <c r="V270" s="730"/>
      <c r="W270" s="730"/>
      <c r="X270" s="730"/>
      <c r="Y270" s="729"/>
    </row>
    <row r="271" spans="12:25" x14ac:dyDescent="0.2">
      <c r="L271" s="730"/>
      <c r="M271" s="730"/>
      <c r="N271" s="730"/>
      <c r="O271" s="730"/>
      <c r="P271" s="730"/>
      <c r="Q271" s="730"/>
      <c r="R271" s="730"/>
      <c r="S271" s="730">
        <v>269</v>
      </c>
      <c r="T271" s="730">
        <v>150</v>
      </c>
      <c r="U271" s="730"/>
      <c r="V271" s="730"/>
      <c r="W271" s="730"/>
      <c r="X271" s="730"/>
      <c r="Y271" s="729"/>
    </row>
    <row r="272" spans="12:25" x14ac:dyDescent="0.2">
      <c r="L272" s="730"/>
      <c r="M272" s="730"/>
      <c r="N272" s="730"/>
      <c r="O272" s="730"/>
      <c r="P272" s="730"/>
      <c r="Q272" s="730"/>
      <c r="R272" s="730"/>
      <c r="S272" s="730">
        <v>270</v>
      </c>
      <c r="T272" s="730">
        <v>150</v>
      </c>
      <c r="U272" s="730"/>
      <c r="V272" s="730"/>
      <c r="W272" s="730"/>
      <c r="X272" s="730"/>
      <c r="Y272" s="729"/>
    </row>
    <row r="273" spans="12:25" x14ac:dyDescent="0.2">
      <c r="L273" s="730"/>
      <c r="M273" s="730"/>
      <c r="N273" s="730"/>
      <c r="O273" s="730"/>
      <c r="P273" s="730"/>
      <c r="Q273" s="730"/>
      <c r="R273" s="730"/>
      <c r="S273" s="730">
        <v>271</v>
      </c>
      <c r="T273" s="730">
        <v>150</v>
      </c>
      <c r="U273" s="730"/>
      <c r="V273" s="730"/>
      <c r="W273" s="730"/>
      <c r="X273" s="730"/>
      <c r="Y273" s="729"/>
    </row>
    <row r="274" spans="12:25" x14ac:dyDescent="0.2">
      <c r="L274" s="730"/>
      <c r="M274" s="730"/>
      <c r="N274" s="730"/>
      <c r="O274" s="730"/>
      <c r="P274" s="730"/>
      <c r="Q274" s="730"/>
      <c r="R274" s="730"/>
      <c r="S274" s="730">
        <v>272</v>
      </c>
      <c r="T274" s="730">
        <v>150</v>
      </c>
      <c r="U274" s="730"/>
      <c r="V274" s="730"/>
      <c r="W274" s="730"/>
      <c r="X274" s="730"/>
      <c r="Y274" s="729"/>
    </row>
    <row r="275" spans="12:25" x14ac:dyDescent="0.2">
      <c r="L275" s="730"/>
      <c r="M275" s="730"/>
      <c r="N275" s="730"/>
      <c r="O275" s="730"/>
      <c r="P275" s="730"/>
      <c r="Q275" s="730"/>
      <c r="R275" s="730"/>
      <c r="S275" s="730">
        <v>273</v>
      </c>
      <c r="T275" s="730">
        <v>150</v>
      </c>
      <c r="U275" s="730"/>
      <c r="V275" s="730"/>
      <c r="W275" s="730"/>
      <c r="X275" s="730"/>
      <c r="Y275" s="729"/>
    </row>
    <row r="276" spans="12:25" x14ac:dyDescent="0.2">
      <c r="L276" s="730"/>
      <c r="M276" s="730"/>
      <c r="N276" s="730"/>
      <c r="O276" s="730"/>
      <c r="P276" s="730"/>
      <c r="Q276" s="730"/>
      <c r="R276" s="730"/>
      <c r="S276" s="730">
        <v>274</v>
      </c>
      <c r="T276" s="730">
        <v>150</v>
      </c>
      <c r="U276" s="730"/>
      <c r="V276" s="730"/>
      <c r="W276" s="730"/>
      <c r="X276" s="730"/>
      <c r="Y276" s="729"/>
    </row>
    <row r="277" spans="12:25" x14ac:dyDescent="0.2">
      <c r="L277" s="730"/>
      <c r="M277" s="730"/>
      <c r="N277" s="730"/>
      <c r="O277" s="730"/>
      <c r="P277" s="730"/>
      <c r="Q277" s="730"/>
      <c r="R277" s="730"/>
      <c r="S277" s="730">
        <v>275</v>
      </c>
      <c r="T277" s="730">
        <v>150</v>
      </c>
      <c r="U277" s="730"/>
      <c r="V277" s="730"/>
      <c r="W277" s="730"/>
      <c r="X277" s="730"/>
      <c r="Y277" s="729"/>
    </row>
    <row r="278" spans="12:25" x14ac:dyDescent="0.2">
      <c r="L278" s="730"/>
      <c r="M278" s="730"/>
      <c r="N278" s="730"/>
      <c r="O278" s="730"/>
      <c r="P278" s="730"/>
      <c r="Q278" s="730"/>
      <c r="R278" s="730"/>
      <c r="S278" s="730">
        <v>276</v>
      </c>
      <c r="T278" s="730">
        <v>150</v>
      </c>
      <c r="U278" s="730"/>
      <c r="V278" s="730"/>
      <c r="W278" s="730"/>
      <c r="X278" s="730"/>
      <c r="Y278" s="729"/>
    </row>
    <row r="279" spans="12:25" x14ac:dyDescent="0.2">
      <c r="L279" s="730"/>
      <c r="M279" s="730"/>
      <c r="N279" s="730"/>
      <c r="O279" s="730"/>
      <c r="P279" s="730"/>
      <c r="Q279" s="730"/>
      <c r="R279" s="730"/>
      <c r="S279" s="730">
        <v>277</v>
      </c>
      <c r="T279" s="730">
        <v>150</v>
      </c>
      <c r="U279" s="730"/>
      <c r="V279" s="730"/>
      <c r="W279" s="730"/>
      <c r="X279" s="730"/>
      <c r="Y279" s="729"/>
    </row>
    <row r="280" spans="12:25" x14ac:dyDescent="0.2">
      <c r="L280" s="730"/>
      <c r="M280" s="730"/>
      <c r="N280" s="730"/>
      <c r="O280" s="730"/>
      <c r="P280" s="730"/>
      <c r="Q280" s="730"/>
      <c r="R280" s="730"/>
      <c r="S280" s="730">
        <v>278</v>
      </c>
      <c r="T280" s="730">
        <v>150</v>
      </c>
      <c r="U280" s="730"/>
      <c r="V280" s="730"/>
      <c r="W280" s="730"/>
      <c r="X280" s="730"/>
      <c r="Y280" s="729"/>
    </row>
    <row r="281" spans="12:25" x14ac:dyDescent="0.2">
      <c r="L281" s="730"/>
      <c r="M281" s="730"/>
      <c r="N281" s="730"/>
      <c r="O281" s="730"/>
      <c r="P281" s="730"/>
      <c r="Q281" s="730"/>
      <c r="R281" s="730"/>
      <c r="S281" s="730">
        <v>279</v>
      </c>
      <c r="T281" s="730">
        <v>150</v>
      </c>
      <c r="U281" s="730"/>
      <c r="V281" s="730"/>
      <c r="W281" s="730"/>
      <c r="X281" s="730"/>
      <c r="Y281" s="729"/>
    </row>
    <row r="282" spans="12:25" x14ac:dyDescent="0.2">
      <c r="L282" s="730"/>
      <c r="M282" s="730"/>
      <c r="N282" s="730"/>
      <c r="O282" s="730"/>
      <c r="P282" s="730"/>
      <c r="Q282" s="730"/>
      <c r="R282" s="730"/>
      <c r="S282" s="730">
        <v>280</v>
      </c>
      <c r="T282" s="730">
        <v>150</v>
      </c>
      <c r="U282" s="730"/>
      <c r="V282" s="730"/>
      <c r="W282" s="730"/>
      <c r="X282" s="730"/>
      <c r="Y282" s="729"/>
    </row>
    <row r="283" spans="12:25" x14ac:dyDescent="0.2">
      <c r="L283" s="730"/>
      <c r="M283" s="730"/>
      <c r="N283" s="730"/>
      <c r="O283" s="730"/>
      <c r="P283" s="730"/>
      <c r="Q283" s="730"/>
      <c r="R283" s="730"/>
      <c r="S283" s="730">
        <v>281</v>
      </c>
      <c r="T283" s="730">
        <v>150</v>
      </c>
      <c r="U283" s="730"/>
      <c r="V283" s="730"/>
      <c r="W283" s="730"/>
      <c r="X283" s="730"/>
      <c r="Y283" s="729"/>
    </row>
    <row r="284" spans="12:25" x14ac:dyDescent="0.2">
      <c r="L284" s="730"/>
      <c r="M284" s="730"/>
      <c r="N284" s="730"/>
      <c r="O284" s="730"/>
      <c r="P284" s="730"/>
      <c r="Q284" s="730"/>
      <c r="R284" s="730"/>
      <c r="S284" s="730">
        <v>282</v>
      </c>
      <c r="T284" s="730">
        <v>150</v>
      </c>
      <c r="U284" s="730"/>
      <c r="V284" s="730"/>
      <c r="W284" s="730"/>
      <c r="X284" s="730"/>
      <c r="Y284" s="729"/>
    </row>
    <row r="285" spans="12:25" x14ac:dyDescent="0.2">
      <c r="L285" s="730"/>
      <c r="M285" s="730"/>
      <c r="N285" s="730"/>
      <c r="O285" s="730"/>
      <c r="P285" s="730"/>
      <c r="Q285" s="730"/>
      <c r="R285" s="730"/>
      <c r="S285" s="730">
        <v>283</v>
      </c>
      <c r="T285" s="730">
        <v>150</v>
      </c>
      <c r="U285" s="730"/>
      <c r="V285" s="730"/>
      <c r="W285" s="730"/>
      <c r="X285" s="730"/>
      <c r="Y285" s="729"/>
    </row>
    <row r="286" spans="12:25" x14ac:dyDescent="0.2">
      <c r="L286" s="730"/>
      <c r="M286" s="730"/>
      <c r="N286" s="730"/>
      <c r="O286" s="730"/>
      <c r="P286" s="730"/>
      <c r="Q286" s="730"/>
      <c r="R286" s="730"/>
      <c r="S286" s="730">
        <v>284</v>
      </c>
      <c r="T286" s="730">
        <v>150</v>
      </c>
      <c r="U286" s="730"/>
      <c r="V286" s="730"/>
      <c r="W286" s="730"/>
      <c r="X286" s="730"/>
      <c r="Y286" s="729"/>
    </row>
    <row r="287" spans="12:25" x14ac:dyDescent="0.2">
      <c r="L287" s="730"/>
      <c r="M287" s="730"/>
      <c r="N287" s="730"/>
      <c r="O287" s="730"/>
      <c r="P287" s="730"/>
      <c r="Q287" s="730"/>
      <c r="R287" s="730"/>
      <c r="S287" s="730">
        <v>285</v>
      </c>
      <c r="T287" s="730">
        <v>150</v>
      </c>
      <c r="U287" s="730"/>
      <c r="V287" s="730"/>
      <c r="W287" s="730"/>
      <c r="X287" s="730"/>
      <c r="Y287" s="729"/>
    </row>
    <row r="288" spans="12:25" x14ac:dyDescent="0.2">
      <c r="L288" s="730"/>
      <c r="M288" s="730"/>
      <c r="N288" s="730"/>
      <c r="O288" s="730"/>
      <c r="P288" s="730"/>
      <c r="Q288" s="730"/>
      <c r="R288" s="730"/>
      <c r="S288" s="730">
        <v>286</v>
      </c>
      <c r="T288" s="730">
        <v>150</v>
      </c>
      <c r="U288" s="730"/>
      <c r="V288" s="730"/>
      <c r="W288" s="730"/>
      <c r="X288" s="730"/>
      <c r="Y288" s="729"/>
    </row>
    <row r="289" spans="12:25" x14ac:dyDescent="0.2">
      <c r="L289" s="730"/>
      <c r="M289" s="730"/>
      <c r="N289" s="730"/>
      <c r="O289" s="730"/>
      <c r="P289" s="730"/>
      <c r="Q289" s="730"/>
      <c r="R289" s="730"/>
      <c r="S289" s="730">
        <v>287</v>
      </c>
      <c r="T289" s="730">
        <v>150</v>
      </c>
      <c r="U289" s="730"/>
      <c r="V289" s="730"/>
      <c r="W289" s="730"/>
      <c r="X289" s="730"/>
      <c r="Y289" s="729"/>
    </row>
    <row r="290" spans="12:25" x14ac:dyDescent="0.2">
      <c r="L290" s="730"/>
      <c r="M290" s="730"/>
      <c r="N290" s="730"/>
      <c r="O290" s="730"/>
      <c r="P290" s="730"/>
      <c r="Q290" s="730"/>
      <c r="R290" s="730"/>
      <c r="S290" s="730">
        <v>288</v>
      </c>
      <c r="T290" s="730">
        <v>150</v>
      </c>
      <c r="U290" s="730"/>
      <c r="V290" s="730"/>
      <c r="W290" s="730"/>
      <c r="X290" s="730"/>
      <c r="Y290" s="729"/>
    </row>
    <row r="291" spans="12:25" x14ac:dyDescent="0.2">
      <c r="L291" s="730"/>
      <c r="M291" s="730"/>
      <c r="N291" s="730"/>
      <c r="O291" s="730"/>
      <c r="P291" s="730"/>
      <c r="Q291" s="730"/>
      <c r="R291" s="730"/>
      <c r="S291" s="730">
        <v>289</v>
      </c>
      <c r="T291" s="730">
        <v>150</v>
      </c>
      <c r="U291" s="730"/>
      <c r="V291" s="730"/>
      <c r="W291" s="730"/>
      <c r="X291" s="730"/>
      <c r="Y291" s="729"/>
    </row>
    <row r="292" spans="12:25" x14ac:dyDescent="0.2">
      <c r="L292" s="730"/>
      <c r="M292" s="730"/>
      <c r="N292" s="730"/>
      <c r="O292" s="730"/>
      <c r="P292" s="730"/>
      <c r="Q292" s="730"/>
      <c r="R292" s="730"/>
      <c r="S292" s="730">
        <v>290</v>
      </c>
      <c r="T292" s="730">
        <v>150</v>
      </c>
      <c r="U292" s="730"/>
      <c r="V292" s="730"/>
      <c r="W292" s="730"/>
      <c r="X292" s="730"/>
      <c r="Y292" s="729"/>
    </row>
    <row r="293" spans="12:25" x14ac:dyDescent="0.2">
      <c r="L293" s="730"/>
      <c r="M293" s="730"/>
      <c r="N293" s="730"/>
      <c r="O293" s="730"/>
      <c r="P293" s="730"/>
      <c r="Q293" s="730"/>
      <c r="R293" s="730"/>
      <c r="S293" s="730">
        <v>291</v>
      </c>
      <c r="T293" s="730">
        <v>150</v>
      </c>
      <c r="U293" s="730"/>
      <c r="V293" s="730"/>
      <c r="W293" s="730"/>
      <c r="X293" s="730"/>
      <c r="Y293" s="729"/>
    </row>
    <row r="294" spans="12:25" x14ac:dyDescent="0.2">
      <c r="L294" s="730"/>
      <c r="M294" s="730"/>
      <c r="N294" s="730"/>
      <c r="O294" s="730"/>
      <c r="P294" s="730"/>
      <c r="Q294" s="730"/>
      <c r="R294" s="730"/>
      <c r="S294" s="730">
        <v>292</v>
      </c>
      <c r="T294" s="730">
        <v>150</v>
      </c>
      <c r="U294" s="730"/>
      <c r="V294" s="730"/>
      <c r="W294" s="730"/>
      <c r="X294" s="730"/>
      <c r="Y294" s="729"/>
    </row>
    <row r="295" spans="12:25" x14ac:dyDescent="0.2">
      <c r="L295" s="730"/>
      <c r="M295" s="730"/>
      <c r="N295" s="730"/>
      <c r="O295" s="730"/>
      <c r="P295" s="730"/>
      <c r="Q295" s="730"/>
      <c r="R295" s="730"/>
      <c r="S295" s="730">
        <v>293</v>
      </c>
      <c r="T295" s="730">
        <v>150</v>
      </c>
      <c r="U295" s="730"/>
      <c r="V295" s="730"/>
      <c r="W295" s="730"/>
      <c r="X295" s="730"/>
      <c r="Y295" s="729"/>
    </row>
    <row r="296" spans="12:25" x14ac:dyDescent="0.2">
      <c r="L296" s="730"/>
      <c r="M296" s="730"/>
      <c r="N296" s="730"/>
      <c r="O296" s="730"/>
      <c r="P296" s="730"/>
      <c r="Q296" s="730"/>
      <c r="R296" s="730"/>
      <c r="S296" s="730">
        <v>294</v>
      </c>
      <c r="T296" s="730">
        <v>150</v>
      </c>
      <c r="U296" s="730"/>
      <c r="V296" s="730"/>
      <c r="W296" s="730"/>
      <c r="X296" s="730"/>
      <c r="Y296" s="729"/>
    </row>
    <row r="297" spans="12:25" x14ac:dyDescent="0.2">
      <c r="L297" s="730"/>
      <c r="M297" s="730"/>
      <c r="N297" s="730"/>
      <c r="O297" s="730"/>
      <c r="P297" s="730"/>
      <c r="Q297" s="730"/>
      <c r="R297" s="730"/>
      <c r="S297" s="730">
        <v>295</v>
      </c>
      <c r="T297" s="730">
        <v>150</v>
      </c>
      <c r="U297" s="730"/>
      <c r="V297" s="730"/>
      <c r="W297" s="730"/>
      <c r="X297" s="730"/>
      <c r="Y297" s="729"/>
    </row>
    <row r="298" spans="12:25" x14ac:dyDescent="0.2">
      <c r="L298" s="730"/>
      <c r="M298" s="730"/>
      <c r="N298" s="730"/>
      <c r="O298" s="730"/>
      <c r="P298" s="730"/>
      <c r="Q298" s="730"/>
      <c r="R298" s="730"/>
      <c r="S298" s="730">
        <v>296</v>
      </c>
      <c r="T298" s="730">
        <v>150</v>
      </c>
      <c r="U298" s="730"/>
      <c r="V298" s="730"/>
      <c r="W298" s="730"/>
      <c r="X298" s="730"/>
      <c r="Y298" s="729"/>
    </row>
    <row r="299" spans="12:25" x14ac:dyDescent="0.2">
      <c r="L299" s="730"/>
      <c r="M299" s="730"/>
      <c r="N299" s="730"/>
      <c r="O299" s="730"/>
      <c r="P299" s="730"/>
      <c r="Q299" s="730"/>
      <c r="R299" s="730"/>
      <c r="S299" s="730">
        <v>297</v>
      </c>
      <c r="T299" s="730">
        <v>150</v>
      </c>
      <c r="U299" s="730"/>
      <c r="V299" s="730"/>
      <c r="W299" s="730"/>
      <c r="X299" s="730"/>
      <c r="Y299" s="729"/>
    </row>
    <row r="300" spans="12:25" x14ac:dyDescent="0.2">
      <c r="L300" s="730"/>
      <c r="M300" s="730"/>
      <c r="N300" s="730"/>
      <c r="O300" s="730"/>
      <c r="P300" s="730"/>
      <c r="Q300" s="730"/>
      <c r="R300" s="730"/>
      <c r="S300" s="730">
        <v>298</v>
      </c>
      <c r="T300" s="730">
        <v>150</v>
      </c>
      <c r="U300" s="730"/>
      <c r="V300" s="730"/>
      <c r="W300" s="730"/>
      <c r="X300" s="730"/>
      <c r="Y300" s="729"/>
    </row>
    <row r="301" spans="12:25" x14ac:dyDescent="0.2">
      <c r="L301" s="730"/>
      <c r="M301" s="730"/>
      <c r="N301" s="730"/>
      <c r="O301" s="730"/>
      <c r="P301" s="730"/>
      <c r="Q301" s="730"/>
      <c r="R301" s="730"/>
      <c r="S301" s="730">
        <v>299</v>
      </c>
      <c r="T301" s="730">
        <v>150</v>
      </c>
      <c r="U301" s="730"/>
      <c r="V301" s="730"/>
      <c r="W301" s="730"/>
      <c r="X301" s="730"/>
      <c r="Y301" s="729"/>
    </row>
    <row r="302" spans="12:25" x14ac:dyDescent="0.2">
      <c r="L302" s="730"/>
      <c r="M302" s="730"/>
      <c r="N302" s="730"/>
      <c r="O302" s="730"/>
      <c r="P302" s="730"/>
      <c r="Q302" s="730"/>
      <c r="R302" s="730"/>
      <c r="S302" s="730">
        <v>300</v>
      </c>
      <c r="T302" s="730">
        <v>150</v>
      </c>
      <c r="U302" s="730">
        <v>300</v>
      </c>
      <c r="V302" s="730"/>
      <c r="W302" s="730"/>
      <c r="X302" s="730"/>
      <c r="Y302" s="729"/>
    </row>
    <row r="303" spans="12:25" x14ac:dyDescent="0.2">
      <c r="L303" s="730"/>
      <c r="M303" s="730"/>
      <c r="N303" s="730"/>
      <c r="O303" s="730"/>
      <c r="P303" s="730"/>
      <c r="Q303" s="730"/>
      <c r="R303" s="730"/>
      <c r="S303" s="730">
        <v>301</v>
      </c>
      <c r="T303" s="730">
        <v>150</v>
      </c>
      <c r="U303" s="730"/>
      <c r="V303" s="730"/>
      <c r="W303" s="730"/>
      <c r="X303" s="730"/>
      <c r="Y303" s="729"/>
    </row>
    <row r="304" spans="12:25" x14ac:dyDescent="0.2">
      <c r="L304" s="730"/>
      <c r="M304" s="730"/>
      <c r="N304" s="730"/>
      <c r="O304" s="730"/>
      <c r="P304" s="730"/>
      <c r="Q304" s="730"/>
      <c r="R304" s="730"/>
      <c r="S304" s="730">
        <v>302</v>
      </c>
      <c r="T304" s="730">
        <v>150</v>
      </c>
      <c r="U304" s="730"/>
      <c r="V304" s="730"/>
      <c r="W304" s="730"/>
      <c r="X304" s="730"/>
      <c r="Y304" s="729"/>
    </row>
    <row r="305" spans="12:25" x14ac:dyDescent="0.2">
      <c r="L305" s="730"/>
      <c r="M305" s="730"/>
      <c r="N305" s="730"/>
      <c r="O305" s="730"/>
      <c r="P305" s="730"/>
      <c r="Q305" s="730"/>
      <c r="R305" s="730"/>
      <c r="S305" s="730">
        <v>303</v>
      </c>
      <c r="T305" s="730">
        <v>150</v>
      </c>
      <c r="U305" s="730"/>
      <c r="V305" s="730"/>
      <c r="W305" s="730"/>
      <c r="X305" s="730"/>
      <c r="Y305" s="729"/>
    </row>
    <row r="306" spans="12:25" x14ac:dyDescent="0.2">
      <c r="L306" s="730"/>
      <c r="M306" s="730"/>
      <c r="N306" s="730"/>
      <c r="O306" s="730"/>
      <c r="P306" s="730"/>
      <c r="Q306" s="730"/>
      <c r="R306" s="730"/>
      <c r="S306" s="730">
        <v>304</v>
      </c>
      <c r="T306" s="730">
        <v>150</v>
      </c>
      <c r="U306" s="730"/>
      <c r="V306" s="730"/>
      <c r="W306" s="730"/>
      <c r="X306" s="730"/>
      <c r="Y306" s="729"/>
    </row>
    <row r="307" spans="12:25" x14ac:dyDescent="0.2">
      <c r="L307" s="730"/>
      <c r="M307" s="730"/>
      <c r="N307" s="730"/>
      <c r="O307" s="730"/>
      <c r="P307" s="730"/>
      <c r="Q307" s="730"/>
      <c r="R307" s="730"/>
      <c r="S307" s="730">
        <v>305</v>
      </c>
      <c r="T307" s="730">
        <v>150</v>
      </c>
      <c r="U307" s="730"/>
      <c r="V307" s="730"/>
      <c r="W307" s="730"/>
      <c r="X307" s="730"/>
      <c r="Y307" s="729"/>
    </row>
    <row r="308" spans="12:25" x14ac:dyDescent="0.2">
      <c r="L308" s="730"/>
      <c r="M308" s="730"/>
      <c r="N308" s="730"/>
      <c r="O308" s="730"/>
      <c r="P308" s="730"/>
      <c r="Q308" s="730"/>
      <c r="R308" s="730"/>
      <c r="S308" s="730">
        <v>306</v>
      </c>
      <c r="T308" s="730">
        <v>150</v>
      </c>
      <c r="U308" s="730"/>
      <c r="V308" s="730"/>
      <c r="W308" s="730"/>
      <c r="X308" s="730"/>
      <c r="Y308" s="729"/>
    </row>
    <row r="309" spans="12:25" x14ac:dyDescent="0.2">
      <c r="L309" s="730"/>
      <c r="M309" s="730"/>
      <c r="N309" s="730"/>
      <c r="O309" s="730"/>
      <c r="P309" s="730"/>
      <c r="Q309" s="730"/>
      <c r="R309" s="730"/>
      <c r="S309" s="730">
        <v>307</v>
      </c>
      <c r="T309" s="730">
        <v>150</v>
      </c>
      <c r="U309" s="730"/>
      <c r="V309" s="730"/>
      <c r="W309" s="730"/>
      <c r="X309" s="730"/>
      <c r="Y309" s="729"/>
    </row>
    <row r="310" spans="12:25" x14ac:dyDescent="0.2">
      <c r="L310" s="730"/>
      <c r="M310" s="730"/>
      <c r="N310" s="730"/>
      <c r="O310" s="730"/>
      <c r="P310" s="730"/>
      <c r="Q310" s="730"/>
      <c r="R310" s="730"/>
      <c r="S310" s="730">
        <v>308</v>
      </c>
      <c r="T310" s="730">
        <v>150</v>
      </c>
      <c r="U310" s="730"/>
      <c r="V310" s="730"/>
      <c r="W310" s="730"/>
      <c r="X310" s="730"/>
      <c r="Y310" s="729"/>
    </row>
    <row r="311" spans="12:25" x14ac:dyDescent="0.2">
      <c r="L311" s="730"/>
      <c r="M311" s="730"/>
      <c r="N311" s="730"/>
      <c r="O311" s="730"/>
      <c r="P311" s="730"/>
      <c r="Q311" s="730"/>
      <c r="R311" s="730"/>
      <c r="S311" s="730">
        <v>309</v>
      </c>
      <c r="T311" s="730">
        <v>150</v>
      </c>
      <c r="U311" s="730"/>
      <c r="V311" s="730"/>
      <c r="W311" s="730"/>
      <c r="X311" s="730"/>
      <c r="Y311" s="729"/>
    </row>
    <row r="312" spans="12:25" x14ac:dyDescent="0.2">
      <c r="L312" s="730"/>
      <c r="M312" s="730"/>
      <c r="N312" s="730"/>
      <c r="O312" s="730"/>
      <c r="P312" s="730"/>
      <c r="Q312" s="730"/>
      <c r="R312" s="730"/>
      <c r="S312" s="730">
        <v>310</v>
      </c>
      <c r="T312" s="730">
        <v>150</v>
      </c>
      <c r="U312" s="730"/>
      <c r="V312" s="730"/>
      <c r="W312" s="730"/>
      <c r="X312" s="730"/>
      <c r="Y312" s="729"/>
    </row>
    <row r="313" spans="12:25" x14ac:dyDescent="0.2">
      <c r="L313" s="730"/>
      <c r="M313" s="730"/>
      <c r="N313" s="730"/>
      <c r="O313" s="730"/>
      <c r="P313" s="730"/>
      <c r="Q313" s="730"/>
      <c r="R313" s="730"/>
      <c r="S313" s="730">
        <v>311</v>
      </c>
      <c r="T313" s="730">
        <v>150</v>
      </c>
      <c r="U313" s="730"/>
      <c r="V313" s="730"/>
      <c r="W313" s="730"/>
      <c r="X313" s="730"/>
      <c r="Y313" s="729"/>
    </row>
    <row r="314" spans="12:25" x14ac:dyDescent="0.2">
      <c r="L314" s="730"/>
      <c r="M314" s="730"/>
      <c r="N314" s="730"/>
      <c r="O314" s="730"/>
      <c r="P314" s="730"/>
      <c r="Q314" s="730"/>
      <c r="R314" s="730"/>
      <c r="S314" s="730">
        <v>312</v>
      </c>
      <c r="T314" s="730">
        <v>150</v>
      </c>
      <c r="U314" s="730"/>
      <c r="V314" s="730"/>
      <c r="W314" s="730"/>
      <c r="X314" s="730"/>
      <c r="Y314" s="729"/>
    </row>
    <row r="315" spans="12:25" x14ac:dyDescent="0.2">
      <c r="L315" s="730"/>
      <c r="M315" s="730"/>
      <c r="N315" s="730"/>
      <c r="O315" s="730"/>
      <c r="P315" s="730"/>
      <c r="Q315" s="730"/>
      <c r="R315" s="730"/>
      <c r="S315" s="730">
        <v>313</v>
      </c>
      <c r="T315" s="730">
        <v>150</v>
      </c>
      <c r="U315" s="730"/>
      <c r="V315" s="730"/>
      <c r="W315" s="730"/>
      <c r="X315" s="730"/>
      <c r="Y315" s="729"/>
    </row>
    <row r="316" spans="12:25" x14ac:dyDescent="0.2">
      <c r="L316" s="730"/>
      <c r="M316" s="730"/>
      <c r="N316" s="730"/>
      <c r="O316" s="730"/>
      <c r="P316" s="730"/>
      <c r="Q316" s="730"/>
      <c r="R316" s="730"/>
      <c r="S316" s="730">
        <v>314</v>
      </c>
      <c r="T316" s="730">
        <v>150</v>
      </c>
      <c r="U316" s="730"/>
      <c r="V316" s="730"/>
      <c r="W316" s="730"/>
      <c r="X316" s="730"/>
      <c r="Y316" s="729"/>
    </row>
    <row r="317" spans="12:25" x14ac:dyDescent="0.2">
      <c r="L317" s="730"/>
      <c r="M317" s="730"/>
      <c r="N317" s="730"/>
      <c r="O317" s="730"/>
      <c r="P317" s="730"/>
      <c r="Q317" s="730"/>
      <c r="R317" s="730"/>
      <c r="S317" s="730">
        <v>315</v>
      </c>
      <c r="T317" s="730">
        <v>150</v>
      </c>
      <c r="U317" s="730"/>
      <c r="V317" s="730"/>
      <c r="W317" s="730"/>
      <c r="X317" s="730"/>
      <c r="Y317" s="729"/>
    </row>
    <row r="318" spans="12:25" x14ac:dyDescent="0.2">
      <c r="L318" s="730"/>
      <c r="M318" s="730"/>
      <c r="N318" s="730"/>
      <c r="O318" s="730"/>
      <c r="P318" s="730"/>
      <c r="Q318" s="730"/>
      <c r="R318" s="730"/>
      <c r="S318" s="730">
        <v>316</v>
      </c>
      <c r="T318" s="730">
        <v>150</v>
      </c>
      <c r="U318" s="730"/>
      <c r="V318" s="730"/>
      <c r="W318" s="730"/>
      <c r="X318" s="730"/>
      <c r="Y318" s="729"/>
    </row>
    <row r="319" spans="12:25" x14ac:dyDescent="0.2">
      <c r="L319" s="730"/>
      <c r="M319" s="730"/>
      <c r="N319" s="730"/>
      <c r="O319" s="730"/>
      <c r="P319" s="730"/>
      <c r="Q319" s="730"/>
      <c r="R319" s="730"/>
      <c r="S319" s="730">
        <v>317</v>
      </c>
      <c r="T319" s="730">
        <v>150</v>
      </c>
      <c r="U319" s="730"/>
      <c r="V319" s="730"/>
      <c r="W319" s="730"/>
      <c r="X319" s="730"/>
      <c r="Y319" s="729"/>
    </row>
    <row r="320" spans="12:25" x14ac:dyDescent="0.2">
      <c r="L320" s="730"/>
      <c r="M320" s="730"/>
      <c r="N320" s="730"/>
      <c r="O320" s="730"/>
      <c r="P320" s="730"/>
      <c r="Q320" s="730"/>
      <c r="R320" s="730"/>
      <c r="S320" s="730">
        <v>318</v>
      </c>
      <c r="T320" s="730">
        <v>150</v>
      </c>
      <c r="U320" s="730"/>
      <c r="V320" s="730"/>
      <c r="W320" s="730"/>
      <c r="X320" s="730"/>
      <c r="Y320" s="729"/>
    </row>
    <row r="321" spans="12:25" x14ac:dyDescent="0.2">
      <c r="L321" s="730"/>
      <c r="M321" s="730"/>
      <c r="N321" s="730"/>
      <c r="O321" s="730"/>
      <c r="P321" s="730"/>
      <c r="Q321" s="730"/>
      <c r="R321" s="730"/>
      <c r="S321" s="730">
        <v>319</v>
      </c>
      <c r="T321" s="730">
        <v>150</v>
      </c>
      <c r="U321" s="730"/>
      <c r="V321" s="730"/>
      <c r="W321" s="730"/>
      <c r="X321" s="730"/>
      <c r="Y321" s="729"/>
    </row>
    <row r="322" spans="12:25" x14ac:dyDescent="0.2">
      <c r="L322" s="730"/>
      <c r="M322" s="730"/>
      <c r="N322" s="730"/>
      <c r="O322" s="730"/>
      <c r="P322" s="730"/>
      <c r="Q322" s="730"/>
      <c r="R322" s="730"/>
      <c r="S322" s="730">
        <v>320</v>
      </c>
      <c r="T322" s="730">
        <v>150</v>
      </c>
      <c r="U322" s="730"/>
      <c r="V322" s="730"/>
      <c r="W322" s="730"/>
      <c r="X322" s="730"/>
      <c r="Y322" s="729"/>
    </row>
    <row r="323" spans="12:25" x14ac:dyDescent="0.2">
      <c r="L323" s="730"/>
      <c r="M323" s="730"/>
      <c r="N323" s="730"/>
      <c r="O323" s="730"/>
      <c r="P323" s="730"/>
      <c r="Q323" s="730"/>
      <c r="R323" s="730"/>
      <c r="S323" s="730">
        <v>321</v>
      </c>
      <c r="T323" s="730">
        <v>150</v>
      </c>
      <c r="U323" s="730"/>
      <c r="V323" s="730"/>
      <c r="W323" s="730"/>
      <c r="X323" s="730"/>
      <c r="Y323" s="729"/>
    </row>
    <row r="324" spans="12:25" x14ac:dyDescent="0.2">
      <c r="L324" s="730"/>
      <c r="M324" s="730"/>
      <c r="N324" s="730"/>
      <c r="O324" s="730"/>
      <c r="P324" s="730"/>
      <c r="Q324" s="730"/>
      <c r="R324" s="730"/>
      <c r="S324" s="730">
        <v>322</v>
      </c>
      <c r="T324" s="730">
        <v>150</v>
      </c>
      <c r="U324" s="730"/>
      <c r="V324" s="730"/>
      <c r="W324" s="730"/>
      <c r="X324" s="730"/>
      <c r="Y324" s="729"/>
    </row>
    <row r="325" spans="12:25" x14ac:dyDescent="0.2">
      <c r="L325" s="730"/>
      <c r="M325" s="730"/>
      <c r="N325" s="730"/>
      <c r="O325" s="730"/>
      <c r="P325" s="730"/>
      <c r="Q325" s="730"/>
      <c r="R325" s="730"/>
      <c r="S325" s="730">
        <v>323</v>
      </c>
      <c r="T325" s="730">
        <v>150</v>
      </c>
      <c r="U325" s="730"/>
      <c r="V325" s="730"/>
      <c r="W325" s="730"/>
      <c r="X325" s="730"/>
      <c r="Y325" s="729"/>
    </row>
    <row r="326" spans="12:25" x14ac:dyDescent="0.2">
      <c r="L326" s="730"/>
      <c r="M326" s="730"/>
      <c r="N326" s="730"/>
      <c r="O326" s="730"/>
      <c r="P326" s="730"/>
      <c r="Q326" s="730"/>
      <c r="R326" s="730"/>
      <c r="S326" s="730">
        <v>324</v>
      </c>
      <c r="T326" s="730">
        <v>150</v>
      </c>
      <c r="U326" s="730"/>
      <c r="V326" s="730"/>
      <c r="W326" s="730"/>
      <c r="X326" s="730"/>
      <c r="Y326" s="729"/>
    </row>
    <row r="327" spans="12:25" x14ac:dyDescent="0.2">
      <c r="L327" s="730"/>
      <c r="M327" s="730"/>
      <c r="N327" s="730"/>
      <c r="O327" s="730"/>
      <c r="P327" s="730"/>
      <c r="Q327" s="730"/>
      <c r="R327" s="730"/>
      <c r="S327" s="730">
        <v>325</v>
      </c>
      <c r="T327" s="730">
        <v>150</v>
      </c>
      <c r="U327" s="730"/>
      <c r="V327" s="730"/>
      <c r="W327" s="730"/>
      <c r="X327" s="730"/>
      <c r="Y327" s="729"/>
    </row>
    <row r="328" spans="12:25" x14ac:dyDescent="0.2">
      <c r="L328" s="730"/>
      <c r="M328" s="730"/>
      <c r="N328" s="730"/>
      <c r="O328" s="730"/>
      <c r="P328" s="730"/>
      <c r="Q328" s="730"/>
      <c r="R328" s="730"/>
      <c r="S328" s="730">
        <v>326</v>
      </c>
      <c r="T328" s="730">
        <v>150</v>
      </c>
      <c r="U328" s="730"/>
      <c r="V328" s="730"/>
      <c r="W328" s="730"/>
      <c r="X328" s="730"/>
      <c r="Y328" s="729"/>
    </row>
    <row r="329" spans="12:25" x14ac:dyDescent="0.2">
      <c r="L329" s="730"/>
      <c r="M329" s="730"/>
      <c r="N329" s="730"/>
      <c r="O329" s="730"/>
      <c r="P329" s="730"/>
      <c r="Q329" s="730"/>
      <c r="R329" s="730"/>
      <c r="S329" s="730">
        <v>327</v>
      </c>
      <c r="T329" s="730">
        <v>150</v>
      </c>
      <c r="U329" s="730"/>
      <c r="V329" s="730"/>
      <c r="W329" s="730"/>
      <c r="X329" s="730"/>
      <c r="Y329" s="729"/>
    </row>
    <row r="330" spans="12:25" x14ac:dyDescent="0.2">
      <c r="L330" s="730"/>
      <c r="M330" s="730"/>
      <c r="N330" s="730"/>
      <c r="O330" s="730"/>
      <c r="P330" s="730"/>
      <c r="Q330" s="730"/>
      <c r="R330" s="730"/>
      <c r="S330" s="730">
        <v>328</v>
      </c>
      <c r="T330" s="730">
        <v>150</v>
      </c>
      <c r="U330" s="730"/>
      <c r="V330" s="730"/>
      <c r="W330" s="730"/>
      <c r="X330" s="730"/>
      <c r="Y330" s="729"/>
    </row>
    <row r="331" spans="12:25" x14ac:dyDescent="0.2">
      <c r="L331" s="730"/>
      <c r="M331" s="730"/>
      <c r="N331" s="730"/>
      <c r="O331" s="730"/>
      <c r="P331" s="730"/>
      <c r="Q331" s="730"/>
      <c r="R331" s="730"/>
      <c r="S331" s="730">
        <v>329</v>
      </c>
      <c r="T331" s="730">
        <v>150</v>
      </c>
      <c r="U331" s="730"/>
      <c r="V331" s="730"/>
      <c r="W331" s="730"/>
      <c r="X331" s="730"/>
      <c r="Y331" s="729"/>
    </row>
    <row r="332" spans="12:25" x14ac:dyDescent="0.2">
      <c r="L332" s="730"/>
      <c r="M332" s="730"/>
      <c r="N332" s="730"/>
      <c r="O332" s="730"/>
      <c r="P332" s="730"/>
      <c r="Q332" s="730"/>
      <c r="R332" s="730"/>
      <c r="S332" s="730">
        <v>330</v>
      </c>
      <c r="T332" s="730">
        <v>150</v>
      </c>
      <c r="U332" s="730"/>
      <c r="V332" s="730"/>
      <c r="W332" s="730"/>
      <c r="X332" s="730"/>
      <c r="Y332" s="729"/>
    </row>
    <row r="333" spans="12:25" x14ac:dyDescent="0.2">
      <c r="L333" s="730"/>
      <c r="M333" s="730"/>
      <c r="N333" s="730"/>
      <c r="O333" s="730"/>
      <c r="P333" s="730"/>
      <c r="Q333" s="730"/>
      <c r="R333" s="730"/>
      <c r="S333" s="730">
        <v>331</v>
      </c>
      <c r="T333" s="730">
        <v>150</v>
      </c>
      <c r="U333" s="730"/>
      <c r="V333" s="730"/>
      <c r="W333" s="730"/>
      <c r="X333" s="730"/>
      <c r="Y333" s="729"/>
    </row>
    <row r="334" spans="12:25" x14ac:dyDescent="0.2">
      <c r="L334" s="730"/>
      <c r="M334" s="730"/>
      <c r="N334" s="730"/>
      <c r="O334" s="730"/>
      <c r="P334" s="730"/>
      <c r="Q334" s="730"/>
      <c r="R334" s="730"/>
      <c r="S334" s="730">
        <v>332</v>
      </c>
      <c r="T334" s="730">
        <v>150</v>
      </c>
      <c r="U334" s="730"/>
      <c r="V334" s="730"/>
      <c r="W334" s="730"/>
      <c r="X334" s="730"/>
      <c r="Y334" s="729"/>
    </row>
    <row r="335" spans="12:25" x14ac:dyDescent="0.2">
      <c r="L335" s="730"/>
      <c r="M335" s="730"/>
      <c r="N335" s="730"/>
      <c r="O335" s="730"/>
      <c r="P335" s="730"/>
      <c r="Q335" s="730"/>
      <c r="R335" s="730"/>
      <c r="S335" s="730">
        <v>333</v>
      </c>
      <c r="T335" s="730">
        <v>150</v>
      </c>
      <c r="U335" s="730"/>
      <c r="V335" s="730"/>
      <c r="W335" s="730"/>
      <c r="X335" s="730"/>
      <c r="Y335" s="729"/>
    </row>
    <row r="336" spans="12:25" x14ac:dyDescent="0.2">
      <c r="L336" s="730"/>
      <c r="M336" s="730"/>
      <c r="N336" s="730"/>
      <c r="O336" s="730"/>
      <c r="P336" s="730"/>
      <c r="Q336" s="730"/>
      <c r="R336" s="730"/>
      <c r="S336" s="730">
        <v>334</v>
      </c>
      <c r="T336" s="730">
        <v>150</v>
      </c>
      <c r="U336" s="730"/>
      <c r="V336" s="730"/>
      <c r="W336" s="730"/>
      <c r="X336" s="730"/>
      <c r="Y336" s="729"/>
    </row>
    <row r="337" spans="12:25" x14ac:dyDescent="0.2">
      <c r="L337" s="730"/>
      <c r="M337" s="730"/>
      <c r="N337" s="730"/>
      <c r="O337" s="730"/>
      <c r="P337" s="730"/>
      <c r="Q337" s="730"/>
      <c r="R337" s="730"/>
      <c r="S337" s="730">
        <v>335</v>
      </c>
      <c r="T337" s="730">
        <v>150</v>
      </c>
      <c r="U337" s="730"/>
      <c r="V337" s="730"/>
      <c r="W337" s="730"/>
      <c r="X337" s="730"/>
      <c r="Y337" s="729"/>
    </row>
    <row r="338" spans="12:25" x14ac:dyDescent="0.2">
      <c r="L338" s="730"/>
      <c r="M338" s="730"/>
      <c r="N338" s="730"/>
      <c r="O338" s="730"/>
      <c r="P338" s="730"/>
      <c r="Q338" s="730"/>
      <c r="R338" s="730"/>
      <c r="S338" s="730">
        <v>336</v>
      </c>
      <c r="T338" s="730">
        <v>150</v>
      </c>
      <c r="U338" s="730"/>
      <c r="V338" s="730"/>
      <c r="W338" s="730"/>
      <c r="X338" s="730"/>
      <c r="Y338" s="729"/>
    </row>
    <row r="339" spans="12:25" x14ac:dyDescent="0.2">
      <c r="L339" s="730"/>
      <c r="M339" s="730"/>
      <c r="N339" s="730"/>
      <c r="O339" s="730"/>
      <c r="P339" s="730"/>
      <c r="Q339" s="730"/>
      <c r="R339" s="730"/>
      <c r="S339" s="730">
        <v>337</v>
      </c>
      <c r="T339" s="730">
        <v>150</v>
      </c>
      <c r="U339" s="730"/>
      <c r="V339" s="730"/>
      <c r="W339" s="730"/>
      <c r="X339" s="730"/>
      <c r="Y339" s="729"/>
    </row>
    <row r="340" spans="12:25" x14ac:dyDescent="0.2">
      <c r="L340" s="730"/>
      <c r="M340" s="730"/>
      <c r="N340" s="730"/>
      <c r="O340" s="730"/>
      <c r="P340" s="730"/>
      <c r="Q340" s="730"/>
      <c r="R340" s="730"/>
      <c r="S340" s="730">
        <v>338</v>
      </c>
      <c r="T340" s="730">
        <v>150</v>
      </c>
      <c r="U340" s="730"/>
      <c r="V340" s="730"/>
      <c r="W340" s="730"/>
      <c r="X340" s="730"/>
      <c r="Y340" s="729"/>
    </row>
    <row r="341" spans="12:25" x14ac:dyDescent="0.2">
      <c r="L341" s="730"/>
      <c r="M341" s="730"/>
      <c r="N341" s="730"/>
      <c r="O341" s="730"/>
      <c r="P341" s="730"/>
      <c r="Q341" s="730"/>
      <c r="R341" s="730"/>
      <c r="S341" s="730">
        <v>339</v>
      </c>
      <c r="T341" s="730">
        <v>150</v>
      </c>
      <c r="U341" s="730"/>
      <c r="V341" s="730"/>
      <c r="W341" s="730"/>
      <c r="X341" s="730"/>
      <c r="Y341" s="729"/>
    </row>
    <row r="342" spans="12:25" x14ac:dyDescent="0.2">
      <c r="L342" s="730"/>
      <c r="M342" s="730"/>
      <c r="N342" s="730"/>
      <c r="O342" s="730"/>
      <c r="P342" s="730"/>
      <c r="Q342" s="730"/>
      <c r="R342" s="730"/>
      <c r="S342" s="730">
        <v>340</v>
      </c>
      <c r="T342" s="730">
        <v>150</v>
      </c>
      <c r="U342" s="730"/>
      <c r="V342" s="730"/>
      <c r="W342" s="730"/>
      <c r="X342" s="730"/>
      <c r="Y342" s="729"/>
    </row>
    <row r="343" spans="12:25" x14ac:dyDescent="0.2">
      <c r="L343" s="730"/>
      <c r="M343" s="730"/>
      <c r="N343" s="730"/>
      <c r="O343" s="730"/>
      <c r="P343" s="730"/>
      <c r="Q343" s="730"/>
      <c r="R343" s="730"/>
      <c r="S343" s="730">
        <v>341</v>
      </c>
      <c r="T343" s="730">
        <v>150</v>
      </c>
      <c r="U343" s="730"/>
      <c r="V343" s="730"/>
      <c r="W343" s="730"/>
      <c r="X343" s="730"/>
      <c r="Y343" s="729"/>
    </row>
    <row r="344" spans="12:25" x14ac:dyDescent="0.2">
      <c r="L344" s="730"/>
      <c r="M344" s="730"/>
      <c r="N344" s="730"/>
      <c r="O344" s="730"/>
      <c r="P344" s="730"/>
      <c r="Q344" s="730"/>
      <c r="R344" s="730"/>
      <c r="S344" s="730">
        <v>342</v>
      </c>
      <c r="T344" s="730">
        <v>150</v>
      </c>
      <c r="U344" s="730"/>
      <c r="V344" s="730"/>
      <c r="W344" s="730"/>
      <c r="X344" s="730"/>
      <c r="Y344" s="729"/>
    </row>
    <row r="345" spans="12:25" x14ac:dyDescent="0.2">
      <c r="L345" s="730"/>
      <c r="M345" s="730"/>
      <c r="N345" s="730"/>
      <c r="O345" s="730"/>
      <c r="P345" s="730"/>
      <c r="Q345" s="730"/>
      <c r="R345" s="730"/>
      <c r="S345" s="730">
        <v>343</v>
      </c>
      <c r="T345" s="730">
        <v>150</v>
      </c>
      <c r="U345" s="730"/>
      <c r="V345" s="730"/>
      <c r="W345" s="730"/>
      <c r="X345" s="730"/>
      <c r="Y345" s="729"/>
    </row>
    <row r="346" spans="12:25" x14ac:dyDescent="0.2">
      <c r="L346" s="730"/>
      <c r="M346" s="730"/>
      <c r="N346" s="730"/>
      <c r="O346" s="730"/>
      <c r="P346" s="730"/>
      <c r="Q346" s="730"/>
      <c r="R346" s="730"/>
      <c r="S346" s="730">
        <v>344</v>
      </c>
      <c r="T346" s="730">
        <v>150</v>
      </c>
      <c r="U346" s="730"/>
      <c r="V346" s="730"/>
      <c r="W346" s="730"/>
      <c r="X346" s="730"/>
      <c r="Y346" s="729"/>
    </row>
    <row r="347" spans="12:25" x14ac:dyDescent="0.2">
      <c r="L347" s="730"/>
      <c r="M347" s="730"/>
      <c r="N347" s="730"/>
      <c r="O347" s="730"/>
      <c r="P347" s="730"/>
      <c r="Q347" s="730"/>
      <c r="R347" s="730"/>
      <c r="S347" s="730">
        <v>345</v>
      </c>
      <c r="T347" s="730">
        <v>150</v>
      </c>
      <c r="U347" s="730"/>
      <c r="V347" s="730"/>
      <c r="W347" s="730"/>
      <c r="X347" s="730"/>
      <c r="Y347" s="729"/>
    </row>
    <row r="348" spans="12:25" x14ac:dyDescent="0.2">
      <c r="L348" s="730"/>
      <c r="M348" s="730"/>
      <c r="N348" s="730"/>
      <c r="O348" s="730"/>
      <c r="P348" s="730"/>
      <c r="Q348" s="730"/>
      <c r="R348" s="730"/>
      <c r="S348" s="730">
        <v>346</v>
      </c>
      <c r="T348" s="730">
        <v>150</v>
      </c>
      <c r="U348" s="730"/>
      <c r="V348" s="730"/>
      <c r="W348" s="730"/>
      <c r="X348" s="730"/>
      <c r="Y348" s="729"/>
    </row>
    <row r="349" spans="12:25" x14ac:dyDescent="0.2">
      <c r="L349" s="730"/>
      <c r="M349" s="730"/>
      <c r="N349" s="730"/>
      <c r="O349" s="730"/>
      <c r="P349" s="730"/>
      <c r="Q349" s="730"/>
      <c r="R349" s="730"/>
      <c r="S349" s="730">
        <v>347</v>
      </c>
      <c r="T349" s="730">
        <v>150</v>
      </c>
      <c r="U349" s="730"/>
      <c r="V349" s="730"/>
      <c r="W349" s="730"/>
      <c r="X349" s="730"/>
      <c r="Y349" s="729"/>
    </row>
    <row r="350" spans="12:25" x14ac:dyDescent="0.2">
      <c r="L350" s="730"/>
      <c r="M350" s="730"/>
      <c r="N350" s="730"/>
      <c r="O350" s="730"/>
      <c r="P350" s="730"/>
      <c r="Q350" s="730"/>
      <c r="R350" s="730"/>
      <c r="S350" s="730">
        <v>348</v>
      </c>
      <c r="T350" s="730">
        <v>150</v>
      </c>
      <c r="U350" s="730"/>
      <c r="V350" s="730"/>
      <c r="W350" s="730"/>
      <c r="X350" s="730"/>
      <c r="Y350" s="729"/>
    </row>
    <row r="351" spans="12:25" x14ac:dyDescent="0.2">
      <c r="L351" s="730"/>
      <c r="M351" s="730"/>
      <c r="N351" s="730"/>
      <c r="O351" s="730"/>
      <c r="P351" s="730"/>
      <c r="Q351" s="730"/>
      <c r="R351" s="730"/>
      <c r="S351" s="730">
        <v>349</v>
      </c>
      <c r="T351" s="730">
        <v>150</v>
      </c>
      <c r="U351" s="730"/>
      <c r="V351" s="730"/>
      <c r="W351" s="730"/>
      <c r="X351" s="730"/>
      <c r="Y351" s="729"/>
    </row>
    <row r="352" spans="12:25" x14ac:dyDescent="0.2">
      <c r="L352" s="730"/>
      <c r="M352" s="730"/>
      <c r="N352" s="730"/>
      <c r="O352" s="730"/>
      <c r="P352" s="730"/>
      <c r="Q352" s="730"/>
      <c r="R352" s="730"/>
      <c r="S352" s="730">
        <v>350</v>
      </c>
      <c r="T352" s="730">
        <v>150</v>
      </c>
      <c r="U352" s="730"/>
      <c r="V352" s="730"/>
      <c r="W352" s="730"/>
      <c r="X352" s="730"/>
      <c r="Y352" s="729"/>
    </row>
    <row r="353" spans="12:25" x14ac:dyDescent="0.2">
      <c r="L353" s="730"/>
      <c r="M353" s="730"/>
      <c r="N353" s="730"/>
      <c r="O353" s="730"/>
      <c r="P353" s="730"/>
      <c r="Q353" s="730"/>
      <c r="R353" s="730"/>
      <c r="S353" s="730">
        <v>351</v>
      </c>
      <c r="T353" s="730">
        <v>150</v>
      </c>
      <c r="U353" s="730"/>
      <c r="V353" s="730"/>
      <c r="W353" s="730"/>
      <c r="X353" s="730"/>
      <c r="Y353" s="729"/>
    </row>
    <row r="354" spans="12:25" x14ac:dyDescent="0.2">
      <c r="L354" s="730"/>
      <c r="M354" s="730"/>
      <c r="N354" s="730"/>
      <c r="O354" s="730"/>
      <c r="P354" s="730"/>
      <c r="Q354" s="730"/>
      <c r="R354" s="730"/>
      <c r="S354" s="730">
        <v>352</v>
      </c>
      <c r="T354" s="730">
        <v>150</v>
      </c>
      <c r="U354" s="730"/>
      <c r="V354" s="730"/>
      <c r="W354" s="730"/>
      <c r="X354" s="730"/>
      <c r="Y354" s="729"/>
    </row>
    <row r="355" spans="12:25" x14ac:dyDescent="0.2">
      <c r="L355" s="730"/>
      <c r="M355" s="730"/>
      <c r="N355" s="730"/>
      <c r="O355" s="730"/>
      <c r="P355" s="730"/>
      <c r="Q355" s="730"/>
      <c r="R355" s="730"/>
      <c r="S355" s="730">
        <v>353</v>
      </c>
      <c r="T355" s="730">
        <v>150</v>
      </c>
      <c r="U355" s="730"/>
      <c r="V355" s="730"/>
      <c r="W355" s="730"/>
      <c r="X355" s="730"/>
      <c r="Y355" s="729"/>
    </row>
    <row r="356" spans="12:25" x14ac:dyDescent="0.2">
      <c r="L356" s="730"/>
      <c r="M356" s="730"/>
      <c r="N356" s="730"/>
      <c r="O356" s="730"/>
      <c r="P356" s="730"/>
      <c r="Q356" s="730"/>
      <c r="R356" s="730"/>
      <c r="S356" s="730">
        <v>354</v>
      </c>
      <c r="T356" s="730">
        <v>150</v>
      </c>
      <c r="U356" s="730"/>
      <c r="V356" s="730"/>
      <c r="W356" s="730"/>
      <c r="X356" s="730"/>
      <c r="Y356" s="729"/>
    </row>
    <row r="357" spans="12:25" x14ac:dyDescent="0.2">
      <c r="L357" s="730"/>
      <c r="M357" s="730"/>
      <c r="N357" s="730"/>
      <c r="O357" s="730"/>
      <c r="P357" s="730"/>
      <c r="Q357" s="730"/>
      <c r="R357" s="730"/>
      <c r="S357" s="730">
        <v>355</v>
      </c>
      <c r="T357" s="730">
        <v>150</v>
      </c>
      <c r="U357" s="730"/>
      <c r="V357" s="730"/>
      <c r="W357" s="730"/>
      <c r="X357" s="730"/>
      <c r="Y357" s="729"/>
    </row>
    <row r="358" spans="12:25" x14ac:dyDescent="0.2">
      <c r="L358" s="730"/>
      <c r="M358" s="730"/>
      <c r="N358" s="730"/>
      <c r="O358" s="730"/>
      <c r="P358" s="730"/>
      <c r="Q358" s="730"/>
      <c r="R358" s="730"/>
      <c r="S358" s="730">
        <v>356</v>
      </c>
      <c r="T358" s="730">
        <v>150</v>
      </c>
      <c r="U358" s="730"/>
      <c r="V358" s="730"/>
      <c r="W358" s="730"/>
      <c r="X358" s="730"/>
      <c r="Y358" s="729"/>
    </row>
    <row r="359" spans="12:25" x14ac:dyDescent="0.2">
      <c r="L359" s="730"/>
      <c r="M359" s="730"/>
      <c r="N359" s="730"/>
      <c r="O359" s="730"/>
      <c r="P359" s="730"/>
      <c r="Q359" s="730"/>
      <c r="R359" s="730"/>
      <c r="S359" s="730">
        <v>357</v>
      </c>
      <c r="T359" s="730">
        <v>150</v>
      </c>
      <c r="U359" s="730"/>
      <c r="V359" s="730"/>
      <c r="W359" s="730"/>
      <c r="X359" s="730"/>
      <c r="Y359" s="729"/>
    </row>
    <row r="360" spans="12:25" x14ac:dyDescent="0.2">
      <c r="L360" s="730"/>
      <c r="M360" s="730"/>
      <c r="N360" s="730"/>
      <c r="O360" s="730"/>
      <c r="P360" s="730"/>
      <c r="Q360" s="730"/>
      <c r="R360" s="730"/>
      <c r="S360" s="730">
        <v>358</v>
      </c>
      <c r="T360" s="730">
        <v>150</v>
      </c>
      <c r="U360" s="730"/>
      <c r="V360" s="730"/>
      <c r="W360" s="730"/>
      <c r="X360" s="730"/>
      <c r="Y360" s="729"/>
    </row>
    <row r="361" spans="12:25" x14ac:dyDescent="0.2">
      <c r="L361" s="730"/>
      <c r="M361" s="730"/>
      <c r="N361" s="730"/>
      <c r="O361" s="730"/>
      <c r="P361" s="730"/>
      <c r="Q361" s="730"/>
      <c r="R361" s="730"/>
      <c r="S361" s="730">
        <v>359</v>
      </c>
      <c r="T361" s="730">
        <v>150</v>
      </c>
      <c r="U361" s="730"/>
      <c r="V361" s="730"/>
      <c r="W361" s="730"/>
      <c r="X361" s="730"/>
      <c r="Y361" s="729"/>
    </row>
    <row r="362" spans="12:25" x14ac:dyDescent="0.2">
      <c r="L362" s="730"/>
      <c r="M362" s="730"/>
      <c r="N362" s="730"/>
      <c r="O362" s="730"/>
      <c r="P362" s="730"/>
      <c r="Q362" s="730"/>
      <c r="R362" s="730"/>
      <c r="S362" s="730">
        <v>360</v>
      </c>
      <c r="T362" s="730">
        <v>150</v>
      </c>
      <c r="U362" s="730">
        <v>360</v>
      </c>
      <c r="V362" s="730"/>
      <c r="W362" s="730"/>
      <c r="X362" s="730"/>
      <c r="Y362" s="729"/>
    </row>
    <row r="363" spans="12:25" x14ac:dyDescent="0.2">
      <c r="L363" s="730"/>
      <c r="M363" s="730"/>
      <c r="N363" s="730"/>
      <c r="O363" s="730"/>
      <c r="P363" s="730"/>
      <c r="Q363" s="730"/>
      <c r="R363" s="730"/>
      <c r="S363" s="730"/>
      <c r="T363" s="730"/>
      <c r="U363" s="730"/>
      <c r="V363" s="730"/>
      <c r="W363" s="730"/>
      <c r="X363" s="730"/>
      <c r="Y363" s="729"/>
    </row>
    <row r="364" spans="12:25" x14ac:dyDescent="0.2">
      <c r="L364" s="730"/>
      <c r="M364" s="730"/>
      <c r="N364" s="730"/>
      <c r="O364" s="730"/>
      <c r="P364" s="730"/>
      <c r="Q364" s="730"/>
      <c r="R364" s="730"/>
      <c r="S364" s="730"/>
      <c r="T364" s="730"/>
      <c r="U364" s="730"/>
      <c r="V364" s="730"/>
      <c r="W364" s="730"/>
      <c r="X364" s="730"/>
      <c r="Y364" s="729"/>
    </row>
    <row r="365" spans="12:25" x14ac:dyDescent="0.2">
      <c r="L365" s="730"/>
      <c r="M365" s="730"/>
      <c r="N365" s="730"/>
      <c r="O365" s="730"/>
      <c r="P365" s="730"/>
      <c r="Q365" s="730"/>
      <c r="R365" s="730"/>
      <c r="S365" s="730"/>
      <c r="T365" s="730"/>
      <c r="U365" s="730"/>
      <c r="V365" s="730"/>
      <c r="W365" s="730"/>
      <c r="X365" s="730"/>
      <c r="Y365" s="729"/>
    </row>
    <row r="366" spans="12:25" x14ac:dyDescent="0.2">
      <c r="L366" s="730"/>
      <c r="M366" s="730"/>
      <c r="N366" s="730"/>
      <c r="O366" s="730"/>
      <c r="P366" s="730"/>
      <c r="Q366" s="730"/>
      <c r="R366" s="730"/>
      <c r="S366" s="730"/>
      <c r="T366" s="730"/>
      <c r="U366" s="730"/>
      <c r="V366" s="730"/>
      <c r="W366" s="730"/>
      <c r="X366" s="730"/>
      <c r="Y366" s="729"/>
    </row>
    <row r="367" spans="12:25" x14ac:dyDescent="0.2">
      <c r="L367" s="730"/>
      <c r="M367" s="730"/>
      <c r="N367" s="730"/>
      <c r="O367" s="730"/>
      <c r="P367" s="730"/>
      <c r="Q367" s="730"/>
      <c r="R367" s="730"/>
      <c r="S367" s="730"/>
      <c r="T367" s="730"/>
      <c r="U367" s="730"/>
      <c r="V367" s="730"/>
      <c r="W367" s="730"/>
      <c r="X367" s="730"/>
      <c r="Y367" s="729"/>
    </row>
    <row r="368" spans="12:25" x14ac:dyDescent="0.2">
      <c r="L368" s="730"/>
      <c r="M368" s="730"/>
      <c r="N368" s="730"/>
      <c r="O368" s="730"/>
      <c r="P368" s="730"/>
      <c r="Q368" s="730"/>
      <c r="R368" s="730"/>
      <c r="S368" s="730"/>
      <c r="T368" s="730"/>
      <c r="U368" s="730"/>
      <c r="V368" s="730"/>
      <c r="W368" s="730"/>
      <c r="X368" s="730"/>
      <c r="Y368" s="729"/>
    </row>
    <row r="369" spans="12:25" x14ac:dyDescent="0.2">
      <c r="L369" s="730"/>
      <c r="M369" s="730"/>
      <c r="N369" s="730"/>
      <c r="O369" s="730"/>
      <c r="P369" s="730"/>
      <c r="Q369" s="730"/>
      <c r="R369" s="730"/>
      <c r="S369" s="730"/>
      <c r="T369" s="730"/>
      <c r="U369" s="730"/>
      <c r="V369" s="730"/>
      <c r="W369" s="730"/>
      <c r="X369" s="730"/>
      <c r="Y369" s="729"/>
    </row>
    <row r="370" spans="12:25" x14ac:dyDescent="0.2">
      <c r="L370" s="730"/>
      <c r="M370" s="730"/>
      <c r="N370" s="730"/>
      <c r="O370" s="730"/>
      <c r="P370" s="730"/>
      <c r="Q370" s="730"/>
      <c r="R370" s="730"/>
      <c r="S370" s="730"/>
      <c r="T370" s="730"/>
      <c r="U370" s="730"/>
      <c r="V370" s="730"/>
      <c r="W370" s="730"/>
      <c r="X370" s="730"/>
      <c r="Y370" s="729"/>
    </row>
    <row r="371" spans="12:25" x14ac:dyDescent="0.2">
      <c r="L371" s="730"/>
      <c r="M371" s="730"/>
      <c r="N371" s="730"/>
      <c r="O371" s="730"/>
      <c r="P371" s="730"/>
      <c r="Q371" s="730"/>
      <c r="R371" s="730"/>
      <c r="S371" s="730"/>
      <c r="T371" s="730"/>
      <c r="U371" s="730"/>
      <c r="V371" s="730"/>
      <c r="W371" s="730"/>
      <c r="X371" s="730"/>
      <c r="Y371" s="729"/>
    </row>
    <row r="372" spans="12:25" x14ac:dyDescent="0.2">
      <c r="L372" s="730"/>
      <c r="M372" s="730"/>
      <c r="N372" s="730"/>
      <c r="O372" s="730"/>
      <c r="P372" s="730"/>
      <c r="Q372" s="730"/>
      <c r="R372" s="730"/>
      <c r="S372" s="730"/>
      <c r="T372" s="730"/>
      <c r="U372" s="730"/>
      <c r="V372" s="730"/>
      <c r="W372" s="730"/>
      <c r="X372" s="730"/>
      <c r="Y372" s="729"/>
    </row>
    <row r="373" spans="12:25" x14ac:dyDescent="0.2">
      <c r="L373" s="730"/>
      <c r="M373" s="730"/>
      <c r="N373" s="730"/>
      <c r="O373" s="730"/>
      <c r="P373" s="730"/>
      <c r="Q373" s="730"/>
      <c r="R373" s="730"/>
      <c r="S373" s="730"/>
      <c r="T373" s="730"/>
      <c r="U373" s="730"/>
      <c r="V373" s="730"/>
      <c r="W373" s="730"/>
      <c r="X373" s="730"/>
      <c r="Y373" s="729"/>
    </row>
    <row r="374" spans="12:25" x14ac:dyDescent="0.2">
      <c r="L374" s="730"/>
      <c r="M374" s="730"/>
      <c r="N374" s="730"/>
      <c r="O374" s="730"/>
      <c r="P374" s="730"/>
      <c r="Q374" s="730"/>
      <c r="R374" s="730"/>
      <c r="S374" s="730"/>
      <c r="T374" s="730"/>
      <c r="U374" s="730"/>
      <c r="V374" s="730"/>
      <c r="W374" s="730"/>
      <c r="X374" s="730"/>
      <c r="Y374" s="729"/>
    </row>
    <row r="375" spans="12:25" x14ac:dyDescent="0.2">
      <c r="L375" s="730"/>
      <c r="M375" s="730"/>
      <c r="N375" s="730"/>
      <c r="O375" s="730"/>
      <c r="P375" s="730"/>
      <c r="Q375" s="730"/>
      <c r="R375" s="730"/>
      <c r="S375" s="730"/>
      <c r="T375" s="730"/>
      <c r="U375" s="730"/>
      <c r="V375" s="730"/>
      <c r="W375" s="730"/>
      <c r="X375" s="730"/>
      <c r="Y375" s="729"/>
    </row>
    <row r="376" spans="12:25" x14ac:dyDescent="0.2">
      <c r="L376" s="730"/>
      <c r="M376" s="730"/>
      <c r="N376" s="730"/>
      <c r="O376" s="730"/>
      <c r="P376" s="730"/>
      <c r="Q376" s="730"/>
      <c r="R376" s="730"/>
      <c r="S376" s="730"/>
      <c r="T376" s="730"/>
      <c r="U376" s="730"/>
      <c r="V376" s="730"/>
      <c r="W376" s="730"/>
      <c r="X376" s="730"/>
      <c r="Y376" s="729"/>
    </row>
    <row r="377" spans="12:25" x14ac:dyDescent="0.2">
      <c r="L377" s="730"/>
      <c r="M377" s="730"/>
      <c r="N377" s="730"/>
      <c r="O377" s="730"/>
      <c r="P377" s="730"/>
      <c r="Q377" s="730"/>
      <c r="R377" s="730"/>
      <c r="S377" s="730"/>
      <c r="T377" s="730"/>
      <c r="U377" s="730"/>
      <c r="V377" s="730"/>
      <c r="W377" s="730"/>
      <c r="X377" s="730"/>
      <c r="Y377" s="729"/>
    </row>
    <row r="378" spans="12:25" x14ac:dyDescent="0.2">
      <c r="L378" s="730"/>
      <c r="M378" s="730"/>
      <c r="N378" s="730"/>
      <c r="O378" s="730"/>
      <c r="P378" s="730"/>
      <c r="Q378" s="730"/>
      <c r="R378" s="730"/>
      <c r="S378" s="730"/>
      <c r="T378" s="730"/>
      <c r="U378" s="730"/>
      <c r="V378" s="730"/>
      <c r="W378" s="730"/>
      <c r="X378" s="730"/>
      <c r="Y378" s="729"/>
    </row>
    <row r="379" spans="12:25" x14ac:dyDescent="0.2">
      <c r="L379" s="730"/>
      <c r="M379" s="730"/>
      <c r="N379" s="730"/>
      <c r="O379" s="730"/>
      <c r="P379" s="730"/>
      <c r="Q379" s="730"/>
      <c r="R379" s="730"/>
      <c r="S379" s="730"/>
      <c r="T379" s="730"/>
      <c r="U379" s="730"/>
      <c r="V379" s="730"/>
      <c r="W379" s="730"/>
      <c r="X379" s="730"/>
      <c r="Y379" s="729"/>
    </row>
    <row r="380" spans="12:25" x14ac:dyDescent="0.2">
      <c r="L380" s="730"/>
      <c r="M380" s="730"/>
      <c r="N380" s="730"/>
      <c r="O380" s="730"/>
      <c r="P380" s="730"/>
      <c r="Q380" s="730"/>
      <c r="R380" s="730"/>
      <c r="S380" s="730"/>
      <c r="T380" s="730"/>
      <c r="U380" s="730"/>
      <c r="V380" s="730"/>
      <c r="W380" s="730"/>
      <c r="X380" s="730"/>
      <c r="Y380" s="729"/>
    </row>
    <row r="381" spans="12:25" x14ac:dyDescent="0.2">
      <c r="L381" s="730"/>
      <c r="M381" s="730"/>
      <c r="N381" s="730"/>
      <c r="O381" s="730"/>
      <c r="P381" s="730"/>
      <c r="Q381" s="730"/>
      <c r="R381" s="730"/>
      <c r="S381" s="730"/>
      <c r="T381" s="730"/>
      <c r="U381" s="730"/>
      <c r="V381" s="730"/>
      <c r="W381" s="730"/>
      <c r="X381" s="730"/>
      <c r="Y381" s="729"/>
    </row>
    <row r="382" spans="12:25" x14ac:dyDescent="0.2">
      <c r="L382" s="730"/>
      <c r="M382" s="730"/>
      <c r="N382" s="730"/>
      <c r="O382" s="730"/>
      <c r="P382" s="730"/>
      <c r="Q382" s="730"/>
      <c r="R382" s="730"/>
      <c r="S382" s="730"/>
      <c r="T382" s="730"/>
      <c r="U382" s="730"/>
      <c r="V382" s="730"/>
      <c r="W382" s="730"/>
      <c r="X382" s="730"/>
      <c r="Y382" s="729"/>
    </row>
    <row r="383" spans="12:25" x14ac:dyDescent="0.2">
      <c r="L383" s="730"/>
      <c r="M383" s="730"/>
      <c r="N383" s="730"/>
      <c r="O383" s="730"/>
      <c r="P383" s="730"/>
      <c r="Q383" s="730"/>
      <c r="R383" s="730"/>
      <c r="S383" s="730"/>
      <c r="T383" s="730"/>
      <c r="U383" s="730"/>
      <c r="V383" s="730"/>
      <c r="W383" s="730"/>
      <c r="X383" s="730"/>
      <c r="Y383" s="729"/>
    </row>
    <row r="384" spans="12:25" x14ac:dyDescent="0.2">
      <c r="L384" s="730"/>
      <c r="M384" s="730"/>
      <c r="N384" s="730"/>
      <c r="O384" s="730"/>
      <c r="P384" s="730"/>
      <c r="Q384" s="730"/>
      <c r="R384" s="730"/>
      <c r="S384" s="730"/>
      <c r="T384" s="730"/>
      <c r="U384" s="730"/>
      <c r="V384" s="730"/>
      <c r="W384" s="730"/>
      <c r="X384" s="730"/>
      <c r="Y384" s="729"/>
    </row>
    <row r="385" spans="12:25" x14ac:dyDescent="0.2">
      <c r="L385" s="730"/>
      <c r="M385" s="730"/>
      <c r="N385" s="730"/>
      <c r="O385" s="730"/>
      <c r="P385" s="730"/>
      <c r="Q385" s="730"/>
      <c r="R385" s="730"/>
      <c r="S385" s="730"/>
      <c r="T385" s="730"/>
      <c r="U385" s="730"/>
      <c r="V385" s="730"/>
      <c r="W385" s="730"/>
      <c r="X385" s="730"/>
      <c r="Y385" s="729"/>
    </row>
    <row r="386" spans="12:25" x14ac:dyDescent="0.2">
      <c r="L386" s="730"/>
      <c r="M386" s="730"/>
      <c r="N386" s="730"/>
      <c r="O386" s="730"/>
      <c r="P386" s="730"/>
      <c r="Q386" s="730"/>
      <c r="R386" s="730"/>
      <c r="S386" s="730"/>
      <c r="T386" s="730"/>
      <c r="U386" s="730"/>
      <c r="V386" s="730"/>
      <c r="W386" s="730"/>
      <c r="X386" s="730"/>
      <c r="Y386" s="729"/>
    </row>
    <row r="387" spans="12:25" x14ac:dyDescent="0.2">
      <c r="L387" s="730"/>
      <c r="M387" s="730"/>
      <c r="N387" s="730"/>
      <c r="O387" s="730"/>
      <c r="P387" s="730"/>
      <c r="Q387" s="730"/>
      <c r="R387" s="730"/>
      <c r="S387" s="730"/>
      <c r="T387" s="730"/>
      <c r="U387" s="730"/>
      <c r="V387" s="730"/>
      <c r="W387" s="730"/>
      <c r="X387" s="730"/>
      <c r="Y387" s="729"/>
    </row>
    <row r="388" spans="12:25" x14ac:dyDescent="0.2">
      <c r="L388" s="730"/>
      <c r="M388" s="730"/>
      <c r="N388" s="730"/>
      <c r="O388" s="730"/>
      <c r="P388" s="730"/>
      <c r="Q388" s="730"/>
      <c r="R388" s="730"/>
      <c r="S388" s="730"/>
      <c r="T388" s="730"/>
      <c r="U388" s="730"/>
      <c r="V388" s="730"/>
      <c r="W388" s="730"/>
      <c r="X388" s="730"/>
      <c r="Y388" s="729"/>
    </row>
    <row r="389" spans="12:25" x14ac:dyDescent="0.2">
      <c r="L389" s="730"/>
      <c r="M389" s="730"/>
      <c r="N389" s="730"/>
      <c r="O389" s="730"/>
      <c r="P389" s="730"/>
      <c r="Q389" s="730"/>
      <c r="R389" s="730"/>
      <c r="S389" s="730"/>
      <c r="T389" s="730"/>
      <c r="U389" s="730"/>
      <c r="V389" s="730"/>
      <c r="W389" s="730"/>
      <c r="X389" s="730"/>
      <c r="Y389" s="729"/>
    </row>
    <row r="390" spans="12:25" x14ac:dyDescent="0.2">
      <c r="L390" s="730"/>
      <c r="M390" s="730"/>
      <c r="N390" s="730"/>
      <c r="O390" s="730"/>
      <c r="P390" s="730"/>
      <c r="Q390" s="730"/>
      <c r="R390" s="730"/>
      <c r="S390" s="730"/>
      <c r="T390" s="730"/>
      <c r="U390" s="730"/>
      <c r="V390" s="730"/>
      <c r="W390" s="730"/>
      <c r="X390" s="730"/>
      <c r="Y390" s="729"/>
    </row>
    <row r="391" spans="12:25" x14ac:dyDescent="0.2">
      <c r="L391" s="730"/>
      <c r="M391" s="730"/>
      <c r="N391" s="730"/>
      <c r="O391" s="730"/>
      <c r="P391" s="730"/>
      <c r="Q391" s="730"/>
      <c r="R391" s="730"/>
      <c r="S391" s="730"/>
      <c r="T391" s="730"/>
      <c r="U391" s="730"/>
      <c r="V391" s="730"/>
      <c r="W391" s="730"/>
      <c r="X391" s="730"/>
      <c r="Y391" s="729"/>
    </row>
    <row r="392" spans="12:25" x14ac:dyDescent="0.2">
      <c r="L392" s="730"/>
      <c r="M392" s="730"/>
      <c r="N392" s="730"/>
      <c r="O392" s="730"/>
      <c r="P392" s="730"/>
      <c r="Q392" s="730"/>
      <c r="R392" s="730"/>
      <c r="S392" s="730"/>
      <c r="T392" s="730"/>
      <c r="U392" s="730"/>
      <c r="V392" s="730"/>
      <c r="W392" s="730"/>
      <c r="X392" s="730"/>
      <c r="Y392" s="729"/>
    </row>
    <row r="393" spans="12:25" x14ac:dyDescent="0.2">
      <c r="L393" s="730"/>
      <c r="M393" s="730"/>
      <c r="N393" s="730"/>
      <c r="O393" s="730"/>
      <c r="P393" s="730"/>
      <c r="Q393" s="730"/>
      <c r="R393" s="730"/>
      <c r="S393" s="730"/>
      <c r="T393" s="730"/>
      <c r="U393" s="730"/>
      <c r="V393" s="730"/>
      <c r="W393" s="730"/>
      <c r="X393" s="730"/>
      <c r="Y393" s="729"/>
    </row>
    <row r="394" spans="12:25" x14ac:dyDescent="0.2">
      <c r="L394" s="730"/>
      <c r="M394" s="730"/>
      <c r="N394" s="730"/>
      <c r="O394" s="730"/>
      <c r="P394" s="730"/>
      <c r="Q394" s="730"/>
      <c r="R394" s="730"/>
      <c r="S394" s="730"/>
      <c r="T394" s="730"/>
      <c r="U394" s="730"/>
      <c r="V394" s="730"/>
      <c r="W394" s="730"/>
      <c r="X394" s="730"/>
      <c r="Y394" s="729"/>
    </row>
    <row r="395" spans="12:25" x14ac:dyDescent="0.2">
      <c r="L395" s="730"/>
      <c r="M395" s="730"/>
      <c r="N395" s="730"/>
      <c r="O395" s="730"/>
      <c r="P395" s="730"/>
      <c r="Q395" s="730"/>
      <c r="R395" s="730"/>
      <c r="S395" s="730"/>
      <c r="T395" s="730"/>
      <c r="U395" s="730"/>
      <c r="V395" s="730"/>
      <c r="W395" s="730"/>
      <c r="X395" s="730"/>
      <c r="Y395" s="729"/>
    </row>
    <row r="396" spans="12:25" x14ac:dyDescent="0.2">
      <c r="L396" s="730"/>
      <c r="M396" s="730"/>
      <c r="N396" s="730"/>
      <c r="O396" s="730"/>
      <c r="P396" s="730"/>
      <c r="Q396" s="730"/>
      <c r="R396" s="730"/>
      <c r="S396" s="730"/>
      <c r="T396" s="730"/>
      <c r="U396" s="730"/>
      <c r="V396" s="730"/>
      <c r="W396" s="730"/>
      <c r="X396" s="730"/>
      <c r="Y396" s="729"/>
    </row>
    <row r="397" spans="12:25" x14ac:dyDescent="0.2">
      <c r="L397" s="730"/>
      <c r="M397" s="730"/>
      <c r="N397" s="730"/>
      <c r="O397" s="730"/>
      <c r="P397" s="730"/>
      <c r="Q397" s="730"/>
      <c r="R397" s="730"/>
      <c r="S397" s="730"/>
      <c r="T397" s="730"/>
      <c r="U397" s="730"/>
      <c r="V397" s="730"/>
      <c r="W397" s="730"/>
      <c r="X397" s="730"/>
      <c r="Y397" s="729"/>
    </row>
    <row r="398" spans="12:25" x14ac:dyDescent="0.2">
      <c r="L398" s="730"/>
      <c r="M398" s="730"/>
      <c r="N398" s="730"/>
      <c r="O398" s="730"/>
      <c r="P398" s="730"/>
      <c r="Q398" s="730"/>
      <c r="R398" s="730"/>
      <c r="S398" s="730"/>
      <c r="T398" s="730"/>
      <c r="U398" s="730"/>
      <c r="V398" s="730"/>
      <c r="W398" s="730"/>
      <c r="X398" s="730"/>
      <c r="Y398" s="729"/>
    </row>
    <row r="399" spans="12:25" x14ac:dyDescent="0.2">
      <c r="L399" s="730"/>
      <c r="M399" s="730"/>
      <c r="N399" s="730"/>
      <c r="O399" s="730"/>
      <c r="P399" s="730"/>
      <c r="Q399" s="730"/>
      <c r="R399" s="730"/>
      <c r="S399" s="730"/>
      <c r="T399" s="730"/>
      <c r="U399" s="730"/>
      <c r="V399" s="730"/>
      <c r="W399" s="730"/>
      <c r="X399" s="730"/>
      <c r="Y399" s="729"/>
    </row>
    <row r="400" spans="12:25" x14ac:dyDescent="0.2">
      <c r="L400" s="730"/>
      <c r="M400" s="730"/>
      <c r="N400" s="730"/>
      <c r="O400" s="730"/>
      <c r="P400" s="730"/>
      <c r="Q400" s="730"/>
      <c r="R400" s="730"/>
      <c r="S400" s="730"/>
      <c r="T400" s="730"/>
      <c r="U400" s="730"/>
      <c r="V400" s="730"/>
      <c r="W400" s="730"/>
      <c r="X400" s="730"/>
      <c r="Y400" s="729"/>
    </row>
    <row r="401" spans="12:25" x14ac:dyDescent="0.2">
      <c r="L401" s="730"/>
      <c r="M401" s="730"/>
      <c r="N401" s="730"/>
      <c r="O401" s="730"/>
      <c r="P401" s="730"/>
      <c r="Q401" s="730"/>
      <c r="R401" s="730"/>
      <c r="S401" s="730"/>
      <c r="T401" s="730"/>
      <c r="U401" s="730"/>
      <c r="V401" s="730"/>
      <c r="W401" s="730"/>
      <c r="X401" s="730"/>
      <c r="Y401" s="729"/>
    </row>
    <row r="402" spans="12:25" x14ac:dyDescent="0.2">
      <c r="L402" s="729"/>
      <c r="M402" s="729"/>
      <c r="N402" s="729"/>
      <c r="O402" s="729"/>
      <c r="P402" s="729"/>
      <c r="Q402" s="729"/>
      <c r="R402" s="729"/>
      <c r="S402" s="729"/>
      <c r="T402" s="729"/>
      <c r="U402" s="729"/>
      <c r="V402" s="729"/>
      <c r="W402" s="729"/>
      <c r="X402" s="729"/>
      <c r="Y402" s="729"/>
    </row>
    <row r="403" spans="12:25" x14ac:dyDescent="0.2">
      <c r="L403" s="729"/>
      <c r="M403" s="729"/>
      <c r="N403" s="729"/>
      <c r="O403" s="729"/>
      <c r="P403" s="729"/>
      <c r="Q403" s="729"/>
      <c r="R403" s="729"/>
      <c r="S403" s="729"/>
      <c r="T403" s="729"/>
      <c r="U403" s="729"/>
      <c r="V403" s="729"/>
      <c r="W403" s="729"/>
      <c r="X403" s="729"/>
      <c r="Y403" s="729"/>
    </row>
    <row r="404" spans="12:25" x14ac:dyDescent="0.2">
      <c r="L404" s="729"/>
      <c r="M404" s="729"/>
      <c r="N404" s="729"/>
      <c r="O404" s="729"/>
      <c r="P404" s="729"/>
      <c r="Q404" s="729"/>
      <c r="R404" s="729"/>
      <c r="S404" s="729"/>
      <c r="T404" s="729"/>
      <c r="U404" s="729"/>
      <c r="V404" s="729"/>
      <c r="W404" s="729"/>
      <c r="X404" s="729"/>
      <c r="Y404" s="729"/>
    </row>
    <row r="405" spans="12:25" x14ac:dyDescent="0.2">
      <c r="L405" s="729"/>
      <c r="M405" s="729"/>
      <c r="N405" s="729"/>
      <c r="O405" s="729"/>
      <c r="P405" s="729"/>
      <c r="Q405" s="729"/>
      <c r="R405" s="729"/>
      <c r="S405" s="729"/>
      <c r="T405" s="729"/>
      <c r="U405" s="729"/>
      <c r="V405" s="729"/>
      <c r="W405" s="729"/>
      <c r="X405" s="729"/>
      <c r="Y405" s="729"/>
    </row>
    <row r="406" spans="12:25" x14ac:dyDescent="0.2">
      <c r="L406" s="729"/>
      <c r="M406" s="729"/>
      <c r="N406" s="729"/>
      <c r="O406" s="729"/>
      <c r="P406" s="729"/>
      <c r="Q406" s="729"/>
      <c r="R406" s="729"/>
      <c r="S406" s="729"/>
      <c r="T406" s="729"/>
      <c r="U406" s="729"/>
      <c r="V406" s="729"/>
      <c r="W406" s="729"/>
      <c r="X406" s="729"/>
      <c r="Y406" s="729"/>
    </row>
    <row r="407" spans="12:25" x14ac:dyDescent="0.2">
      <c r="L407" s="729"/>
      <c r="M407" s="729"/>
      <c r="N407" s="729"/>
      <c r="O407" s="729"/>
      <c r="P407" s="729"/>
      <c r="Q407" s="729"/>
      <c r="R407" s="729"/>
      <c r="S407" s="729"/>
      <c r="T407" s="729"/>
      <c r="U407" s="729"/>
      <c r="V407" s="729"/>
      <c r="W407" s="729"/>
      <c r="X407" s="729"/>
      <c r="Y407" s="729"/>
    </row>
    <row r="408" spans="12:25" x14ac:dyDescent="0.2">
      <c r="L408" s="729"/>
      <c r="M408" s="729"/>
      <c r="N408" s="729"/>
      <c r="O408" s="729"/>
      <c r="P408" s="729"/>
      <c r="Q408" s="729"/>
      <c r="R408" s="729"/>
      <c r="S408" s="729"/>
      <c r="T408" s="729"/>
      <c r="U408" s="729"/>
      <c r="V408" s="729"/>
      <c r="W408" s="729"/>
      <c r="X408" s="729"/>
      <c r="Y408" s="729"/>
    </row>
    <row r="409" spans="12:25" x14ac:dyDescent="0.2">
      <c r="L409" s="729"/>
      <c r="M409" s="729"/>
      <c r="N409" s="729"/>
      <c r="O409" s="729"/>
      <c r="P409" s="729"/>
      <c r="Q409" s="729"/>
      <c r="R409" s="729"/>
      <c r="S409" s="729"/>
      <c r="T409" s="729"/>
      <c r="U409" s="729"/>
      <c r="V409" s="729"/>
      <c r="W409" s="729"/>
      <c r="X409" s="729"/>
      <c r="Y409" s="729"/>
    </row>
    <row r="410" spans="12:25" x14ac:dyDescent="0.2">
      <c r="L410" s="729"/>
      <c r="M410" s="729"/>
      <c r="N410" s="729"/>
      <c r="O410" s="729"/>
      <c r="P410" s="729"/>
      <c r="Q410" s="729"/>
      <c r="R410" s="729"/>
      <c r="S410" s="729"/>
      <c r="T410" s="729"/>
      <c r="U410" s="729"/>
      <c r="V410" s="729"/>
      <c r="W410" s="729"/>
      <c r="X410" s="729"/>
      <c r="Y410" s="729"/>
    </row>
    <row r="411" spans="12:25" x14ac:dyDescent="0.2">
      <c r="L411" s="729"/>
      <c r="M411" s="729"/>
      <c r="N411" s="729"/>
      <c r="O411" s="729"/>
      <c r="P411" s="729"/>
      <c r="Q411" s="729"/>
      <c r="R411" s="729"/>
      <c r="S411" s="729"/>
      <c r="T411" s="729"/>
      <c r="U411" s="729"/>
      <c r="V411" s="729"/>
      <c r="W411" s="729"/>
      <c r="X411" s="729"/>
      <c r="Y411" s="729"/>
    </row>
    <row r="412" spans="12:25" x14ac:dyDescent="0.2">
      <c r="L412" s="729"/>
      <c r="M412" s="729"/>
      <c r="N412" s="729"/>
      <c r="O412" s="729"/>
      <c r="P412" s="729"/>
      <c r="Q412" s="729"/>
      <c r="R412" s="729"/>
      <c r="S412" s="729"/>
      <c r="T412" s="729"/>
      <c r="U412" s="729"/>
      <c r="V412" s="729"/>
      <c r="W412" s="729"/>
      <c r="X412" s="729"/>
      <c r="Y412" s="729"/>
    </row>
    <row r="413" spans="12:25" x14ac:dyDescent="0.2">
      <c r="L413" s="729"/>
      <c r="M413" s="729"/>
      <c r="N413" s="729"/>
      <c r="O413" s="729"/>
      <c r="P413" s="729"/>
      <c r="Q413" s="729"/>
      <c r="R413" s="729"/>
      <c r="S413" s="729"/>
      <c r="T413" s="729"/>
      <c r="U413" s="729"/>
      <c r="V413" s="729"/>
      <c r="W413" s="729"/>
      <c r="X413" s="729"/>
      <c r="Y413" s="729"/>
    </row>
    <row r="414" spans="12:25" x14ac:dyDescent="0.2">
      <c r="L414" s="729"/>
      <c r="M414" s="729"/>
      <c r="N414" s="729"/>
      <c r="O414" s="729"/>
      <c r="P414" s="729"/>
      <c r="Q414" s="729"/>
      <c r="R414" s="729"/>
      <c r="S414" s="729"/>
      <c r="T414" s="729"/>
      <c r="U414" s="729"/>
      <c r="V414" s="729"/>
      <c r="W414" s="729"/>
      <c r="X414" s="729"/>
      <c r="Y414" s="729"/>
    </row>
    <row r="415" spans="12:25" x14ac:dyDescent="0.2">
      <c r="L415" s="729"/>
      <c r="M415" s="729"/>
      <c r="N415" s="729"/>
      <c r="O415" s="729"/>
      <c r="P415" s="729"/>
      <c r="Q415" s="729"/>
      <c r="R415" s="729"/>
      <c r="S415" s="729"/>
      <c r="T415" s="729"/>
      <c r="U415" s="729"/>
      <c r="V415" s="729"/>
      <c r="W415" s="729"/>
      <c r="X415" s="729"/>
      <c r="Y415" s="729"/>
    </row>
    <row r="416" spans="12:25" x14ac:dyDescent="0.2">
      <c r="L416" s="729"/>
      <c r="M416" s="729"/>
      <c r="N416" s="729"/>
      <c r="O416" s="729"/>
      <c r="P416" s="729"/>
      <c r="Q416" s="729"/>
      <c r="R416" s="729"/>
      <c r="S416" s="729"/>
      <c r="T416" s="729"/>
      <c r="U416" s="729"/>
      <c r="V416" s="729"/>
      <c r="W416" s="729"/>
      <c r="X416" s="729"/>
      <c r="Y416" s="729"/>
    </row>
    <row r="417" spans="12:25" x14ac:dyDescent="0.2">
      <c r="L417" s="729"/>
      <c r="M417" s="729"/>
      <c r="N417" s="729"/>
      <c r="O417" s="729"/>
      <c r="P417" s="729"/>
      <c r="Q417" s="729"/>
      <c r="R417" s="729"/>
      <c r="S417" s="729"/>
      <c r="T417" s="729"/>
      <c r="U417" s="729"/>
      <c r="V417" s="729"/>
      <c r="W417" s="729"/>
      <c r="X417" s="729"/>
      <c r="Y417" s="729"/>
    </row>
    <row r="418" spans="12:25" x14ac:dyDescent="0.2">
      <c r="L418" s="729"/>
      <c r="M418" s="729"/>
      <c r="N418" s="729"/>
      <c r="O418" s="729"/>
      <c r="P418" s="729"/>
      <c r="Q418" s="729"/>
      <c r="R418" s="729"/>
      <c r="S418" s="729"/>
      <c r="T418" s="729"/>
      <c r="U418" s="729"/>
      <c r="V418" s="729"/>
      <c r="W418" s="729"/>
      <c r="X418" s="729"/>
      <c r="Y418" s="729"/>
    </row>
    <row r="419" spans="12:25" x14ac:dyDescent="0.2">
      <c r="L419" s="729"/>
      <c r="M419" s="729"/>
      <c r="N419" s="729"/>
      <c r="O419" s="729"/>
      <c r="P419" s="729"/>
      <c r="Q419" s="729"/>
      <c r="R419" s="729"/>
      <c r="S419" s="729"/>
      <c r="T419" s="729"/>
      <c r="U419" s="729"/>
      <c r="V419" s="729"/>
      <c r="W419" s="729"/>
      <c r="X419" s="729"/>
      <c r="Y419" s="729"/>
    </row>
    <row r="420" spans="12:25" x14ac:dyDescent="0.2">
      <c r="L420" s="729"/>
      <c r="M420" s="729"/>
      <c r="N420" s="729"/>
      <c r="O420" s="729"/>
      <c r="P420" s="729"/>
      <c r="Q420" s="729"/>
      <c r="R420" s="729"/>
      <c r="S420" s="729"/>
      <c r="T420" s="729"/>
      <c r="U420" s="729"/>
      <c r="V420" s="729"/>
      <c r="W420" s="729"/>
      <c r="X420" s="729"/>
      <c r="Y420" s="729"/>
    </row>
    <row r="421" spans="12:25" x14ac:dyDescent="0.2">
      <c r="L421" s="729"/>
      <c r="M421" s="729"/>
      <c r="N421" s="729"/>
      <c r="O421" s="729"/>
      <c r="P421" s="729"/>
      <c r="Q421" s="729"/>
      <c r="R421" s="729"/>
      <c r="S421" s="729"/>
      <c r="T421" s="729"/>
      <c r="U421" s="729"/>
      <c r="V421" s="729"/>
      <c r="W421" s="729"/>
      <c r="X421" s="729"/>
      <c r="Y421" s="729"/>
    </row>
    <row r="422" spans="12:25" x14ac:dyDescent="0.2">
      <c r="L422" s="729"/>
      <c r="M422" s="729"/>
      <c r="N422" s="729"/>
      <c r="O422" s="729"/>
      <c r="P422" s="729"/>
      <c r="Q422" s="729"/>
      <c r="R422" s="729"/>
      <c r="S422" s="729"/>
      <c r="T422" s="729"/>
      <c r="U422" s="729"/>
      <c r="V422" s="729"/>
      <c r="W422" s="729"/>
      <c r="X422" s="729"/>
      <c r="Y422" s="729"/>
    </row>
    <row r="423" spans="12:25" x14ac:dyDescent="0.2">
      <c r="L423" s="729"/>
      <c r="M423" s="729"/>
      <c r="N423" s="729"/>
      <c r="O423" s="729"/>
      <c r="P423" s="729"/>
      <c r="Q423" s="729"/>
      <c r="R423" s="729"/>
      <c r="S423" s="729"/>
      <c r="T423" s="729"/>
      <c r="U423" s="729"/>
      <c r="V423" s="729"/>
      <c r="W423" s="729"/>
      <c r="X423" s="729"/>
      <c r="Y423" s="729"/>
    </row>
    <row r="424" spans="12:25" x14ac:dyDescent="0.2">
      <c r="L424" s="729"/>
      <c r="M424" s="729"/>
      <c r="N424" s="729"/>
      <c r="O424" s="729"/>
      <c r="P424" s="729"/>
      <c r="Q424" s="729"/>
      <c r="R424" s="729"/>
      <c r="S424" s="729"/>
      <c r="T424" s="729"/>
      <c r="U424" s="729"/>
      <c r="V424" s="729"/>
      <c r="W424" s="729"/>
      <c r="X424" s="729"/>
      <c r="Y424" s="729"/>
    </row>
    <row r="425" spans="12:25" x14ac:dyDescent="0.2">
      <c r="L425" s="729"/>
      <c r="M425" s="729"/>
      <c r="N425" s="729"/>
      <c r="O425" s="729"/>
      <c r="P425" s="729"/>
      <c r="Q425" s="729"/>
      <c r="R425" s="729"/>
      <c r="S425" s="729"/>
      <c r="T425" s="729"/>
      <c r="U425" s="729"/>
      <c r="V425" s="729"/>
      <c r="W425" s="729"/>
      <c r="X425" s="729"/>
      <c r="Y425" s="729"/>
    </row>
    <row r="426" spans="12:25" x14ac:dyDescent="0.2">
      <c r="L426" s="729"/>
      <c r="M426" s="729"/>
      <c r="N426" s="729"/>
      <c r="O426" s="729"/>
      <c r="P426" s="729"/>
      <c r="Q426" s="729"/>
      <c r="R426" s="729"/>
      <c r="S426" s="729"/>
      <c r="T426" s="729"/>
      <c r="U426" s="729"/>
      <c r="V426" s="729"/>
      <c r="W426" s="729"/>
      <c r="X426" s="729"/>
      <c r="Y426" s="729"/>
    </row>
    <row r="427" spans="12:25" x14ac:dyDescent="0.2">
      <c r="L427" s="729"/>
      <c r="M427" s="729"/>
      <c r="N427" s="729"/>
      <c r="O427" s="729"/>
      <c r="P427" s="729"/>
      <c r="Q427" s="729"/>
      <c r="R427" s="729"/>
      <c r="S427" s="729"/>
      <c r="T427" s="729"/>
      <c r="U427" s="729"/>
      <c r="V427" s="729"/>
      <c r="W427" s="729"/>
      <c r="X427" s="729"/>
      <c r="Y427" s="729"/>
    </row>
    <row r="428" spans="12:25" x14ac:dyDescent="0.2">
      <c r="L428" s="729"/>
      <c r="M428" s="729"/>
      <c r="N428" s="729"/>
      <c r="O428" s="729"/>
      <c r="P428" s="729"/>
      <c r="Q428" s="729"/>
      <c r="R428" s="729"/>
      <c r="S428" s="729"/>
      <c r="T428" s="729"/>
      <c r="U428" s="729"/>
      <c r="V428" s="729"/>
      <c r="W428" s="729"/>
      <c r="X428" s="729"/>
      <c r="Y428" s="729"/>
    </row>
    <row r="429" spans="12:25" x14ac:dyDescent="0.2">
      <c r="L429" s="729"/>
      <c r="M429" s="729"/>
      <c r="N429" s="729"/>
      <c r="O429" s="729"/>
      <c r="P429" s="729"/>
      <c r="Q429" s="729"/>
      <c r="R429" s="729"/>
      <c r="S429" s="729"/>
      <c r="T429" s="729"/>
      <c r="U429" s="729"/>
      <c r="V429" s="729"/>
      <c r="W429" s="729"/>
      <c r="X429" s="729"/>
      <c r="Y429" s="729"/>
    </row>
    <row r="430" spans="12:25" x14ac:dyDescent="0.2">
      <c r="L430" s="729"/>
      <c r="M430" s="729"/>
      <c r="N430" s="729"/>
      <c r="O430" s="729"/>
      <c r="P430" s="729"/>
      <c r="Q430" s="729"/>
      <c r="R430" s="729"/>
      <c r="S430" s="729"/>
      <c r="T430" s="729"/>
      <c r="U430" s="729"/>
      <c r="V430" s="729"/>
      <c r="W430" s="729"/>
      <c r="X430" s="729"/>
      <c r="Y430" s="729"/>
    </row>
    <row r="431" spans="12:25" x14ac:dyDescent="0.2">
      <c r="L431" s="729"/>
      <c r="M431" s="729"/>
      <c r="N431" s="729"/>
      <c r="O431" s="729"/>
      <c r="P431" s="729"/>
      <c r="Q431" s="729"/>
      <c r="R431" s="729"/>
      <c r="S431" s="729"/>
      <c r="T431" s="729"/>
      <c r="U431" s="729"/>
      <c r="V431" s="729"/>
      <c r="W431" s="729"/>
      <c r="X431" s="729"/>
      <c r="Y431" s="729"/>
    </row>
    <row r="432" spans="12:25" x14ac:dyDescent="0.2">
      <c r="L432" s="729"/>
      <c r="M432" s="729"/>
      <c r="N432" s="729"/>
      <c r="O432" s="729"/>
      <c r="P432" s="729"/>
      <c r="Q432" s="729"/>
      <c r="R432" s="729"/>
      <c r="S432" s="729"/>
      <c r="T432" s="729"/>
      <c r="U432" s="729"/>
      <c r="V432" s="729"/>
      <c r="W432" s="729"/>
      <c r="X432" s="729"/>
      <c r="Y432" s="729"/>
    </row>
    <row r="433" spans="12:25" x14ac:dyDescent="0.2">
      <c r="L433" s="729"/>
      <c r="M433" s="729"/>
      <c r="N433" s="729"/>
      <c r="O433" s="729"/>
      <c r="P433" s="729"/>
      <c r="Q433" s="729"/>
      <c r="R433" s="729"/>
      <c r="S433" s="729"/>
      <c r="T433" s="729"/>
      <c r="U433" s="729"/>
      <c r="V433" s="729"/>
      <c r="W433" s="729"/>
      <c r="X433" s="729"/>
      <c r="Y433" s="729"/>
    </row>
    <row r="434" spans="12:25" x14ac:dyDescent="0.2">
      <c r="L434" s="729"/>
      <c r="M434" s="729"/>
      <c r="N434" s="729"/>
      <c r="O434" s="729"/>
      <c r="P434" s="729"/>
      <c r="Q434" s="729"/>
      <c r="R434" s="729"/>
      <c r="S434" s="729"/>
      <c r="T434" s="729"/>
      <c r="U434" s="729"/>
      <c r="V434" s="729"/>
      <c r="W434" s="729"/>
      <c r="X434" s="729"/>
      <c r="Y434" s="729"/>
    </row>
    <row r="435" spans="12:25" x14ac:dyDescent="0.2">
      <c r="L435" s="729"/>
      <c r="M435" s="729"/>
      <c r="N435" s="729"/>
      <c r="O435" s="729"/>
      <c r="P435" s="729"/>
      <c r="Q435" s="729"/>
      <c r="R435" s="729"/>
      <c r="S435" s="729"/>
      <c r="T435" s="729"/>
      <c r="U435" s="729"/>
      <c r="V435" s="729"/>
      <c r="W435" s="729"/>
      <c r="X435" s="729"/>
      <c r="Y435" s="729"/>
    </row>
    <row r="436" spans="12:25" x14ac:dyDescent="0.2">
      <c r="L436" s="729"/>
      <c r="M436" s="729"/>
      <c r="N436" s="729"/>
      <c r="O436" s="729"/>
      <c r="P436" s="729"/>
      <c r="Q436" s="729"/>
      <c r="R436" s="729"/>
      <c r="S436" s="729"/>
      <c r="T436" s="729"/>
      <c r="U436" s="729"/>
      <c r="V436" s="729"/>
      <c r="W436" s="729"/>
      <c r="X436" s="729"/>
      <c r="Y436" s="729"/>
    </row>
    <row r="437" spans="12:25" x14ac:dyDescent="0.2">
      <c r="L437" s="729"/>
      <c r="M437" s="729"/>
      <c r="N437" s="729"/>
      <c r="O437" s="729"/>
      <c r="P437" s="729"/>
      <c r="Q437" s="729"/>
      <c r="R437" s="729"/>
      <c r="S437" s="729"/>
      <c r="T437" s="729"/>
      <c r="U437" s="729"/>
      <c r="V437" s="729"/>
      <c r="W437" s="729"/>
      <c r="X437" s="729"/>
      <c r="Y437" s="729"/>
    </row>
    <row r="438" spans="12:25" x14ac:dyDescent="0.2">
      <c r="L438" s="729"/>
      <c r="M438" s="729"/>
      <c r="N438" s="729"/>
      <c r="O438" s="729"/>
      <c r="P438" s="729"/>
      <c r="Q438" s="729"/>
      <c r="R438" s="729"/>
      <c r="S438" s="729"/>
      <c r="T438" s="729"/>
      <c r="U438" s="729"/>
      <c r="V438" s="729"/>
      <c r="W438" s="729"/>
      <c r="X438" s="729"/>
      <c r="Y438" s="729"/>
    </row>
    <row r="439" spans="12:25" x14ac:dyDescent="0.2">
      <c r="L439" s="729"/>
      <c r="M439" s="729"/>
      <c r="N439" s="729"/>
      <c r="O439" s="729"/>
      <c r="P439" s="729"/>
      <c r="Q439" s="729"/>
      <c r="R439" s="729"/>
      <c r="S439" s="729"/>
      <c r="T439" s="729"/>
      <c r="U439" s="729"/>
      <c r="V439" s="729"/>
      <c r="W439" s="729"/>
      <c r="X439" s="729"/>
      <c r="Y439" s="729"/>
    </row>
    <row r="440" spans="12:25" x14ac:dyDescent="0.2">
      <c r="L440" s="729"/>
      <c r="M440" s="729"/>
      <c r="N440" s="729"/>
      <c r="O440" s="729"/>
      <c r="P440" s="729"/>
      <c r="Q440" s="729"/>
      <c r="R440" s="729"/>
      <c r="S440" s="729"/>
      <c r="T440" s="729"/>
      <c r="U440" s="729"/>
      <c r="V440" s="729"/>
      <c r="W440" s="729"/>
      <c r="X440" s="729"/>
      <c r="Y440" s="729"/>
    </row>
    <row r="441" spans="12:25" x14ac:dyDescent="0.2">
      <c r="L441" s="729"/>
      <c r="M441" s="729"/>
      <c r="N441" s="729"/>
      <c r="O441" s="729"/>
      <c r="P441" s="729"/>
      <c r="Q441" s="729"/>
      <c r="R441" s="729"/>
      <c r="S441" s="729"/>
      <c r="T441" s="729"/>
      <c r="U441" s="729"/>
      <c r="V441" s="729"/>
      <c r="W441" s="729"/>
      <c r="X441" s="729"/>
      <c r="Y441" s="729"/>
    </row>
    <row r="442" spans="12:25" x14ac:dyDescent="0.2">
      <c r="L442" s="729"/>
      <c r="M442" s="729"/>
      <c r="N442" s="729"/>
      <c r="O442" s="729"/>
      <c r="P442" s="729"/>
      <c r="Q442" s="729"/>
      <c r="R442" s="729"/>
      <c r="S442" s="729"/>
      <c r="T442" s="729"/>
      <c r="U442" s="729"/>
      <c r="V442" s="729"/>
      <c r="W442" s="729"/>
      <c r="X442" s="729"/>
      <c r="Y442" s="729"/>
    </row>
    <row r="443" spans="12:25" x14ac:dyDescent="0.2">
      <c r="L443" s="729"/>
      <c r="M443" s="729"/>
      <c r="N443" s="729"/>
      <c r="O443" s="729"/>
      <c r="P443" s="729"/>
      <c r="Q443" s="729"/>
      <c r="R443" s="729"/>
      <c r="S443" s="729"/>
      <c r="T443" s="729"/>
      <c r="U443" s="729"/>
      <c r="V443" s="729"/>
      <c r="W443" s="729"/>
      <c r="X443" s="729"/>
      <c r="Y443" s="729"/>
    </row>
    <row r="444" spans="12:25" x14ac:dyDescent="0.2">
      <c r="L444" s="729"/>
      <c r="M444" s="729"/>
      <c r="N444" s="729"/>
      <c r="O444" s="729"/>
      <c r="P444" s="729"/>
      <c r="Q444" s="729"/>
      <c r="R444" s="729"/>
      <c r="S444" s="729"/>
      <c r="T444" s="729"/>
      <c r="U444" s="729"/>
      <c r="V444" s="729"/>
      <c r="W444" s="729"/>
      <c r="X444" s="729"/>
      <c r="Y444" s="729"/>
    </row>
    <row r="445" spans="12:25" x14ac:dyDescent="0.2">
      <c r="L445" s="729"/>
      <c r="M445" s="729"/>
      <c r="N445" s="729"/>
      <c r="O445" s="729"/>
      <c r="P445" s="729"/>
      <c r="Q445" s="729"/>
      <c r="R445" s="729"/>
      <c r="S445" s="729"/>
      <c r="T445" s="729"/>
      <c r="U445" s="729"/>
      <c r="V445" s="729"/>
      <c r="W445" s="729"/>
      <c r="X445" s="729"/>
      <c r="Y445" s="729"/>
    </row>
    <row r="446" spans="12:25" x14ac:dyDescent="0.2">
      <c r="L446" s="729"/>
      <c r="M446" s="729"/>
      <c r="N446" s="729"/>
      <c r="O446" s="729"/>
      <c r="P446" s="729"/>
      <c r="Q446" s="729"/>
      <c r="R446" s="729"/>
      <c r="S446" s="729"/>
      <c r="T446" s="729"/>
      <c r="U446" s="729"/>
      <c r="V446" s="729"/>
      <c r="W446" s="729"/>
      <c r="X446" s="729"/>
      <c r="Y446" s="729"/>
    </row>
    <row r="447" spans="12:25" x14ac:dyDescent="0.2">
      <c r="L447" s="729"/>
      <c r="M447" s="729"/>
      <c r="N447" s="729"/>
      <c r="O447" s="729"/>
      <c r="P447" s="729"/>
      <c r="Q447" s="729"/>
      <c r="R447" s="729"/>
      <c r="S447" s="729"/>
      <c r="T447" s="729"/>
      <c r="U447" s="729"/>
      <c r="V447" s="729"/>
      <c r="W447" s="729"/>
      <c r="X447" s="729"/>
      <c r="Y447" s="729"/>
    </row>
    <row r="448" spans="12:25" x14ac:dyDescent="0.2">
      <c r="L448" s="729"/>
      <c r="M448" s="729"/>
      <c r="N448" s="729"/>
      <c r="O448" s="729"/>
      <c r="P448" s="729"/>
      <c r="Q448" s="729"/>
      <c r="R448" s="729"/>
      <c r="S448" s="729"/>
      <c r="T448" s="729"/>
      <c r="U448" s="729"/>
      <c r="V448" s="729"/>
      <c r="W448" s="729"/>
      <c r="X448" s="729"/>
      <c r="Y448" s="729"/>
    </row>
    <row r="449" spans="12:25" x14ac:dyDescent="0.2">
      <c r="L449" s="729"/>
      <c r="M449" s="729"/>
      <c r="N449" s="729"/>
      <c r="O449" s="729"/>
      <c r="P449" s="729"/>
      <c r="Q449" s="729"/>
      <c r="R449" s="729"/>
      <c r="S449" s="729"/>
      <c r="T449" s="729"/>
      <c r="U449" s="729"/>
      <c r="V449" s="729"/>
      <c r="W449" s="729"/>
      <c r="X449" s="729"/>
      <c r="Y449" s="729"/>
    </row>
    <row r="450" spans="12:25" x14ac:dyDescent="0.2">
      <c r="L450" s="729"/>
      <c r="M450" s="729"/>
      <c r="N450" s="729"/>
      <c r="O450" s="729"/>
      <c r="P450" s="729"/>
      <c r="Q450" s="729"/>
      <c r="R450" s="729"/>
      <c r="S450" s="729"/>
      <c r="T450" s="729"/>
      <c r="U450" s="729"/>
      <c r="V450" s="729"/>
      <c r="W450" s="729"/>
      <c r="X450" s="729"/>
      <c r="Y450" s="729"/>
    </row>
    <row r="451" spans="12:25" x14ac:dyDescent="0.2">
      <c r="Y451" s="729"/>
    </row>
    <row r="452" spans="12:25" x14ac:dyDescent="0.2">
      <c r="Y452" s="729"/>
    </row>
  </sheetData>
  <customSheetViews>
    <customSheetView guid="{33CCADFA-0D48-46A6-8927-2B2144029216}" showGridLines="0" showRowCol="0" outlineSymbols="0" zeroValues="0">
      <selection activeCell="C71" sqref="C71"/>
      <colBreaks count="1" manualBreakCount="1">
        <brk id="7" max="1048575" man="1"/>
      </colBreaks>
      <pageMargins left="0.26" right="0.16" top="0.35" bottom="0.19" header="0.17" footer="0.19"/>
      <pageSetup paperSize="9" scale="98" orientation="portrait" r:id="rId1"/>
      <headerFooter alignWithMargins="0">
        <oddHeader>&amp;L&amp;8&amp;F&amp;R&amp;8Datum en tijd; &amp;D  &amp;T&amp;CBed 0</oddHeader>
      </headerFooter>
    </customSheetView>
  </customSheetViews>
  <mergeCells count="5">
    <mergeCell ref="B30:B31"/>
    <mergeCell ref="B27:B28"/>
    <mergeCell ref="E16:F17"/>
    <mergeCell ref="E20:F21"/>
    <mergeCell ref="E31:F32"/>
  </mergeCells>
  <phoneticPr fontId="28" type="noConversion"/>
  <pageMargins left="0.26" right="0.16" top="0.35" bottom="0.19" header="0.17" footer="0.19"/>
  <pageSetup paperSize="9" scale="92" orientation="portrait" r:id="rId2"/>
  <headerFooter alignWithMargins="0">
    <oddHeader>&amp;L&amp;8&amp;F&amp;R&amp;8Datum en tijd; &amp;D  &amp;T&amp;CBed 0</oddHeader>
  </headerFooter>
  <colBreaks count="1" manualBreakCount="1">
    <brk id="7" max="1048575" man="1"/>
  </colBreaks>
  <drawing r:id="rId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Lengte">
    <tabColor rgb="FFFFC000"/>
  </sheetPr>
  <dimension ref="A1:D45"/>
  <sheetViews>
    <sheetView workbookViewId="0"/>
  </sheetViews>
  <sheetFormatPr defaultRowHeight="12.75" x14ac:dyDescent="0.2"/>
  <sheetData>
    <row r="1" spans="1:4" ht="25.5" x14ac:dyDescent="0.2">
      <c r="A1" s="361" t="s">
        <v>21</v>
      </c>
      <c r="B1" t="s">
        <v>23</v>
      </c>
      <c r="C1" t="s">
        <v>24</v>
      </c>
    </row>
    <row r="2" spans="1:4" x14ac:dyDescent="0.2">
      <c r="A2" s="19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2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2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2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2">
      <c r="A6" s="356">
        <v>0.75</v>
      </c>
      <c r="B6">
        <v>72.599999999999994</v>
      </c>
      <c r="C6">
        <v>71</v>
      </c>
      <c r="D6">
        <f t="shared" si="0"/>
        <v>71.8</v>
      </c>
    </row>
    <row r="7" spans="1:4" x14ac:dyDescent="0.2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2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2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2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2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2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2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2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2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2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2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2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2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2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2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2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2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2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2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2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2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2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2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2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2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2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2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2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2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2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2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2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2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2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2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2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2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2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2">
      <c r="A45">
        <v>20</v>
      </c>
      <c r="B45">
        <v>182</v>
      </c>
      <c r="C45">
        <v>168.3</v>
      </c>
      <c r="D45">
        <f t="shared" si="0"/>
        <v>175.15</v>
      </c>
    </row>
  </sheetData>
  <dataConsolidate/>
  <customSheetViews>
    <customSheetView guid="{33CCADFA-0D48-46A6-8927-2B2144029216}" state="veryHidden">
      <selection activeCell="I8" sqref="I8"/>
      <pageMargins left="0.75" right="0.75" top="1" bottom="1" header="0.5" footer="0.5"/>
      <headerFooter alignWithMargins="0"/>
    </customSheetView>
  </customSheetViews>
  <phoneticPr fontId="28" type="noConversion"/>
  <pageMargins left="0.75" right="0.75" top="1" bottom="1" header="0.5" footer="0.5"/>
  <pageSetup orientation="portrait" r:id="rId1"/>
  <headerFooter alignWithMargins="0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Gewicht">
    <tabColor rgb="FFFFC000"/>
  </sheetPr>
  <dimension ref="A1:T49"/>
  <sheetViews>
    <sheetView workbookViewId="0"/>
  </sheetViews>
  <sheetFormatPr defaultRowHeight="12.75" x14ac:dyDescent="0.2"/>
  <cols>
    <col min="2" max="2" width="8.28515625" customWidth="1"/>
    <col min="3" max="3" width="10.7109375" customWidth="1"/>
  </cols>
  <sheetData>
    <row r="1" spans="1:20" ht="25.5" x14ac:dyDescent="0.2">
      <c r="A1" s="361" t="s">
        <v>21</v>
      </c>
      <c r="B1" s="19" t="s">
        <v>21</v>
      </c>
      <c r="C1" s="19" t="s">
        <v>22</v>
      </c>
      <c r="I1" t="s">
        <v>23</v>
      </c>
      <c r="P1" t="s">
        <v>24</v>
      </c>
    </row>
    <row r="2" spans="1:20" x14ac:dyDescent="0.2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122">
        <f t="shared" ref="T2:T49" si="0">(D2+L2)/2</f>
        <v>3.7850000000000001</v>
      </c>
    </row>
    <row r="3" spans="1:20" x14ac:dyDescent="0.2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122">
        <f t="shared" si="0"/>
        <v>3.7850000000000001</v>
      </c>
    </row>
    <row r="4" spans="1:20" x14ac:dyDescent="0.2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122">
        <f t="shared" si="0"/>
        <v>4.415</v>
      </c>
    </row>
    <row r="5" spans="1:20" x14ac:dyDescent="0.2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123">
        <f t="shared" si="0"/>
        <v>4.99</v>
      </c>
    </row>
    <row r="6" spans="1:20" x14ac:dyDescent="0.2">
      <c r="A6" s="356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123">
        <f t="shared" si="0"/>
        <v>5.5049999999999999</v>
      </c>
    </row>
    <row r="7" spans="1:20" x14ac:dyDescent="0.2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123">
        <f t="shared" si="0"/>
        <v>6.4399999999999995</v>
      </c>
    </row>
    <row r="8" spans="1:20" x14ac:dyDescent="0.2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123">
        <f t="shared" si="0"/>
        <v>7.3949999999999996</v>
      </c>
    </row>
    <row r="9" spans="1:20" x14ac:dyDescent="0.2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123">
        <f t="shared" si="0"/>
        <v>8.02</v>
      </c>
    </row>
    <row r="10" spans="1:20" x14ac:dyDescent="0.2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123">
        <f t="shared" si="0"/>
        <v>8.8000000000000007</v>
      </c>
    </row>
    <row r="11" spans="1:20" x14ac:dyDescent="0.2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123">
        <f t="shared" si="0"/>
        <v>9.4749999999999996</v>
      </c>
    </row>
    <row r="12" spans="1:20" x14ac:dyDescent="0.2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123">
        <f t="shared" si="0"/>
        <v>9.8000000000000007</v>
      </c>
    </row>
    <row r="13" spans="1:20" x14ac:dyDescent="0.2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123">
        <f t="shared" si="0"/>
        <v>11.5</v>
      </c>
    </row>
    <row r="14" spans="1:20" x14ac:dyDescent="0.2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123">
        <f t="shared" si="0"/>
        <v>12.8</v>
      </c>
    </row>
    <row r="15" spans="1:20" x14ac:dyDescent="0.2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123">
        <f t="shared" si="0"/>
        <v>14.05</v>
      </c>
    </row>
    <row r="16" spans="1:20" x14ac:dyDescent="0.2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123">
        <f t="shared" si="0"/>
        <v>15.2</v>
      </c>
    </row>
    <row r="17" spans="1:20" x14ac:dyDescent="0.2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123">
        <f t="shared" si="0"/>
        <v>16.3</v>
      </c>
    </row>
    <row r="18" spans="1:20" x14ac:dyDescent="0.2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123">
        <f t="shared" si="0"/>
        <v>17.399999999999999</v>
      </c>
    </row>
    <row r="19" spans="1:20" x14ac:dyDescent="0.2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123">
        <f t="shared" si="0"/>
        <v>18.450000000000003</v>
      </c>
    </row>
    <row r="20" spans="1:20" x14ac:dyDescent="0.2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123">
        <f t="shared" si="0"/>
        <v>19.450000000000003</v>
      </c>
    </row>
    <row r="21" spans="1:20" x14ac:dyDescent="0.2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123">
        <f t="shared" si="0"/>
        <v>20.450000000000003</v>
      </c>
    </row>
    <row r="22" spans="1:20" x14ac:dyDescent="0.2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123">
        <f t="shared" si="0"/>
        <v>21.549999999999997</v>
      </c>
    </row>
    <row r="23" spans="1:20" x14ac:dyDescent="0.2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123">
        <f t="shared" si="0"/>
        <v>22.799999999999997</v>
      </c>
    </row>
    <row r="24" spans="1:20" x14ac:dyDescent="0.2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123">
        <f t="shared" si="0"/>
        <v>24.15</v>
      </c>
    </row>
    <row r="25" spans="1:20" x14ac:dyDescent="0.2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123">
        <f t="shared" si="0"/>
        <v>25.5</v>
      </c>
    </row>
    <row r="26" spans="1:20" x14ac:dyDescent="0.2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123">
        <f t="shared" si="0"/>
        <v>26.85</v>
      </c>
    </row>
    <row r="27" spans="1:20" x14ac:dyDescent="0.2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123">
        <f t="shared" si="0"/>
        <v>28.3</v>
      </c>
    </row>
    <row r="28" spans="1:20" x14ac:dyDescent="0.2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123">
        <f t="shared" si="0"/>
        <v>29.8</v>
      </c>
    </row>
    <row r="29" spans="1:20" x14ac:dyDescent="0.2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123">
        <f t="shared" si="0"/>
        <v>31.4</v>
      </c>
    </row>
    <row r="30" spans="1:20" x14ac:dyDescent="0.2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123">
        <f t="shared" si="0"/>
        <v>33.1</v>
      </c>
    </row>
    <row r="31" spans="1:20" x14ac:dyDescent="0.2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123">
        <f t="shared" si="0"/>
        <v>34.85</v>
      </c>
    </row>
    <row r="32" spans="1:20" x14ac:dyDescent="0.2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123">
        <f t="shared" si="0"/>
        <v>36.75</v>
      </c>
    </row>
    <row r="33" spans="1:20" x14ac:dyDescent="0.2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123">
        <f t="shared" si="0"/>
        <v>38.85</v>
      </c>
    </row>
    <row r="34" spans="1:20" x14ac:dyDescent="0.2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123">
        <f t="shared" si="0"/>
        <v>41.15</v>
      </c>
    </row>
    <row r="35" spans="1:20" x14ac:dyDescent="0.2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123">
        <f t="shared" si="0"/>
        <v>43.65</v>
      </c>
    </row>
    <row r="36" spans="1:20" x14ac:dyDescent="0.2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123">
        <f t="shared" si="0"/>
        <v>46.15</v>
      </c>
    </row>
    <row r="37" spans="1:20" x14ac:dyDescent="0.2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123">
        <f t="shared" si="0"/>
        <v>48.85</v>
      </c>
    </row>
    <row r="38" spans="1:20" x14ac:dyDescent="0.2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123">
        <f t="shared" si="0"/>
        <v>51.5</v>
      </c>
    </row>
    <row r="39" spans="1:20" x14ac:dyDescent="0.2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123">
        <f t="shared" si="0"/>
        <v>54.05</v>
      </c>
    </row>
    <row r="40" spans="1:20" x14ac:dyDescent="0.2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123">
        <f t="shared" si="0"/>
        <v>56.35</v>
      </c>
    </row>
    <row r="41" spans="1:20" x14ac:dyDescent="0.2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123">
        <f t="shared" si="0"/>
        <v>58.2</v>
      </c>
    </row>
    <row r="42" spans="1:20" x14ac:dyDescent="0.2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123">
        <f t="shared" si="0"/>
        <v>59.8</v>
      </c>
    </row>
    <row r="43" spans="1:20" x14ac:dyDescent="0.2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123">
        <f t="shared" si="0"/>
        <v>61.05</v>
      </c>
    </row>
    <row r="44" spans="1:20" x14ac:dyDescent="0.2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123">
        <f t="shared" si="0"/>
        <v>62.2</v>
      </c>
    </row>
    <row r="45" spans="1:20" x14ac:dyDescent="0.2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123">
        <f t="shared" si="0"/>
        <v>63.3</v>
      </c>
    </row>
    <row r="46" spans="1:20" x14ac:dyDescent="0.2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123">
        <f t="shared" si="0"/>
        <v>64.2</v>
      </c>
    </row>
    <row r="47" spans="1:20" x14ac:dyDescent="0.2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123">
        <f t="shared" si="0"/>
        <v>65</v>
      </c>
    </row>
    <row r="48" spans="1:20" x14ac:dyDescent="0.2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123">
        <f t="shared" si="0"/>
        <v>65.7</v>
      </c>
    </row>
    <row r="49" spans="1:20" x14ac:dyDescent="0.2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123">
        <f t="shared" si="0"/>
        <v>66.099999999999994</v>
      </c>
    </row>
  </sheetData>
  <customSheetViews>
    <customSheetView guid="{33CCADFA-0D48-46A6-8927-2B2144029216}" state="veryHidden">
      <selection sqref="A1:C65536"/>
      <pageMargins left="0.75" right="0.75" top="1" bottom="1" header="0.5" footer="0.5"/>
      <headerFooter alignWithMargins="0"/>
    </customSheetView>
  </customSheetViews>
  <phoneticPr fontId="28" type="noConversion"/>
  <pageMargins left="0.75" right="0.75" top="1" bottom="1" header="0.5" footer="0.5"/>
  <headerFooter alignWithMargins="0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Afspr">
    <tabColor rgb="FF7030A0"/>
    <pageSetUpPr autoPageBreaks="0"/>
  </sheetPr>
  <dimension ref="A1:M201"/>
  <sheetViews>
    <sheetView zoomScaleNormal="100" workbookViewId="0"/>
  </sheetViews>
  <sheetFormatPr defaultColWidth="10.7109375" defaultRowHeight="12.6" customHeight="1" x14ac:dyDescent="0.2"/>
  <cols>
    <col min="1" max="1" width="2.7109375" style="421" customWidth="1"/>
    <col min="2" max="2" width="2.5703125" style="420" customWidth="1"/>
    <col min="3" max="3" width="14" style="421" customWidth="1"/>
    <col min="4" max="5" width="11.28515625" style="421" customWidth="1"/>
    <col min="6" max="6" width="10.7109375" style="421" customWidth="1"/>
    <col min="7" max="10" width="11.28515625" style="421" customWidth="1"/>
    <col min="11" max="11" width="10.7109375" style="421" customWidth="1"/>
    <col min="12" max="12" width="10.7109375" style="422" customWidth="1"/>
    <col min="13" max="16384" width="10.7109375" style="421"/>
  </cols>
  <sheetData>
    <row r="1" spans="1:12" ht="12.6" customHeight="1" x14ac:dyDescent="0.2">
      <c r="A1" s="419"/>
    </row>
    <row r="2" spans="1:12" ht="12.6" customHeight="1" x14ac:dyDescent="0.2">
      <c r="B2" s="423"/>
      <c r="C2" s="424" t="s">
        <v>461</v>
      </c>
      <c r="D2" s="425">
        <f ca="1">TODAY()</f>
        <v>42750</v>
      </c>
      <c r="E2" s="424" t="s">
        <v>462</v>
      </c>
      <c r="F2" s="890" t="str">
        <f>__2_AchterNaam&amp;", "&amp;__3_VoorNaam</f>
        <v xml:space="preserve">, </v>
      </c>
      <c r="G2" s="890"/>
      <c r="H2" s="426" t="s">
        <v>274</v>
      </c>
      <c r="I2" s="421" t="str">
        <f>_Pat_Gewicht/10&amp;" kg"</f>
        <v>0 kg</v>
      </c>
      <c r="J2" s="417"/>
      <c r="L2" s="427"/>
    </row>
    <row r="3" spans="1:12" ht="12.6" customHeight="1" x14ac:dyDescent="0.2">
      <c r="B3" s="423"/>
      <c r="C3" s="424" t="s">
        <v>205</v>
      </c>
      <c r="D3" s="428">
        <f ca="1">Var_AfspraakDatum-_Pat_OpnDatum+1</f>
        <v>41289</v>
      </c>
      <c r="E3" s="424" t="s">
        <v>460</v>
      </c>
      <c r="F3" s="429">
        <f>__4_GebDatum</f>
        <v>1462</v>
      </c>
      <c r="G3" s="417"/>
      <c r="H3" s="426" t="s">
        <v>130</v>
      </c>
      <c r="I3" s="421" t="str">
        <f>_Pat_Lengte&amp;" cm"</f>
        <v>0 cm</v>
      </c>
      <c r="J3" s="417"/>
      <c r="L3" s="427"/>
    </row>
    <row r="4" spans="1:12" ht="12" customHeight="1" x14ac:dyDescent="0.2">
      <c r="B4" s="423"/>
      <c r="C4" s="424" t="s">
        <v>518</v>
      </c>
      <c r="D4" s="428">
        <f>__1_Bed</f>
        <v>0</v>
      </c>
      <c r="F4" s="417"/>
      <c r="H4" s="426" t="s">
        <v>131</v>
      </c>
      <c r="I4" s="421" t="str">
        <f>ROUND(POWER(_Pat_Gewicht/10,0.425)*POWER(((_Pat_Lengte/100)*100),0.725)*0.007184,2)&amp;" m2"</f>
        <v>0 m2</v>
      </c>
    </row>
    <row r="5" spans="1:12" ht="14.1" customHeight="1" x14ac:dyDescent="0.2">
      <c r="A5" s="430"/>
      <c r="B5" s="431" t="str">
        <f>PedGuiEntTPN!D11</f>
        <v>Voeding</v>
      </c>
      <c r="C5" s="430"/>
      <c r="D5" s="430"/>
      <c r="E5" s="430"/>
      <c r="F5" s="430"/>
      <c r="G5" s="430"/>
      <c r="H5" s="430"/>
      <c r="I5" s="430"/>
      <c r="J5" s="430"/>
      <c r="K5" s="420"/>
    </row>
    <row r="6" spans="1:12" ht="14.1" customHeight="1" x14ac:dyDescent="0.2">
      <c r="A6" s="419"/>
      <c r="B6" s="423"/>
      <c r="C6" s="426" t="s">
        <v>240</v>
      </c>
      <c r="F6" s="426"/>
      <c r="G6" s="421" t="str">
        <f>INDEX(tblSonde,PedBerEnt!G3,1)</f>
        <v>Enteraal voeding</v>
      </c>
      <c r="K6" s="420"/>
    </row>
    <row r="7" spans="1:12" ht="14.1" customHeight="1" x14ac:dyDescent="0.2">
      <c r="C7" s="421" t="e">
        <f>IF(G7&lt;&gt;"",INDEX(tblVoedingPO,_Ped_Ent_Keuze_1,1),)</f>
        <v>#REF!</v>
      </c>
      <c r="F7" s="421" t="str">
        <f>PedGuiEntTPN!H12</f>
        <v>1 mL/dag</v>
      </c>
      <c r="G7" s="421" t="str">
        <f>PedGuiEntTPN!D12&amp;" "&amp;PedGuiEntTPN!E12</f>
        <v>1 dd 1 ml</v>
      </c>
      <c r="K7" s="420"/>
      <c r="L7" s="427"/>
    </row>
    <row r="8" spans="1:12" ht="12.6" customHeight="1" x14ac:dyDescent="0.2">
      <c r="B8" s="423"/>
      <c r="C8" s="426"/>
      <c r="D8" s="432" t="e">
        <f>IF(_Ped_Ent_Keuze_2&gt;1,"met "&amp;PedGuiEntTPN!D14&amp;" "&amp;PedGuiEntTPN!E14&amp;" "&amp;INDEX(tblPO_poederlijst,_Ped_Ent_Keuze_2,1),"")</f>
        <v>#REF!</v>
      </c>
      <c r="H8" s="421" t="e">
        <f>PedGuiEntTPN!#REF!</f>
        <v>#REF!</v>
      </c>
      <c r="K8" s="420"/>
      <c r="L8" s="427"/>
    </row>
    <row r="9" spans="1:12" ht="12.6" customHeight="1" x14ac:dyDescent="0.2">
      <c r="B9" s="423"/>
      <c r="C9" s="426"/>
      <c r="D9" s="432" t="e">
        <f>IF(_Ped_Ent_Keuze_3&gt;1,"met "&amp;PedGuiEntTPN!D15&amp;" "&amp;PedGuiEntTPN!E15&amp;" "&amp;INDEX(tblPO_poederlijst,_Ped_Ent_Keuze_3,1),"")</f>
        <v>#REF!</v>
      </c>
      <c r="H9" s="421" t="e">
        <f>PedGuiEntTPN!#REF!</f>
        <v>#REF!</v>
      </c>
      <c r="K9" s="420"/>
      <c r="L9" s="427"/>
    </row>
    <row r="10" spans="1:12" ht="12.6" customHeight="1" x14ac:dyDescent="0.2">
      <c r="B10" s="423"/>
      <c r="C10" s="426"/>
      <c r="D10" s="432" t="e">
        <f>IF(_Ped_Ent_Keuze_4&gt;1,"met "&amp;PedGuiEntTPN!D16&amp;" "&amp;PedGuiEntTPN!E16&amp;" "&amp;INDEX(tblPO_poederlijst,_Ped_Ent_Keuze_4,1),"")</f>
        <v>#REF!</v>
      </c>
      <c r="H10" s="421" t="e">
        <f>PedGuiEntTPN!#REF!</f>
        <v>#REF!</v>
      </c>
      <c r="K10" s="433"/>
      <c r="L10" s="427"/>
    </row>
    <row r="11" spans="1:12" ht="12.6" customHeight="1" x14ac:dyDescent="0.2">
      <c r="K11" s="433"/>
      <c r="L11" s="427"/>
    </row>
    <row r="12" spans="1:12" ht="12.6" customHeight="1" x14ac:dyDescent="0.2">
      <c r="A12" s="430"/>
      <c r="B12" s="434"/>
      <c r="C12" s="435" t="s">
        <v>292</v>
      </c>
      <c r="D12" s="893" t="str">
        <f>GlobBerOpm!B6</f>
        <v>Opmerking bij enterale voeding</v>
      </c>
      <c r="E12" s="894"/>
      <c r="F12" s="894"/>
      <c r="G12" s="894"/>
      <c r="H12" s="894"/>
      <c r="I12" s="894"/>
      <c r="J12" s="894"/>
      <c r="K12" s="433"/>
      <c r="L12" s="427"/>
    </row>
    <row r="13" spans="1:12" ht="12.6" customHeight="1" x14ac:dyDescent="0.2">
      <c r="L13" s="427"/>
    </row>
    <row r="14" spans="1:12" ht="12.6" customHeight="1" x14ac:dyDescent="0.2">
      <c r="A14" s="430"/>
      <c r="B14" s="431" t="s">
        <v>116</v>
      </c>
      <c r="C14" s="430"/>
      <c r="D14" s="430"/>
      <c r="E14" s="430"/>
      <c r="F14" s="430"/>
      <c r="G14" s="430"/>
      <c r="H14" s="430"/>
      <c r="I14" s="430"/>
      <c r="J14" s="430"/>
      <c r="L14" s="427"/>
    </row>
    <row r="15" spans="1:12" ht="12.6" customHeight="1" x14ac:dyDescent="0.2">
      <c r="B15" s="426"/>
      <c r="C15" s="426" t="s">
        <v>378</v>
      </c>
      <c r="D15" s="895" t="str">
        <f>TRIM(PedBerLab!B4&amp;" "&amp;PedBerLab!B5&amp;" "&amp;PedBerLab!B6&amp;" "&amp;PedBerLab!B7&amp;" "&amp;PedBerLab!B8&amp;" "&amp;PedBerLab!B9&amp;" "&amp;PedBerLab!B10&amp;" "&amp;PedBerLab!B11&amp;" "&amp;PedBerLab!B12&amp;" "&amp;PedBerLab!B13&amp;" "&amp;PedBerLab!B14&amp;" "&amp;PedBerLab!B15&amp;" "&amp;PedBerLab!B16&amp;" "&amp;PedBerLab!B17&amp;" "&amp;PedBerLab!B18&amp;" "&amp;PedBerLab!B19&amp;" "&amp;PedBerLab!B20&amp;" "&amp;PedBerLab!B21&amp;" "&amp;PedBerLab!B22&amp;" "&amp;PedBerLab!B23&amp;" "&amp;PedBerLab!B24&amp;" "&amp;PedBerLab!B25&amp;" "&amp;PedBerLab!B26&amp;" "&amp;PedBerLab!B27&amp;" "&amp;PedBerLab!B28&amp;" "&amp;PedBerLab!B29&amp;" "&amp;PedBerLab!B30&amp;" "&amp;PedBerLab!B31&amp;" "&amp;PedBerLab!B32&amp;" "&amp;PedBerLab!B33&amp;" "&amp;PedBerLab!B34&amp;" "&amp;PedBerLab!B35)</f>
        <v/>
      </c>
      <c r="E15" s="896"/>
      <c r="F15" s="896"/>
      <c r="G15" s="896"/>
      <c r="H15" s="896"/>
      <c r="I15" s="896"/>
      <c r="J15" s="896"/>
      <c r="L15" s="427"/>
    </row>
    <row r="16" spans="1:12" ht="12.6" customHeight="1" x14ac:dyDescent="0.2">
      <c r="B16" s="426"/>
      <c r="C16" s="426" t="s">
        <v>451</v>
      </c>
      <c r="D16" s="891" t="str">
        <f>TRIM(PedBerLab!D4&amp;" "&amp;PedBerLab!D5&amp;" "&amp;PedBerLab!D6&amp;" "&amp;PedBerLab!D7&amp;" "&amp;PedBerLab!D8&amp;" "&amp;PedBerLab!D9&amp;" "&amp;PedBerLab!D10&amp;" "&amp;PedBerLab!D11&amp;" "&amp;PedBerLab!D12&amp;" "&amp;PedBerLab!D13&amp;" "&amp;PedBerLab!D14&amp;" "&amp;PedBerLab!D15&amp;" "&amp;PedBerLab!D16&amp;" "&amp;PedBerLab!D17&amp;" "&amp;PedBerLab!D18&amp;" "&amp;PedBerLab!D19&amp;" "&amp;PedBerLab!D20&amp;" "&amp;PedBerLab!D21&amp;" "&amp;PedBerLab!D22&amp;" "&amp;PedBerLab!D23&amp;" "&amp;PedBerLab!D24&amp;" "&amp;PedBerLab!D25&amp;" "&amp;PedBerLab!D26&amp;" "&amp;PedBerLab!D27&amp;" "&amp;PedBerLab!D28&amp;" "&amp;PedBerLab!D29&amp;" "&amp;PedBerLab!D30&amp;" "&amp;PedBerLab!D31&amp;" "&amp;PedBerLab!D32&amp;" "&amp;PedBerLab!D33&amp;" "&amp;PedBerLab!D34)</f>
        <v/>
      </c>
      <c r="E16" s="892"/>
      <c r="F16" s="892"/>
      <c r="G16" s="892"/>
      <c r="H16" s="892"/>
      <c r="I16" s="892"/>
      <c r="J16" s="892"/>
      <c r="L16" s="427"/>
    </row>
    <row r="17" spans="1:12" ht="12.6" customHeight="1" x14ac:dyDescent="0.2">
      <c r="B17" s="426"/>
      <c r="C17" s="426" t="s">
        <v>452</v>
      </c>
      <c r="D17" s="891" t="str">
        <f>TRIM(PedBerLab!F4&amp;" "&amp;PedBerLab!F5&amp;" "&amp;PedBerLab!F6&amp;" "&amp;PedBerLab!F7&amp;" "&amp;PedBerLab!F8&amp;" "&amp;PedBerLab!F9&amp;" "&amp;PedBerLab!F10&amp;" "&amp;PedBerLab!F11&amp;" "&amp;PedBerLab!F12&amp;" "&amp;PedBerLab!F13&amp;" "&amp;PedBerLab!F14&amp;" "&amp;PedBerLab!F15&amp;" "&amp;PedBerLab!F16&amp;" "&amp;PedBerLab!F17&amp;" "&amp;PedBerLab!F18&amp;" "&amp;PedBerLab!F19&amp;" "&amp;PedBerLab!F20&amp;" "&amp;PedBerLab!F21&amp;" "&amp;PedBerLab!F22&amp;" "&amp;PedBerLab!F23&amp;" "&amp;PedBerLab!F24&amp;" "&amp;PedBerLab!F25&amp;" "&amp;PedBerLab!F26&amp;" "&amp;PedBerLab!F27&amp;" "&amp;PedBerLab!F28&amp;" "&amp;PedBerLab!F29&amp;" "&amp;PedBerLab!F30&amp;" "&amp;PedBerLab!F31&amp;" "&amp;PedBerLab!F32&amp;" "&amp;PedBerLab!F33&amp;" "&amp;PedBerLab!F34)</f>
        <v/>
      </c>
      <c r="E17" s="897"/>
      <c r="F17" s="897"/>
      <c r="G17" s="897"/>
      <c r="H17" s="897"/>
      <c r="I17" s="897"/>
      <c r="J17" s="897"/>
      <c r="L17" s="427"/>
    </row>
    <row r="18" spans="1:12" ht="12.6" customHeight="1" x14ac:dyDescent="0.2">
      <c r="B18" s="426"/>
      <c r="C18" s="426" t="s">
        <v>148</v>
      </c>
      <c r="D18" s="891" t="str">
        <f>TRIM(PedBerLab!H4&amp;" "&amp;PedBerLab!H5&amp;" "&amp;PedBerLab!H6&amp;" "&amp;PedBerLab!H7&amp;" "&amp;PedBerLab!H8&amp;" "&amp;PedBerLab!H9&amp;" "&amp;PedBerLab!H10&amp;" "&amp;PedBerLab!H11&amp;" "&amp;PedBerLab!H12&amp;" "&amp;PedBerLab!H13&amp;" "&amp;PedBerLab!H14&amp;" "&amp;PedBerLab!H15&amp;" "&amp;PedBerLab!H16&amp;" "&amp;PedBerLab!H17&amp;" "&amp;PedBerLab!H18&amp;" "&amp;PedBerLab!H19&amp;" "&amp;PedBerLab!H20&amp;" "&amp;PedBerLab!H21&amp;" "&amp;PedBerLab!H22&amp;" "&amp;PedBerLab!H23&amp;" "&amp;PedBerLab!H24&amp;" "&amp;PedBerLab!H25&amp;" "&amp;PedBerLab!H26&amp;" "&amp;PedBerLab!H27&amp;" "&amp;PedBerLab!H28&amp;" "&amp;PedBerLab!H29&amp;" "&amp;PedBerLab!H30&amp;" "&amp;PedBerLab!H31&amp;" "&amp;PedBerLab!H32&amp;" "&amp;PedBerLab!H33&amp;" "&amp;PedBerLab!H34)</f>
        <v/>
      </c>
      <c r="E18" s="897"/>
      <c r="F18" s="897"/>
      <c r="G18" s="897"/>
      <c r="H18" s="897"/>
      <c r="I18" s="897"/>
      <c r="J18" s="897"/>
      <c r="L18" s="427"/>
    </row>
    <row r="19" spans="1:12" ht="12.6" customHeight="1" x14ac:dyDescent="0.2">
      <c r="B19" s="426"/>
      <c r="C19" s="436" t="s">
        <v>18</v>
      </c>
      <c r="D19" s="891" t="str">
        <f>TRIM(PedBerLab!K4&amp;" "&amp;PedBerLab!K5&amp;" "&amp;PedBerLab!K6&amp;" "&amp;PedBerLab!K7&amp;" "&amp;PedBerLab!K8&amp;" "&amp;PedBerLab!K9&amp;" "&amp;PedBerLab!K10&amp;" "&amp;PedBerLab!K11&amp;" "&amp;PedBerLab!K12&amp;" "&amp;PedBerLab!K13&amp;" "&amp;PedBerLab!K14&amp;" "&amp;PedBerLab!K15&amp;" "&amp;PedBerLab!K16&amp;" "&amp;PedBerLab!K17&amp;" "&amp;PedBerLab!K18&amp;" "&amp;PedBerLab!K19&amp;" "&amp;PedBerLab!K20&amp;" "&amp;PedBerLab!K21&amp;" "&amp;PedBerLab!K22&amp;" "&amp;PedBerLab!K23&amp;" "&amp;PedBerLab!K24&amp;" "&amp;PedBerLab!K25&amp;" "&amp;PedBerLab!K26&amp;" "&amp;PedBerLab!K27&amp;" "&amp;PedBerLab!K28&amp;" "&amp;PedBerLab!K29&amp;" "&amp;PedBerLab!K30&amp;" "&amp;PedBerLab!K31&amp;" "&amp;PedBerLab!K32&amp;" "&amp;PedBerLab!K33&amp;" "&amp;PedBerLab!K34)</f>
        <v/>
      </c>
      <c r="E19" s="898"/>
      <c r="F19" s="898"/>
      <c r="G19" s="898"/>
      <c r="H19" s="898"/>
      <c r="I19" s="898"/>
      <c r="J19" s="898"/>
      <c r="L19" s="427"/>
    </row>
    <row r="20" spans="1:12" ht="12.6" customHeight="1" x14ac:dyDescent="0.2">
      <c r="B20" s="426"/>
      <c r="C20" s="436" t="s">
        <v>292</v>
      </c>
      <c r="D20" s="886">
        <f>GlobBerOpm!B5</f>
        <v>0</v>
      </c>
      <c r="E20" s="887"/>
      <c r="F20" s="887"/>
      <c r="G20" s="887"/>
      <c r="H20" s="887"/>
      <c r="I20" s="887"/>
      <c r="J20" s="887"/>
      <c r="L20" s="427"/>
    </row>
    <row r="21" spans="1:12" ht="12.6" customHeight="1" x14ac:dyDescent="0.2">
      <c r="A21" s="430"/>
      <c r="B21" s="435"/>
      <c r="C21" s="437"/>
      <c r="D21" s="888"/>
      <c r="E21" s="888"/>
      <c r="F21" s="888"/>
      <c r="G21" s="888"/>
      <c r="H21" s="888"/>
      <c r="I21" s="888"/>
      <c r="J21" s="888"/>
      <c r="L21" s="427"/>
    </row>
    <row r="22" spans="1:12" ht="12.6" customHeight="1" x14ac:dyDescent="0.2">
      <c r="L22" s="427"/>
    </row>
    <row r="23" spans="1:12" ht="12.6" customHeight="1" x14ac:dyDescent="0.2">
      <c r="A23" s="430"/>
      <c r="B23" s="431" t="s">
        <v>69</v>
      </c>
      <c r="C23" s="438"/>
      <c r="D23" s="430"/>
      <c r="E23" s="430"/>
      <c r="F23" s="430"/>
      <c r="G23" s="430"/>
      <c r="H23" s="430"/>
      <c r="I23" s="430"/>
      <c r="J23" s="430"/>
      <c r="L23" s="427"/>
    </row>
    <row r="24" spans="1:12" ht="12.6" customHeight="1" x14ac:dyDescent="0.2">
      <c r="B24" s="420" t="s">
        <v>286</v>
      </c>
      <c r="C24" s="439" t="s">
        <v>745</v>
      </c>
      <c r="D24" s="439" t="str">
        <f>IFERROR(LEFT(Var_Ped_AfsprControles,LEN(Var_Ped_AfsprControles)-3),"")</f>
        <v/>
      </c>
      <c r="L24" s="427"/>
    </row>
    <row r="25" spans="1:12" ht="12.6" customHeight="1" x14ac:dyDescent="0.2">
      <c r="B25" s="420" t="s">
        <v>287</v>
      </c>
      <c r="C25" s="439" t="s">
        <v>751</v>
      </c>
      <c r="D25" s="439" t="str">
        <f>IFERROR(LEFT(Var_Ped_AfsprOnderzoeken,LEN(Var_Ped_AfsprOnderzoeken)-3),"")</f>
        <v/>
      </c>
      <c r="L25" s="427"/>
    </row>
    <row r="26" spans="1:12" ht="12.6" customHeight="1" x14ac:dyDescent="0.2">
      <c r="B26" s="420" t="s">
        <v>288</v>
      </c>
      <c r="C26" s="439" t="s">
        <v>989</v>
      </c>
      <c r="D26" s="439" t="str">
        <f>IFERROR(LEFT(Var_Ped_AfsprInstellingen,LEN(Var_Ped_AfsprInstellingen)-3),"")</f>
        <v/>
      </c>
      <c r="L26" s="427"/>
    </row>
    <row r="27" spans="1:12" ht="12.6" customHeight="1" x14ac:dyDescent="0.2">
      <c r="B27" s="420" t="s">
        <v>289</v>
      </c>
      <c r="C27" s="439" t="s">
        <v>729</v>
      </c>
      <c r="D27" s="439" t="str">
        <f>IFERROR(LEFT(Var_Ped_AfsprOverig,LEN(Var_Ped_AfsprOverig)-3),"")</f>
        <v/>
      </c>
      <c r="L27" s="427"/>
    </row>
    <row r="28" spans="1:12" ht="12.6" customHeight="1" x14ac:dyDescent="0.2">
      <c r="C28" s="440"/>
      <c r="D28" s="441"/>
      <c r="E28" s="441"/>
      <c r="F28" s="441"/>
      <c r="G28" s="441"/>
      <c r="H28" s="441"/>
      <c r="I28" s="441"/>
      <c r="J28" s="441"/>
      <c r="L28" s="427"/>
    </row>
    <row r="29" spans="1:12" ht="12.6" customHeight="1" x14ac:dyDescent="0.2">
      <c r="C29" s="442"/>
      <c r="D29" s="441"/>
      <c r="E29" s="441"/>
      <c r="F29" s="441"/>
      <c r="G29" s="441"/>
      <c r="H29" s="441"/>
      <c r="I29" s="441"/>
      <c r="J29" s="441"/>
      <c r="L29" s="427"/>
    </row>
    <row r="30" spans="1:12" ht="12.6" customHeight="1" x14ac:dyDescent="0.2">
      <c r="C30" s="440"/>
      <c r="D30" s="441"/>
      <c r="E30" s="441"/>
      <c r="F30" s="441"/>
      <c r="G30" s="441"/>
      <c r="H30" s="441"/>
      <c r="I30" s="441"/>
      <c r="J30" s="441"/>
      <c r="L30" s="427"/>
    </row>
    <row r="31" spans="1:12" ht="12.6" customHeight="1" x14ac:dyDescent="0.2">
      <c r="C31" s="440"/>
      <c r="D31" s="441"/>
      <c r="E31" s="441"/>
      <c r="F31" s="441"/>
      <c r="G31" s="441"/>
      <c r="H31" s="441"/>
      <c r="I31" s="441"/>
      <c r="J31" s="441"/>
      <c r="L31" s="427"/>
    </row>
    <row r="32" spans="1:12" ht="12.6" customHeight="1" x14ac:dyDescent="0.2">
      <c r="B32" s="443" t="s">
        <v>80</v>
      </c>
      <c r="C32" s="430"/>
      <c r="D32" s="430"/>
      <c r="F32" s="430" t="s">
        <v>450</v>
      </c>
      <c r="G32" s="430"/>
      <c r="H32" s="430"/>
      <c r="I32" s="430"/>
      <c r="L32" s="427"/>
    </row>
    <row r="33" spans="1:12" ht="12.6" customHeight="1" x14ac:dyDescent="0.2">
      <c r="L33" s="427"/>
    </row>
    <row r="34" spans="1:12" ht="12.6" customHeight="1" x14ac:dyDescent="0.2">
      <c r="B34" s="423"/>
      <c r="C34" s="424" t="s">
        <v>461</v>
      </c>
      <c r="D34" s="425">
        <f ca="1">TODAY()</f>
        <v>42750</v>
      </c>
      <c r="E34" s="424" t="s">
        <v>462</v>
      </c>
      <c r="F34" s="890" t="str">
        <f>__2_AchterNaam&amp;", "&amp;__3_VoorNaam</f>
        <v xml:space="preserve">, </v>
      </c>
      <c r="G34" s="890"/>
      <c r="H34" s="426" t="s">
        <v>274</v>
      </c>
      <c r="I34" s="421" t="str">
        <f>_Pat_Gewicht/10&amp;" kg"</f>
        <v>0 kg</v>
      </c>
      <c r="J34" s="417"/>
      <c r="L34" s="427"/>
    </row>
    <row r="35" spans="1:12" ht="12.6" customHeight="1" x14ac:dyDescent="0.2">
      <c r="B35" s="423"/>
      <c r="C35" s="424" t="s">
        <v>205</v>
      </c>
      <c r="D35" s="428">
        <f ca="1">Var_AfspraakDatum-_Pat_OpnDatum+1</f>
        <v>41289</v>
      </c>
      <c r="E35" s="424" t="s">
        <v>460</v>
      </c>
      <c r="F35" s="429">
        <f>__4_GebDatum</f>
        <v>1462</v>
      </c>
      <c r="G35" s="417"/>
      <c r="H35" s="426" t="s">
        <v>130</v>
      </c>
      <c r="I35" s="421" t="str">
        <f>_Pat_Lengte&amp;" cm"</f>
        <v>0 cm</v>
      </c>
      <c r="J35" s="417"/>
      <c r="L35" s="427"/>
    </row>
    <row r="36" spans="1:12" ht="12.6" customHeight="1" x14ac:dyDescent="0.2">
      <c r="D36" s="417"/>
      <c r="F36" s="417"/>
      <c r="H36" s="426" t="s">
        <v>131</v>
      </c>
      <c r="I36" s="421" t="str">
        <f>ROUND(POWER(_Pat_Gewicht/10,0.425)*POWER(((_Pat_Lengte/100)*100),0.725)*0.007184,2)&amp;" m2"</f>
        <v>0 m2</v>
      </c>
      <c r="L36" s="427"/>
    </row>
    <row r="37" spans="1:12" ht="12.6" customHeight="1" x14ac:dyDescent="0.2">
      <c r="D37" s="417"/>
      <c r="F37" s="417"/>
      <c r="L37" s="427"/>
    </row>
    <row r="38" spans="1:12" ht="12.6" customHeight="1" x14ac:dyDescent="0.2">
      <c r="A38" s="430"/>
      <c r="B38" s="431" t="s">
        <v>25</v>
      </c>
      <c r="C38" s="438"/>
      <c r="D38" s="430"/>
      <c r="E38" s="430"/>
      <c r="F38" s="430"/>
      <c r="G38" s="430"/>
      <c r="H38" s="430"/>
      <c r="I38" s="430"/>
      <c r="J38" s="430"/>
      <c r="L38" s="427"/>
    </row>
    <row r="39" spans="1:12" ht="12.6" customHeight="1" x14ac:dyDescent="0.2">
      <c r="B39" s="420">
        <v>1</v>
      </c>
      <c r="C39" s="421">
        <f>INDEX(tblInfusen,PedBerIVenPM!B2,1)</f>
        <v>0</v>
      </c>
      <c r="L39" s="427" t="str">
        <f t="shared" ref="L39:L44" si="0">IF(C39=0,"D","")</f>
        <v>D</v>
      </c>
    </row>
    <row r="40" spans="1:12" ht="12.6" customHeight="1" x14ac:dyDescent="0.2">
      <c r="B40" s="420">
        <v>2</v>
      </c>
      <c r="C40" s="421">
        <f>INDEX(tblInfusen,PedBerIVenPM!B3,1)</f>
        <v>0</v>
      </c>
      <c r="L40" s="427" t="str">
        <f t="shared" si="0"/>
        <v>D</v>
      </c>
    </row>
    <row r="41" spans="1:12" ht="12.6" customHeight="1" x14ac:dyDescent="0.2">
      <c r="B41" s="420">
        <v>3</v>
      </c>
      <c r="C41" s="421">
        <f>INDEX(tblInfusen,PedBerIVenPM!B4,1)</f>
        <v>0</v>
      </c>
      <c r="L41" s="427" t="str">
        <f t="shared" si="0"/>
        <v>D</v>
      </c>
    </row>
    <row r="42" spans="1:12" ht="12.6" customHeight="1" x14ac:dyDescent="0.2">
      <c r="B42" s="420">
        <v>4</v>
      </c>
      <c r="C42" s="421">
        <f>INDEX(tblInfusen,PedBerIVenPM!B5,1)</f>
        <v>0</v>
      </c>
      <c r="L42" s="427" t="str">
        <f t="shared" si="0"/>
        <v>D</v>
      </c>
    </row>
    <row r="43" spans="1:12" ht="12.6" customHeight="1" x14ac:dyDescent="0.2">
      <c r="B43" s="420">
        <v>5</v>
      </c>
      <c r="C43" s="421">
        <f>INDEX(tblInfusen,PedBerIVenPM!B6,1)</f>
        <v>0</v>
      </c>
      <c r="L43" s="427" t="str">
        <f t="shared" si="0"/>
        <v>D</v>
      </c>
    </row>
    <row r="44" spans="1:12" ht="12.6" customHeight="1" x14ac:dyDescent="0.2">
      <c r="B44" s="420">
        <v>6</v>
      </c>
      <c r="C44" s="421">
        <f>INDEX(tblInfusen,PedBerIVenPM!B7,1)</f>
        <v>0</v>
      </c>
      <c r="L44" s="427" t="str">
        <f t="shared" si="0"/>
        <v>D</v>
      </c>
    </row>
    <row r="45" spans="1:12" ht="12.6" customHeight="1" x14ac:dyDescent="0.2">
      <c r="L45" s="427"/>
    </row>
    <row r="46" spans="1:12" ht="12.6" customHeight="1" x14ac:dyDescent="0.2">
      <c r="A46" s="430"/>
      <c r="B46" s="434"/>
      <c r="C46" s="435" t="s">
        <v>292</v>
      </c>
      <c r="D46" s="893">
        <f>GlobBerOpm!B2</f>
        <v>0</v>
      </c>
      <c r="E46" s="894"/>
      <c r="F46" s="894"/>
      <c r="G46" s="894"/>
      <c r="H46" s="894"/>
      <c r="I46" s="894"/>
      <c r="J46" s="894"/>
      <c r="L46" s="427"/>
    </row>
    <row r="47" spans="1:12" ht="12.6" customHeight="1" x14ac:dyDescent="0.2">
      <c r="L47" s="427"/>
    </row>
    <row r="48" spans="1:12" ht="12.6" customHeight="1" x14ac:dyDescent="0.2">
      <c r="L48" s="427"/>
    </row>
    <row r="49" spans="1:12" ht="12.6" customHeight="1" x14ac:dyDescent="0.2">
      <c r="A49" s="430"/>
      <c r="B49" s="431" t="s">
        <v>293</v>
      </c>
      <c r="C49" s="430"/>
      <c r="D49" s="430"/>
      <c r="E49" s="430"/>
      <c r="F49" s="430"/>
      <c r="G49" s="430"/>
      <c r="H49" s="430"/>
      <c r="I49" s="430"/>
      <c r="J49" s="430"/>
      <c r="L49" s="427"/>
    </row>
    <row r="50" spans="1:12" ht="12.6" customHeight="1" x14ac:dyDescent="0.2">
      <c r="B50" s="423"/>
      <c r="C50" s="426" t="s">
        <v>299</v>
      </c>
      <c r="D50" s="426"/>
      <c r="E50" s="426" t="s">
        <v>89</v>
      </c>
      <c r="F50" s="426"/>
      <c r="G50" s="426" t="s">
        <v>300</v>
      </c>
      <c r="H50" s="426"/>
      <c r="I50" s="426"/>
      <c r="J50" s="426" t="s">
        <v>188</v>
      </c>
      <c r="L50" s="427"/>
    </row>
    <row r="51" spans="1:12" ht="12.6" customHeight="1" x14ac:dyDescent="0.2">
      <c r="B51" s="420">
        <v>1</v>
      </c>
      <c r="C51" s="421">
        <f>PedGuiMedIV!E9</f>
        <v>1</v>
      </c>
      <c r="E51" s="421" t="str">
        <f>IF(C51&lt;&gt;0,PedGuiMedIV!F9&amp;" in "&amp;PedGuiMedIV!G9&amp;IF(AND(PedBerMedIV!D5&lt;&gt;4,PedGuiMedIV!H9&lt;&gt;0)," "&amp;PedGuiMedIV!H9,""),"")</f>
        <v xml:space="preserve"> in </v>
      </c>
      <c r="G51" s="421" t="str">
        <f>IF(C51&lt;&gt;0,PedGuiMedIV!I9&amp;" (="&amp;PedGuiMedIV!J9&amp;" " &amp; PedGuiMedIV!K9 &amp;")","")</f>
        <v xml:space="preserve"> (= )</v>
      </c>
      <c r="J51" s="421" t="str">
        <f>PedGuiMedIV!L9</f>
        <v/>
      </c>
      <c r="L51" s="427" t="str">
        <f t="shared" ref="L51:L65" si="1">IF(C51=0,"D","")</f>
        <v/>
      </c>
    </row>
    <row r="52" spans="1:12" ht="12.6" customHeight="1" x14ac:dyDescent="0.2">
      <c r="B52" s="420">
        <v>2</v>
      </c>
      <c r="C52" s="421">
        <f>PedGuiMedIV!E10</f>
        <v>1</v>
      </c>
      <c r="E52" s="421" t="str">
        <f>IF(C52&lt;&gt;0,PedGuiMedIV!F10&amp;" in "&amp;PedGuiMedIV!G10&amp;IF(AND(PedBerMedIV!D6&lt;&gt;4,PedGuiMedIV!H10&lt;&gt;0)," "&amp;PedGuiMedIV!H10,""),"")</f>
        <v xml:space="preserve"> in </v>
      </c>
      <c r="G52" s="421" t="str">
        <f>IF(C52&lt;&gt;0,PedGuiMedIV!I10&amp;" (="&amp;PedGuiMedIV!J10&amp;" " &amp; PedGuiMedIV!K10 &amp;")","")</f>
        <v xml:space="preserve"> (= )</v>
      </c>
      <c r="J52" s="421" t="str">
        <f>PedGuiMedIV!L10</f>
        <v/>
      </c>
      <c r="L52" s="427" t="str">
        <f t="shared" si="1"/>
        <v/>
      </c>
    </row>
    <row r="53" spans="1:12" ht="12.6" customHeight="1" x14ac:dyDescent="0.2">
      <c r="B53" s="420">
        <v>3</v>
      </c>
      <c r="C53" s="421">
        <f>PedGuiMedIV!E11</f>
        <v>1</v>
      </c>
      <c r="E53" s="421" t="str">
        <f>IF(C53&lt;&gt;0,PedGuiMedIV!F11&amp;" in "&amp;PedGuiMedIV!G11&amp;IF(AND(PedBerMedIV!D7&lt;&gt;4,PedGuiMedIV!H11&lt;&gt;0)," "&amp;PedGuiMedIV!H11,""),"")</f>
        <v xml:space="preserve"> in </v>
      </c>
      <c r="G53" s="421" t="str">
        <f>IF(C53&lt;&gt;0,PedGuiMedIV!I11&amp;" (="&amp;PedGuiMedIV!J11&amp;" " &amp; PedGuiMedIV!K11 &amp;")","")</f>
        <v xml:space="preserve"> (= )</v>
      </c>
      <c r="J53" s="421" t="str">
        <f>PedGuiMedIV!L11</f>
        <v/>
      </c>
      <c r="L53" s="427" t="str">
        <f t="shared" si="1"/>
        <v/>
      </c>
    </row>
    <row r="54" spans="1:12" ht="12.6" customHeight="1" x14ac:dyDescent="0.2">
      <c r="B54" s="420">
        <v>4</v>
      </c>
      <c r="C54" s="421">
        <f>PedGuiMedIV!E12</f>
        <v>1</v>
      </c>
      <c r="E54" s="421" t="str">
        <f>IF(C54&lt;&gt;0,PedGuiMedIV!F12&amp;" in "&amp;PedGuiMedIV!G12&amp;IF(AND(PedBerMedIV!D8&lt;&gt;4,PedGuiMedIV!H12&lt;&gt;0)," "&amp;PedGuiMedIV!H12,""),"")</f>
        <v xml:space="preserve"> in </v>
      </c>
      <c r="G54" s="421" t="str">
        <f>IF(C54&lt;&gt;0,PedGuiMedIV!I12&amp;" (="&amp;PedGuiMedIV!J12&amp;" " &amp; PedGuiMedIV!K12 &amp;")","")</f>
        <v xml:space="preserve"> (= )</v>
      </c>
      <c r="J54" s="421" t="str">
        <f>PedGuiMedIV!L12</f>
        <v/>
      </c>
      <c r="L54" s="427" t="str">
        <f t="shared" si="1"/>
        <v/>
      </c>
    </row>
    <row r="55" spans="1:12" ht="12.6" customHeight="1" x14ac:dyDescent="0.2">
      <c r="B55" s="420">
        <v>5</v>
      </c>
      <c r="C55" s="421">
        <f>PedGuiMedIV!E13</f>
        <v>1</v>
      </c>
      <c r="E55" s="421" t="str">
        <f>IF(C55&lt;&gt;0,PedGuiMedIV!F13&amp;" in "&amp;PedGuiMedIV!G13&amp;IF(AND(PedBerMedIV!D9&lt;&gt;4,PedGuiMedIV!H13&lt;&gt;0)," "&amp;PedGuiMedIV!H13,""),"")</f>
        <v xml:space="preserve"> in </v>
      </c>
      <c r="G55" s="421" t="str">
        <f>IF(C55&lt;&gt;0,PedGuiMedIV!I13&amp;" (="&amp;PedGuiMedIV!J13&amp;" " &amp; PedGuiMedIV!K13 &amp;")","")</f>
        <v xml:space="preserve"> (= )</v>
      </c>
      <c r="J55" s="421" t="str">
        <f>PedGuiMedIV!L13</f>
        <v/>
      </c>
      <c r="L55" s="427" t="str">
        <f t="shared" si="1"/>
        <v/>
      </c>
    </row>
    <row r="56" spans="1:12" ht="12.6" customHeight="1" x14ac:dyDescent="0.2">
      <c r="B56" s="420">
        <v>6</v>
      </c>
      <c r="C56" s="421">
        <f>PedGuiMedIV!E14</f>
        <v>1</v>
      </c>
      <c r="E56" s="421" t="str">
        <f>IF(C56&lt;&gt;0,PedGuiMedIV!F14&amp;" in "&amp;PedGuiMedIV!G14&amp;IF(AND(PedBerMedIV!D10&lt;&gt;4,PedGuiMedIV!H14&lt;&gt;0)," "&amp;PedGuiMedIV!H14,""),"")</f>
        <v xml:space="preserve"> in </v>
      </c>
      <c r="G56" s="421" t="str">
        <f>IF(C56&lt;&gt;0,PedGuiMedIV!I14&amp;" (="&amp;PedGuiMedIV!J14&amp;" " &amp; PedGuiMedIV!K14 &amp;")","")</f>
        <v xml:space="preserve"> (= )</v>
      </c>
      <c r="J56" s="421" t="str">
        <f>PedGuiMedIV!L14</f>
        <v/>
      </c>
      <c r="L56" s="427" t="str">
        <f t="shared" si="1"/>
        <v/>
      </c>
    </row>
    <row r="57" spans="1:12" ht="12.6" customHeight="1" x14ac:dyDescent="0.2">
      <c r="B57" s="420">
        <v>7</v>
      </c>
      <c r="C57" s="421">
        <f>PedGuiMedIV!E15</f>
        <v>1</v>
      </c>
      <c r="E57" s="421" t="str">
        <f>IF(C57&lt;&gt;0,PedGuiMedIV!F15&amp;" in "&amp;PedGuiMedIV!G15&amp;IF(AND(PedBerMedIV!D11&lt;&gt;4,PedGuiMedIV!H15&lt;&gt;0)," "&amp;PedGuiMedIV!H15,""),"")</f>
        <v xml:space="preserve"> in </v>
      </c>
      <c r="G57" s="421" t="str">
        <f>IF(C57&lt;&gt;0,PedGuiMedIV!I15&amp;" (="&amp;PedGuiMedIV!J15&amp;" " &amp; PedGuiMedIV!K15 &amp;")","")</f>
        <v xml:space="preserve"> (= )</v>
      </c>
      <c r="J57" s="421" t="str">
        <f>PedGuiMedIV!L15</f>
        <v/>
      </c>
      <c r="L57" s="427" t="str">
        <f t="shared" si="1"/>
        <v/>
      </c>
    </row>
    <row r="58" spans="1:12" ht="12.6" customHeight="1" x14ac:dyDescent="0.2">
      <c r="B58" s="420">
        <v>8</v>
      </c>
      <c r="C58" s="421">
        <f>PedGuiMedIV!E16</f>
        <v>1</v>
      </c>
      <c r="E58" s="421" t="str">
        <f>IF(C58&lt;&gt;0,PedGuiMedIV!F16&amp;" in "&amp;PedGuiMedIV!G16&amp;IF(AND(PedBerMedIV!D12&lt;&gt;4,PedGuiMedIV!H16&lt;&gt;0)," "&amp;PedGuiMedIV!H16,""),"")</f>
        <v xml:space="preserve"> in </v>
      </c>
      <c r="G58" s="421" t="str">
        <f>IF(C58&lt;&gt;0,PedGuiMedIV!I16&amp;" (="&amp;PedGuiMedIV!J16&amp;" " &amp; PedGuiMedIV!K16 &amp;")","")</f>
        <v xml:space="preserve"> (= )</v>
      </c>
      <c r="J58" s="421" t="str">
        <f>PedGuiMedIV!L16</f>
        <v/>
      </c>
      <c r="L58" s="427" t="str">
        <f t="shared" si="1"/>
        <v/>
      </c>
    </row>
    <row r="59" spans="1:12" ht="12.6" customHeight="1" x14ac:dyDescent="0.2">
      <c r="B59" s="420">
        <v>9</v>
      </c>
      <c r="C59" s="421">
        <f>PedGuiMedIV!E17</f>
        <v>1</v>
      </c>
      <c r="E59" s="421" t="str">
        <f>IF(C59&lt;&gt;0,PedGuiMedIV!F17&amp;" in "&amp;PedGuiMedIV!G17&amp;IF(AND(PedBerMedIV!D18&lt;&gt;4,PedGuiMedIV!H17&lt;&gt;0)," "&amp;PedGuiMedIV!H17,""),"")</f>
        <v xml:space="preserve"> in </v>
      </c>
      <c r="G59" s="421" t="str">
        <f>IF(C59&lt;&gt;0,PedGuiMedIV!I17&amp;" (="&amp;PedGuiMedIV!J17&amp;" " &amp; PedGuiMedIV!K17 &amp;")","")</f>
        <v xml:space="preserve"> (= )</v>
      </c>
      <c r="J59" s="421" t="str">
        <f>PedGuiMedIV!L17</f>
        <v/>
      </c>
      <c r="L59" s="427" t="str">
        <f t="shared" si="1"/>
        <v/>
      </c>
    </row>
    <row r="60" spans="1:12" ht="12.6" customHeight="1" x14ac:dyDescent="0.2">
      <c r="B60" s="420">
        <v>10</v>
      </c>
      <c r="C60" s="421">
        <f>PedGuiMedIV!E18</f>
        <v>1</v>
      </c>
      <c r="E60" s="421" t="str">
        <f>IF(C60&lt;&gt;0,PedGuiMedIV!F18&amp;" in "&amp;PedGuiMedIV!G18&amp;IF(AND(PedBerMedIV!D19&lt;&gt;4,PedGuiMedIV!H18&lt;&gt;0)," "&amp;PedGuiMedIV!H18,""),"")</f>
        <v xml:space="preserve"> in </v>
      </c>
      <c r="G60" s="421" t="str">
        <f>IF(C60&lt;&gt;0,PedGuiMedIV!I18&amp;" (="&amp;PedGuiMedIV!J18&amp;" " &amp; PedGuiMedIV!K18 &amp;")","")</f>
        <v xml:space="preserve"> (= )</v>
      </c>
      <c r="J60" s="421" t="str">
        <f>PedGuiMedIV!L18</f>
        <v/>
      </c>
      <c r="L60" s="427" t="str">
        <f t="shared" si="1"/>
        <v/>
      </c>
    </row>
    <row r="61" spans="1:12" ht="12.6" customHeight="1" x14ac:dyDescent="0.2">
      <c r="B61" s="420">
        <v>11</v>
      </c>
      <c r="C61" s="421" t="str">
        <f>PedGuiMedIV!E25</f>
        <v/>
      </c>
      <c r="E61" s="421" t="str">
        <f>IF(C61&lt;&gt;0,PedGuiMedIV!F25&amp;" in "&amp;PedGuiMedIV!G25&amp;IF(AND(PedBerMedIV!D20&lt;&gt;4,PedGuiMedIV!H25&lt;&gt;0)," "&amp;PedGuiMedIV!H25,""),"")</f>
        <v xml:space="preserve">0 in </v>
      </c>
      <c r="G61" s="421" t="str">
        <f>IF(C61&lt;&gt;0,PedGuiMedIV!I25,"")</f>
        <v/>
      </c>
      <c r="J61" s="421" t="str">
        <f>PedGuiMedIV!L25</f>
        <v/>
      </c>
      <c r="L61" s="427" t="str">
        <f t="shared" si="1"/>
        <v/>
      </c>
    </row>
    <row r="62" spans="1:12" ht="12.6" customHeight="1" x14ac:dyDescent="0.2">
      <c r="B62" s="420">
        <v>12</v>
      </c>
      <c r="C62" s="421" t="str">
        <f>PedGuiMedIV!E26</f>
        <v/>
      </c>
      <c r="E62" s="421" t="str">
        <f>IF(C62&lt;&gt;0,PedGuiMedIV!F26&amp;" in "&amp;PedGuiMedIV!G26&amp;IF(AND(PedBerMedIV!D21&lt;&gt;4,PedGuiMedIV!H26&lt;&gt;0)," "&amp;PedGuiMedIV!H26,""),"")</f>
        <v xml:space="preserve">0 in </v>
      </c>
      <c r="G62" s="421" t="str">
        <f>IF(C62&lt;&gt;0,PedGuiMedIV!I26,"")</f>
        <v/>
      </c>
      <c r="J62" s="421" t="str">
        <f>PedGuiMedIV!L26</f>
        <v/>
      </c>
      <c r="L62" s="427" t="str">
        <f t="shared" si="1"/>
        <v/>
      </c>
    </row>
    <row r="63" spans="1:12" ht="12.6" customHeight="1" x14ac:dyDescent="0.2">
      <c r="B63" s="420">
        <v>13</v>
      </c>
      <c r="C63" s="421" t="str">
        <f>PedGuiMedIV!E27</f>
        <v/>
      </c>
      <c r="E63" s="421" t="str">
        <f>IF(C63&lt;&gt;0,PedGuiMedIV!F27&amp;" in "&amp;PedGuiMedIV!G27&amp;IF(AND(PedBerMedIV!D22&lt;&gt;4,PedGuiMedIV!H27&lt;&gt;0)," "&amp;PedGuiMedIV!H27,""),"")</f>
        <v xml:space="preserve">0 in </v>
      </c>
      <c r="G63" s="421" t="str">
        <f>IF(C63&lt;&gt;0,PedGuiMedIV!I27,"")</f>
        <v/>
      </c>
      <c r="J63" s="421" t="str">
        <f>PedGuiMedIV!L27</f>
        <v/>
      </c>
      <c r="L63" s="427" t="str">
        <f t="shared" si="1"/>
        <v/>
      </c>
    </row>
    <row r="64" spans="1:12" ht="12.6" customHeight="1" x14ac:dyDescent="0.2">
      <c r="B64" s="420">
        <v>14</v>
      </c>
      <c r="C64" s="421" t="str">
        <f>PedGuiMedIV!E28</f>
        <v/>
      </c>
      <c r="E64" s="421" t="str">
        <f>IF(C64&lt;&gt;0,PedGuiMedIV!F28&amp;" in "&amp;PedGuiMedIV!G28&amp;IF(AND(PedBerMedIV!D23&lt;&gt;4,PedGuiMedIV!H28&lt;&gt;0)," "&amp;PedGuiMedIV!H28,""),"")</f>
        <v xml:space="preserve">0 in </v>
      </c>
      <c r="G64" s="421" t="str">
        <f>IF(C64&lt;&gt;0,PedGuiMedIV!I28,"")</f>
        <v/>
      </c>
      <c r="J64" s="421" t="str">
        <f>PedGuiMedIV!L28</f>
        <v/>
      </c>
      <c r="L64" s="427" t="str">
        <f t="shared" si="1"/>
        <v/>
      </c>
    </row>
    <row r="65" spans="1:12" ht="12.6" customHeight="1" x14ac:dyDescent="0.2">
      <c r="B65" s="420">
        <v>15</v>
      </c>
      <c r="C65" s="421" t="str">
        <f>PedGuiMedIV!E29</f>
        <v/>
      </c>
      <c r="E65" s="421" t="str">
        <f>IF(C65&lt;&gt;0,PedGuiMedIV!F29&amp;" in "&amp;PedGuiMedIV!G29&amp;IF(AND(PedBerMedIV!D24&lt;&gt;4,PedGuiMedIV!H29&lt;&gt;0)," "&amp;PedGuiMedIV!H29,""),"")</f>
        <v xml:space="preserve">0 in </v>
      </c>
      <c r="G65" s="421" t="str">
        <f>IF(C65&lt;&gt;0,PedGuiMedIV!I29,"")</f>
        <v/>
      </c>
      <c r="J65" s="421" t="str">
        <f>PedGuiMedIV!L29</f>
        <v/>
      </c>
      <c r="L65" s="427" t="str">
        <f t="shared" si="1"/>
        <v/>
      </c>
    </row>
    <row r="66" spans="1:12" ht="12.6" customHeight="1" x14ac:dyDescent="0.2">
      <c r="L66" s="427"/>
    </row>
    <row r="67" spans="1:12" ht="12.6" customHeight="1" x14ac:dyDescent="0.2">
      <c r="B67" s="423"/>
      <c r="C67" s="426" t="s">
        <v>292</v>
      </c>
      <c r="D67" s="886">
        <f>GlobBerOpm!B3</f>
        <v>0</v>
      </c>
      <c r="E67" s="886"/>
      <c r="F67" s="886"/>
      <c r="G67" s="886"/>
      <c r="H67" s="886"/>
      <c r="I67" s="886"/>
      <c r="J67" s="886"/>
      <c r="L67" s="427"/>
    </row>
    <row r="68" spans="1:12" ht="12.6" customHeight="1" x14ac:dyDescent="0.2">
      <c r="D68" s="889"/>
      <c r="E68" s="889"/>
      <c r="F68" s="889"/>
      <c r="G68" s="889"/>
      <c r="H68" s="889"/>
      <c r="I68" s="889"/>
      <c r="J68" s="889"/>
      <c r="L68" s="427"/>
    </row>
    <row r="69" spans="1:12" ht="12.6" customHeight="1" x14ac:dyDescent="0.2">
      <c r="A69" s="430"/>
      <c r="B69" s="431" t="str">
        <f>PedGuiEntTPN!D20</f>
        <v>Intraveneus</v>
      </c>
      <c r="C69" s="438"/>
      <c r="D69" s="430"/>
      <c r="E69" s="430"/>
      <c r="F69" s="430"/>
      <c r="G69" s="430"/>
      <c r="H69" s="430"/>
      <c r="I69" s="430"/>
      <c r="J69" s="430"/>
      <c r="L69" s="427"/>
    </row>
    <row r="70" spans="1:12" ht="12.6" customHeight="1" x14ac:dyDescent="0.2">
      <c r="B70" s="423"/>
      <c r="C70" s="426"/>
      <c r="D70" s="444">
        <f>IF(E70&lt;&gt;"",PedGuiEntTPN!D22,)</f>
        <v>0</v>
      </c>
      <c r="E70" s="445" t="str">
        <f>IF(PedPrtTPN2tot6!G21&lt;&gt;0,PedPrtTPN2tot6!A14&amp;" ml","")</f>
        <v/>
      </c>
      <c r="F70" s="445" t="str">
        <f>IF(PedPrtTPN2tot6!G21&lt;&gt;0,PedPrtTPN2tot6!G21&amp;" ml","")</f>
        <v/>
      </c>
      <c r="G70" s="446"/>
      <c r="H70" s="444">
        <f>IF(I70&lt;&gt;"",PedGuiEntTPN!I22,)</f>
        <v>0</v>
      </c>
      <c r="I70" s="445" t="str">
        <f>PedGuiEntTPN!J22</f>
        <v/>
      </c>
      <c r="J70" s="445" t="str">
        <f>PedGuiEntTPN!L22</f>
        <v/>
      </c>
      <c r="L70" s="427"/>
    </row>
    <row r="71" spans="1:12" ht="12.6" customHeight="1" x14ac:dyDescent="0.2">
      <c r="B71" s="423"/>
      <c r="C71" s="426"/>
      <c r="D71" s="424" t="str">
        <f>IF(F71&lt;&gt;"",PedBerTPN!A28,"")</f>
        <v/>
      </c>
      <c r="E71" s="421" t="str">
        <f>IF(PedBerTPN!B4=4,ROUND(PedBerTPN!D4,1)&amp;" ml/uur","")</f>
        <v/>
      </c>
      <c r="F71" s="421" t="str">
        <f>PedGuiEntTPN!F23</f>
        <v/>
      </c>
      <c r="G71" s="426"/>
      <c r="H71" s="424">
        <f>IF(J71&lt;&gt;"",INDEX(tblSSTGlucose,_Ped_TPN_SST2Keuze,1),)</f>
        <v>0</v>
      </c>
      <c r="J71" s="421" t="str">
        <f>PedGuiEntTPN!K25</f>
        <v/>
      </c>
      <c r="L71" s="427" t="str">
        <f>IF(AND(D71="",H71=0),"D","")</f>
        <v>D</v>
      </c>
    </row>
    <row r="72" spans="1:12" ht="12.6" customHeight="1" x14ac:dyDescent="0.2">
      <c r="B72" s="423"/>
      <c r="C72" s="426"/>
      <c r="D72" s="424" t="str">
        <f>IF(PedGuiEntTPN!H23&lt;&gt;"","Peditrace","")</f>
        <v/>
      </c>
      <c r="E72" s="417" t="str">
        <f>IF(PedGuiEntTPN!H23&lt;&gt;"",PedGuiEntTPN!H23&amp;" "&amp;PedGuiEntTPN!G25,"")</f>
        <v/>
      </c>
      <c r="F72" s="418"/>
      <c r="G72" s="426"/>
      <c r="H72" s="424">
        <f>IF(J72&lt;&gt;"",PedGuiEntTPN!I26,)</f>
        <v>0</v>
      </c>
      <c r="J72" s="421" t="str">
        <f>PedGuiEntTPN!J26</f>
        <v/>
      </c>
      <c r="L72" s="427" t="str">
        <f>IF(AND(D72="",H72=0),"D","")</f>
        <v>D</v>
      </c>
    </row>
    <row r="73" spans="1:12" ht="12.6" customHeight="1" x14ac:dyDescent="0.2">
      <c r="B73" s="423"/>
      <c r="C73" s="426"/>
      <c r="D73" s="424">
        <f>IF(F73&lt;&gt;"",INDEX(tblSSTGlucose,_Ped_TPN_SST1Keuze,1),)</f>
        <v>0</v>
      </c>
      <c r="F73" s="421" t="str">
        <f>IF(AND(_Ped_TPN_Keuze=2,_Ped_TPN_SST1Keuze&lt;11,_Pat_Gewicht/10&lt;=50),ROUND(PedBerTPN!F6,0)&amp;" ml","")</f>
        <v/>
      </c>
      <c r="G73" s="426"/>
      <c r="H73" s="424">
        <f>IF(J73&lt;&gt;"",PedGuiEntTPN!I27,)</f>
        <v>0</v>
      </c>
      <c r="J73" s="421" t="str">
        <f>PedGuiEntTPN!J27</f>
        <v/>
      </c>
      <c r="L73" s="427" t="str">
        <f>IF(AND(D73="",H73=0),"D","")</f>
        <v/>
      </c>
    </row>
    <row r="74" spans="1:12" ht="12.6" customHeight="1" x14ac:dyDescent="0.2">
      <c r="B74" s="423"/>
      <c r="C74" s="426"/>
      <c r="D74" s="424">
        <f>IF(F74&lt;&gt;"",PedGuiEntTPN!D26,)</f>
        <v>0</v>
      </c>
      <c r="F74" s="421" t="str">
        <f>IF(AND(PedPrtTPN2tot6!G14&lt;&gt;"",PedBerTPN!$F$4&gt;0),PedPrtTPN2tot6!G14&amp;" ml","")</f>
        <v/>
      </c>
      <c r="L74" s="427" t="str">
        <f>IF(D74=0,"D","")</f>
        <v>D</v>
      </c>
    </row>
    <row r="75" spans="1:12" ht="12.6" customHeight="1" x14ac:dyDescent="0.2">
      <c r="B75" s="423"/>
      <c r="C75" s="426"/>
      <c r="D75" s="424">
        <f>IF(F75&lt;&gt;"",PedGuiEntTPN!D27,)</f>
        <v>0</v>
      </c>
      <c r="F75" s="421" t="str">
        <f>IF(AND(PedPrtTPN2tot6!G15&lt;&gt;"",PedBerTPN!$F$4&gt;0),PedPrtTPN2tot6!G15&amp;" ml","")</f>
        <v/>
      </c>
      <c r="L75" s="427" t="str">
        <f>IF(D75=0,"D","")</f>
        <v>D</v>
      </c>
    </row>
    <row r="76" spans="1:12" ht="12.6" customHeight="1" x14ac:dyDescent="0.2">
      <c r="D76" s="447"/>
      <c r="H76" s="447"/>
      <c r="L76" s="427"/>
    </row>
    <row r="77" spans="1:12" ht="12.6" customHeight="1" x14ac:dyDescent="0.2">
      <c r="B77" s="423"/>
      <c r="C77" s="426"/>
      <c r="D77" s="448" t="str">
        <f>IF(F77&lt;&gt;"","Electrolyt/Glucose mengsel","")</f>
        <v/>
      </c>
      <c r="E77" s="430" t="str">
        <f>IF(AND(_Pat_Gewicht/10&gt;50,PedPrtTPN50!A27&lt;&gt;""),PedPrtTPN50!A27,PedPrtTPN2tot6!A29)</f>
        <v/>
      </c>
      <c r="F77" s="430" t="str">
        <f>IF(AND(_Pat_Gewicht/10&gt;50,PedPrtTPN50!G35&lt;&gt;0),PedPrtTPN50!G35&amp;" ml",IF(PedPrtTPN2tot6!G36&lt;&gt;0,PedPrtTPN2tot6!G36&amp;" ml",""))</f>
        <v/>
      </c>
      <c r="G77" s="430"/>
      <c r="H77" s="449"/>
      <c r="I77" s="430"/>
      <c r="J77" s="430"/>
      <c r="L77" s="427"/>
    </row>
    <row r="78" spans="1:12" ht="12.6" customHeight="1" x14ac:dyDescent="0.2">
      <c r="B78" s="423"/>
      <c r="C78" s="426"/>
      <c r="D78" s="424">
        <f>IF(F78&lt;&gt;"",INDEX(tblSSTGlucose,_Ped_TPN_SST1Keuze,1),)</f>
        <v>0</v>
      </c>
      <c r="E78" s="450"/>
      <c r="F78" s="421" t="str">
        <f>IF(AND(OR(_Ped_TPN_Keuze=1,AND(_Ped_TPN_Keuze=2,_Ped_TPN_SST1Keuze&gt;10),_Pat_Gewicht/10&gt;50),ROUND(PedBerTPN!F6,0)&lt;&gt;0,_Ped_TPN_SST1Keuze&lt;&gt;2),ROUND(PedBerTPN!F6,0)&amp;" ml","")</f>
        <v/>
      </c>
      <c r="L78" s="427" t="str">
        <f>IF(D78=0,"D","")</f>
        <v>D</v>
      </c>
    </row>
    <row r="79" spans="1:12" ht="12.6" customHeight="1" x14ac:dyDescent="0.2">
      <c r="B79" s="423"/>
      <c r="C79" s="426"/>
      <c r="D79" s="424">
        <f>IF(F79&lt;&gt;"","CaGluc 10%",)</f>
        <v>0</v>
      </c>
      <c r="F79" s="421" t="str">
        <f>PedGuiEntTPN!F29</f>
        <v/>
      </c>
      <c r="L79" s="427" t="str">
        <f t="shared" ref="L79:L85" si="2">IF(D79=0,"D","")</f>
        <v>D</v>
      </c>
    </row>
    <row r="80" spans="1:12" ht="12.6" customHeight="1" x14ac:dyDescent="0.2">
      <c r="B80" s="423"/>
      <c r="C80" s="426"/>
      <c r="D80" s="424">
        <f>IF(F80&lt;&gt;"","MgCl 10%",)</f>
        <v>0</v>
      </c>
      <c r="F80" s="421" t="str">
        <f>PedGuiEntTPN!F30</f>
        <v/>
      </c>
      <c r="L80" s="427" t="str">
        <f t="shared" si="2"/>
        <v>D</v>
      </c>
    </row>
    <row r="81" spans="1:12" ht="12.6" customHeight="1" x14ac:dyDescent="0.2">
      <c r="B81" s="423"/>
      <c r="C81" s="426"/>
      <c r="D81" s="424">
        <f>IF(F81&lt;&gt;"",PedGuiEntTPN!D26,)</f>
        <v>0</v>
      </c>
      <c r="F81" s="421" t="str">
        <f>IF(AND(_Pat_Gewicht/10&gt;50,PedPrtTPN50!G27&lt;&gt;0),PedPrtTPN50!G27&amp;" ml",IF(OR(AND(PedPrtTPN2tot6!G29&lt;&gt;0,PedBerTPN!$F$4=0),AND(PedPrtTPN2tot6!G29&lt;&gt;0,_Pat_Gewicht/10&gt;50)),PedPrtTPN2tot6!G29&amp;" ml",""))</f>
        <v/>
      </c>
      <c r="H81" s="447"/>
      <c r="L81" s="427" t="str">
        <f t="shared" si="2"/>
        <v>D</v>
      </c>
    </row>
    <row r="82" spans="1:12" ht="12.6" customHeight="1" x14ac:dyDescent="0.2">
      <c r="B82" s="423"/>
      <c r="C82" s="426"/>
      <c r="D82" s="424">
        <f>IF(F82&lt;&gt;"",PedGuiEntTPN!D27,)</f>
        <v>0</v>
      </c>
      <c r="F82" s="421" t="str">
        <f>IF(AND(_Pat_Gewicht/10&gt;51,PedPrtTPN50!G28&lt;&gt;0),PedPrtTPN50!G28&amp;" ml",IF(OR(AND(PedPrtTPN2tot6!G30&lt;&gt;0,PedBerTPN!$F$4=0),AND(PedPrtTPN2tot6!G30&lt;&gt;0,_Pat_Gewicht/10&gt;50)),PedPrtTPN2tot6!G30&amp;" ml",""))</f>
        <v/>
      </c>
      <c r="H82" s="447"/>
      <c r="L82" s="427" t="str">
        <f t="shared" si="2"/>
        <v>D</v>
      </c>
    </row>
    <row r="83" spans="1:12" ht="12.6" customHeight="1" x14ac:dyDescent="0.2">
      <c r="B83" s="423"/>
      <c r="C83" s="426"/>
      <c r="D83" s="424" t="str">
        <f>IF(F83&lt;&gt;"","Glucose 10%","")</f>
        <v/>
      </c>
      <c r="F83" s="421" t="str">
        <f>IF(AND(_Pat_Gewicht/10&gt;51,PedPrtTPN50!G31&lt;&gt;0),PedPrtTPN50!G31&amp;" ml",IF(AND(PedPrtTPN2tot6!G33&lt;&gt;0,_Pat_Gewicht/10&lt;=50),PedPrtTPN2tot6!G33&amp;" ml",""))</f>
        <v/>
      </c>
      <c r="H83" s="447"/>
      <c r="L83" s="427" t="str">
        <f t="shared" si="2"/>
        <v/>
      </c>
    </row>
    <row r="84" spans="1:12" ht="12.6" customHeight="1" x14ac:dyDescent="0.2">
      <c r="L84" s="427"/>
    </row>
    <row r="85" spans="1:12" ht="12.6" customHeight="1" x14ac:dyDescent="0.2">
      <c r="B85" s="423"/>
      <c r="C85" s="426"/>
      <c r="D85" s="451">
        <f>IF(E85&lt;&gt;" ","KNaFosfaat",)</f>
        <v>0</v>
      </c>
      <c r="E85" s="430" t="str">
        <f>PedGuiEntTPN!F32&amp;" "&amp;PedGuiEntTPN!I32</f>
        <v xml:space="preserve"> </v>
      </c>
      <c r="F85" s="430"/>
      <c r="L85" s="427" t="str">
        <f t="shared" si="2"/>
        <v>D</v>
      </c>
    </row>
    <row r="86" spans="1:12" ht="12.6" customHeight="1" x14ac:dyDescent="0.2">
      <c r="L86" s="427"/>
    </row>
    <row r="87" spans="1:12" ht="12.6" customHeight="1" x14ac:dyDescent="0.2">
      <c r="B87" s="423"/>
      <c r="C87" s="426"/>
      <c r="D87" s="452">
        <f>IF(E87&lt;&gt;"",PedGuiEntTPN!D34,)</f>
        <v>0</v>
      </c>
      <c r="E87" s="430" t="str">
        <f>PedGuiEntTPN!E34</f>
        <v/>
      </c>
      <c r="F87" s="430" t="str">
        <f>IF(ROUND(PedBerTPN!F12,0)&gt;0,ROUND(PedBerTPN!F12,0)&amp;" ml","")</f>
        <v/>
      </c>
      <c r="H87" s="417"/>
      <c r="L87" s="427"/>
    </row>
    <row r="88" spans="1:12" ht="12.6" customHeight="1" x14ac:dyDescent="0.2">
      <c r="B88" s="423"/>
      <c r="C88" s="426"/>
      <c r="D88" s="424">
        <f>IF(F88&lt;&gt;"","Intralipid 20%",)</f>
        <v>0</v>
      </c>
      <c r="F88" s="421" t="str">
        <f>PedGuiEntTPN!F35</f>
        <v/>
      </c>
      <c r="H88" s="447"/>
      <c r="L88" s="427" t="str">
        <f>IF(D88=0,"D","")</f>
        <v>D</v>
      </c>
    </row>
    <row r="89" spans="1:12" ht="12.6" customHeight="1" x14ac:dyDescent="0.2">
      <c r="B89" s="423"/>
      <c r="C89" s="426"/>
      <c r="D89" s="424">
        <f>IF(F89&lt;&gt;"","Vitintra Infant",)</f>
        <v>0</v>
      </c>
      <c r="F89" s="421" t="str">
        <f>PedGuiEntTPN!F36</f>
        <v/>
      </c>
      <c r="H89" s="447"/>
      <c r="L89" s="427" t="str">
        <f>IF(D89=0,"D","")</f>
        <v>D</v>
      </c>
    </row>
    <row r="90" spans="1:12" ht="12.6" customHeight="1" x14ac:dyDescent="0.2">
      <c r="B90" s="423"/>
      <c r="C90" s="426"/>
      <c r="D90" s="424">
        <f>IF(F90&lt;&gt;"","Soluvit",)</f>
        <v>0</v>
      </c>
      <c r="F90" s="421" t="str">
        <f>PedGuiEntTPN!F37</f>
        <v/>
      </c>
      <c r="H90" s="447"/>
      <c r="L90" s="427" t="str">
        <f>IF(D90=0,"D","")</f>
        <v>D</v>
      </c>
    </row>
    <row r="91" spans="1:12" ht="12.6" customHeight="1" x14ac:dyDescent="0.2">
      <c r="C91" s="447"/>
      <c r="L91" s="427"/>
    </row>
    <row r="92" spans="1:12" ht="12.6" customHeight="1" x14ac:dyDescent="0.2">
      <c r="A92" s="430"/>
      <c r="B92" s="434"/>
      <c r="C92" s="435" t="s">
        <v>292</v>
      </c>
      <c r="D92" s="893">
        <f>GlobBerOpm!B4</f>
        <v>0</v>
      </c>
      <c r="E92" s="894"/>
      <c r="F92" s="894"/>
      <c r="G92" s="894"/>
      <c r="H92" s="894"/>
      <c r="I92" s="894"/>
      <c r="J92" s="894"/>
      <c r="L92" s="427"/>
    </row>
    <row r="93" spans="1:12" ht="12.6" customHeight="1" x14ac:dyDescent="0.2">
      <c r="L93" s="427"/>
    </row>
    <row r="94" spans="1:12" ht="12.6" customHeight="1" x14ac:dyDescent="0.2">
      <c r="L94" s="427"/>
    </row>
    <row r="95" spans="1:12" ht="12.6" customHeight="1" x14ac:dyDescent="0.2">
      <c r="A95" s="430"/>
      <c r="B95" s="431" t="s">
        <v>355</v>
      </c>
      <c r="C95" s="438"/>
      <c r="D95" s="430"/>
      <c r="E95" s="430"/>
      <c r="F95" s="430"/>
      <c r="G95" s="430"/>
      <c r="H95" s="430"/>
      <c r="I95" s="430"/>
      <c r="J95" s="430"/>
      <c r="L95" s="427"/>
    </row>
    <row r="96" spans="1:12" ht="12.6" customHeight="1" x14ac:dyDescent="0.2">
      <c r="B96" s="423"/>
      <c r="C96" s="424" t="str">
        <f>PedGuiEntTPN!C41</f>
        <v>Vocht</v>
      </c>
      <c r="D96" s="421" t="str">
        <f>PedGuiEntTPN!E41</f>
        <v>0 ml/kg</v>
      </c>
      <c r="E96" s="424" t="str">
        <f>PedGuiEntTPN!C42</f>
        <v>Calorieen</v>
      </c>
      <c r="F96" s="421" t="str">
        <f>PedGuiEntTPN!E42</f>
        <v>0 kCal/kg</v>
      </c>
      <c r="G96" s="424" t="str">
        <f>PedGuiEntTPN!C45</f>
        <v>Kalium</v>
      </c>
      <c r="H96" s="421" t="str">
        <f>PedGuiEntTPN!E45</f>
        <v>0 mmol/kg</v>
      </c>
      <c r="I96" s="424" t="str">
        <f>PedGuiEntTPN!C44</f>
        <v xml:space="preserve">Natrium </v>
      </c>
      <c r="J96" s="421" t="str">
        <f>PedGuiEntTPN!E44</f>
        <v>0 mmol/kg</v>
      </c>
      <c r="L96" s="427"/>
    </row>
    <row r="97" spans="1:12" ht="12.6" customHeight="1" x14ac:dyDescent="0.2">
      <c r="B97" s="423"/>
      <c r="C97" s="424" t="str">
        <f>PedGuiEntTPN!I41</f>
        <v>Eiwit</v>
      </c>
      <c r="D97" s="421" t="str">
        <f>PedGuiEntTPN!J41</f>
        <v>0  gram/kg</v>
      </c>
      <c r="E97" s="424" t="str">
        <f>PedGuiEntTPN!I42</f>
        <v>Vet</v>
      </c>
      <c r="F97" s="421" t="str">
        <f>PedGuiEntTPN!J42</f>
        <v>0 gram/kg</v>
      </c>
      <c r="G97" s="424" t="str">
        <f>PedGuiEntTPN!I43</f>
        <v>Calcium</v>
      </c>
      <c r="H97" s="421" t="str">
        <f>PedGuiEntTPN!J43</f>
        <v>0 mmol/kg</v>
      </c>
      <c r="I97" s="424" t="str">
        <f>PedGuiEntTPN!I45</f>
        <v>Fosfaat</v>
      </c>
      <c r="J97" s="421" t="str">
        <f>PedGuiEntTPN!J45</f>
        <v>0 mmol/kg</v>
      </c>
      <c r="L97" s="427"/>
    </row>
    <row r="98" spans="1:12" ht="12.6" customHeight="1" x14ac:dyDescent="0.2">
      <c r="A98" s="430"/>
      <c r="B98" s="434"/>
      <c r="C98" s="453" t="str">
        <f>PedGuiEntTPN!C43</f>
        <v>Glucose/KH</v>
      </c>
      <c r="D98" s="430" t="str">
        <f>PedGuiEntTPN!E43</f>
        <v>0 g/kg</v>
      </c>
      <c r="E98" s="435"/>
      <c r="F98" s="430"/>
      <c r="G98" s="453" t="s">
        <v>316</v>
      </c>
      <c r="H98" s="430" t="str">
        <f>PedGuiEntTPN!J44</f>
        <v>0 mmol/kg</v>
      </c>
      <c r="I98" s="435"/>
      <c r="J98" s="430"/>
      <c r="L98" s="427"/>
    </row>
    <row r="99" spans="1:12" ht="12.6" customHeight="1" x14ac:dyDescent="0.2">
      <c r="B99" s="423"/>
      <c r="C99" s="424" t="s">
        <v>461</v>
      </c>
      <c r="D99" s="425">
        <f ca="1">TODAY()</f>
        <v>42750</v>
      </c>
      <c r="E99" s="424" t="s">
        <v>462</v>
      </c>
      <c r="F99" s="890" t="str">
        <f>__2_AchterNaam&amp;", "&amp;__3_VoorNaam</f>
        <v xml:space="preserve">, </v>
      </c>
      <c r="G99" s="890"/>
      <c r="H99" s="426" t="s">
        <v>274</v>
      </c>
      <c r="I99" s="421" t="str">
        <f>_Pat_Gewicht/10&amp;" kg"</f>
        <v>0 kg</v>
      </c>
      <c r="J99" s="417"/>
      <c r="L99" s="427"/>
    </row>
    <row r="100" spans="1:12" ht="12.6" customHeight="1" x14ac:dyDescent="0.2">
      <c r="B100" s="423"/>
      <c r="C100" s="424" t="s">
        <v>205</v>
      </c>
      <c r="D100" s="428">
        <f ca="1">Var_AfspraakDatum-_Pat_OpnDatum+1</f>
        <v>41289</v>
      </c>
      <c r="E100" s="424" t="s">
        <v>460</v>
      </c>
      <c r="F100" s="429">
        <f>__4_GebDatum</f>
        <v>1462</v>
      </c>
      <c r="G100" s="417"/>
      <c r="H100" s="426" t="s">
        <v>130</v>
      </c>
      <c r="I100" s="421" t="str">
        <f>_Pat_Lengte&amp;" cm"</f>
        <v>0 cm</v>
      </c>
      <c r="J100" s="417"/>
      <c r="L100" s="427"/>
    </row>
    <row r="101" spans="1:12" ht="12.6" customHeight="1" x14ac:dyDescent="0.2">
      <c r="D101" s="417"/>
      <c r="F101" s="417"/>
      <c r="H101" s="426" t="s">
        <v>131</v>
      </c>
      <c r="I101" s="421" t="str">
        <f>ROUND(POWER(_Pat_Gewicht/10,0.425)*POWER(((_Pat_Lengte/100)*100),0.725)*0.007184,2)&amp;" m2"</f>
        <v>0 m2</v>
      </c>
      <c r="L101" s="427"/>
    </row>
    <row r="102" spans="1:12" ht="12.6" customHeight="1" x14ac:dyDescent="0.2">
      <c r="D102" s="417"/>
      <c r="F102" s="417"/>
      <c r="L102" s="427"/>
    </row>
    <row r="103" spans="1:12" ht="12.6" customHeight="1" x14ac:dyDescent="0.2">
      <c r="D103" s="417"/>
      <c r="F103" s="417"/>
      <c r="L103" s="427"/>
    </row>
    <row r="104" spans="1:12" ht="12.6" customHeight="1" x14ac:dyDescent="0.2">
      <c r="D104" s="417"/>
      <c r="F104" s="417"/>
      <c r="L104" s="427"/>
    </row>
    <row r="105" spans="1:12" ht="12.6" customHeight="1" x14ac:dyDescent="0.2">
      <c r="B105" s="431" t="s">
        <v>30</v>
      </c>
      <c r="C105" s="430"/>
      <c r="D105" s="443"/>
      <c r="E105" s="430"/>
      <c r="F105" s="431" t="e">
        <f>IF(Comfort,"Ja","Nee")</f>
        <v>#NAME?</v>
      </c>
      <c r="L105" s="427"/>
    </row>
    <row r="106" spans="1:12" ht="12.6" customHeight="1" x14ac:dyDescent="0.2">
      <c r="L106" s="427"/>
    </row>
    <row r="107" spans="1:12" ht="12.6" customHeight="1" x14ac:dyDescent="0.2">
      <c r="D107" s="454" t="s">
        <v>271</v>
      </c>
      <c r="G107" s="454" t="s">
        <v>125</v>
      </c>
      <c r="L107" s="427"/>
    </row>
    <row r="108" spans="1:12" ht="24.95" customHeight="1" x14ac:dyDescent="0.2">
      <c r="A108" s="899" t="s">
        <v>123</v>
      </c>
      <c r="B108" s="900"/>
      <c r="C108" s="455" t="s">
        <v>124</v>
      </c>
      <c r="D108" s="455" t="s">
        <v>126</v>
      </c>
      <c r="E108" s="899" t="s">
        <v>128</v>
      </c>
      <c r="F108" s="900"/>
      <c r="G108" s="455" t="s">
        <v>126</v>
      </c>
      <c r="H108" s="899" t="s">
        <v>127</v>
      </c>
      <c r="I108" s="900"/>
      <c r="J108" s="455" t="s">
        <v>243</v>
      </c>
      <c r="K108" s="420"/>
      <c r="L108" s="427"/>
    </row>
    <row r="109" spans="1:12" ht="20.100000000000001" customHeight="1" x14ac:dyDescent="0.2">
      <c r="A109" s="456"/>
      <c r="B109" s="457"/>
      <c r="C109" s="455"/>
      <c r="D109" s="455"/>
      <c r="E109" s="456"/>
      <c r="F109" s="457"/>
      <c r="G109" s="458"/>
      <c r="H109" s="456"/>
      <c r="I109" s="459"/>
      <c r="J109" s="455"/>
      <c r="K109" s="420"/>
      <c r="L109" s="427"/>
    </row>
    <row r="110" spans="1:12" ht="20.100000000000001" customHeight="1" x14ac:dyDescent="0.2">
      <c r="A110" s="456"/>
      <c r="B110" s="457"/>
      <c r="C110" s="455"/>
      <c r="D110" s="455"/>
      <c r="E110" s="456"/>
      <c r="F110" s="457"/>
      <c r="G110" s="458"/>
      <c r="H110" s="456"/>
      <c r="I110" s="459"/>
      <c r="J110" s="455"/>
      <c r="K110" s="420"/>
      <c r="L110" s="427"/>
    </row>
    <row r="111" spans="1:12" ht="20.100000000000001" customHeight="1" x14ac:dyDescent="0.2">
      <c r="A111" s="456"/>
      <c r="B111" s="457"/>
      <c r="C111" s="455"/>
      <c r="D111" s="455"/>
      <c r="E111" s="456"/>
      <c r="F111" s="457"/>
      <c r="G111" s="458"/>
      <c r="H111" s="456"/>
      <c r="I111" s="459"/>
      <c r="J111" s="455"/>
      <c r="K111" s="420"/>
      <c r="L111" s="427"/>
    </row>
    <row r="112" spans="1:12" ht="20.100000000000001" customHeight="1" x14ac:dyDescent="0.2">
      <c r="A112" s="456"/>
      <c r="B112" s="457"/>
      <c r="C112" s="455"/>
      <c r="D112" s="455"/>
      <c r="E112" s="456"/>
      <c r="F112" s="457"/>
      <c r="G112" s="458"/>
      <c r="H112" s="456"/>
      <c r="I112" s="459"/>
      <c r="J112" s="455"/>
      <c r="K112" s="420"/>
      <c r="L112" s="427"/>
    </row>
    <row r="113" spans="1:13" ht="20.100000000000001" customHeight="1" x14ac:dyDescent="0.2">
      <c r="A113" s="456"/>
      <c r="B113" s="457"/>
      <c r="C113" s="455"/>
      <c r="D113" s="455"/>
      <c r="E113" s="456"/>
      <c r="F113" s="457"/>
      <c r="G113" s="458"/>
      <c r="H113" s="456"/>
      <c r="I113" s="459"/>
      <c r="J113" s="455"/>
      <c r="K113" s="420"/>
      <c r="L113" s="427"/>
    </row>
    <row r="114" spans="1:13" ht="20.100000000000001" customHeight="1" x14ac:dyDescent="0.2">
      <c r="A114" s="456"/>
      <c r="B114" s="457"/>
      <c r="C114" s="455"/>
      <c r="D114" s="455"/>
      <c r="E114" s="456"/>
      <c r="F114" s="457"/>
      <c r="G114" s="458"/>
      <c r="H114" s="456"/>
      <c r="I114" s="459"/>
      <c r="J114" s="455"/>
      <c r="K114" s="420"/>
      <c r="L114" s="427"/>
    </row>
    <row r="115" spans="1:13" ht="20.100000000000001" customHeight="1" x14ac:dyDescent="0.2">
      <c r="A115" s="456"/>
      <c r="B115" s="457"/>
      <c r="C115" s="455"/>
      <c r="D115" s="455"/>
      <c r="E115" s="456"/>
      <c r="F115" s="457"/>
      <c r="G115" s="458"/>
      <c r="H115" s="456"/>
      <c r="I115" s="459"/>
      <c r="J115" s="455"/>
      <c r="K115" s="420"/>
      <c r="L115" s="427"/>
    </row>
    <row r="116" spans="1:13" ht="20.100000000000001" customHeight="1" x14ac:dyDescent="0.2">
      <c r="A116" s="456"/>
      <c r="B116" s="457"/>
      <c r="C116" s="455"/>
      <c r="D116" s="455"/>
      <c r="E116" s="456"/>
      <c r="F116" s="457"/>
      <c r="G116" s="458"/>
      <c r="H116" s="456"/>
      <c r="I116" s="459"/>
      <c r="J116" s="455"/>
      <c r="K116" s="420"/>
      <c r="L116" s="427"/>
    </row>
    <row r="117" spans="1:13" ht="20.100000000000001" customHeight="1" x14ac:dyDescent="0.2">
      <c r="A117" s="456"/>
      <c r="B117" s="457"/>
      <c r="C117" s="455"/>
      <c r="D117" s="455"/>
      <c r="E117" s="456"/>
      <c r="F117" s="457"/>
      <c r="G117" s="458"/>
      <c r="H117" s="456"/>
      <c r="I117" s="459"/>
      <c r="J117" s="455"/>
      <c r="K117" s="420"/>
      <c r="L117" s="427"/>
    </row>
    <row r="118" spans="1:13" ht="20.100000000000001" customHeight="1" x14ac:dyDescent="0.2">
      <c r="A118" s="456"/>
      <c r="B118" s="457"/>
      <c r="C118" s="455"/>
      <c r="D118" s="455"/>
      <c r="E118" s="456"/>
      <c r="F118" s="457"/>
      <c r="G118" s="458"/>
      <c r="H118" s="456"/>
      <c r="I118" s="459"/>
      <c r="J118" s="455"/>
      <c r="K118" s="13"/>
      <c r="L118" s="427"/>
      <c r="M118" s="422"/>
    </row>
    <row r="119" spans="1:13" ht="20.100000000000001" customHeight="1" x14ac:dyDescent="0.2">
      <c r="A119" s="456"/>
      <c r="B119" s="457"/>
      <c r="C119" s="455"/>
      <c r="D119" s="455"/>
      <c r="E119" s="456"/>
      <c r="F119" s="457"/>
      <c r="G119" s="458"/>
      <c r="H119" s="456"/>
      <c r="I119" s="459"/>
      <c r="J119" s="455"/>
      <c r="K119" s="13"/>
      <c r="L119" s="427"/>
      <c r="M119" s="422"/>
    </row>
    <row r="120" spans="1:13" ht="20.100000000000001" customHeight="1" x14ac:dyDescent="0.2">
      <c r="A120" s="456"/>
      <c r="B120" s="457"/>
      <c r="C120" s="455"/>
      <c r="D120" s="455"/>
      <c r="E120" s="456"/>
      <c r="F120" s="457"/>
      <c r="G120" s="458"/>
      <c r="H120" s="456"/>
      <c r="I120" s="459"/>
      <c r="J120" s="455"/>
      <c r="K120" s="13"/>
      <c r="L120" s="427"/>
      <c r="M120" s="422"/>
    </row>
    <row r="121" spans="1:13" ht="20.100000000000001" customHeight="1" x14ac:dyDescent="0.2">
      <c r="A121" s="456"/>
      <c r="B121" s="457"/>
      <c r="C121" s="455"/>
      <c r="D121" s="455"/>
      <c r="E121" s="456"/>
      <c r="F121" s="457"/>
      <c r="G121" s="458"/>
      <c r="H121" s="456"/>
      <c r="I121" s="459"/>
      <c r="J121" s="455"/>
      <c r="K121" s="13"/>
      <c r="L121" s="427"/>
      <c r="M121" s="422"/>
    </row>
    <row r="122" spans="1:13" ht="20.100000000000001" customHeight="1" x14ac:dyDescent="0.2">
      <c r="A122" s="456"/>
      <c r="B122" s="457"/>
      <c r="C122" s="455"/>
      <c r="D122" s="455"/>
      <c r="E122" s="456"/>
      <c r="F122" s="457"/>
      <c r="G122" s="458"/>
      <c r="H122" s="456"/>
      <c r="I122" s="459"/>
      <c r="J122" s="455"/>
      <c r="K122" s="13"/>
      <c r="L122" s="427"/>
      <c r="M122" s="422"/>
    </row>
    <row r="123" spans="1:13" ht="20.100000000000001" customHeight="1" x14ac:dyDescent="0.2">
      <c r="A123" s="456"/>
      <c r="B123" s="457"/>
      <c r="C123" s="455"/>
      <c r="D123" s="455"/>
      <c r="E123" s="456"/>
      <c r="F123" s="457"/>
      <c r="G123" s="458"/>
      <c r="H123" s="456"/>
      <c r="I123" s="459"/>
      <c r="J123" s="455"/>
      <c r="K123" s="13"/>
      <c r="L123" s="427"/>
      <c r="M123" s="422"/>
    </row>
    <row r="124" spans="1:13" ht="20.100000000000001" customHeight="1" x14ac:dyDescent="0.2">
      <c r="A124" s="456"/>
      <c r="B124" s="457"/>
      <c r="C124" s="455"/>
      <c r="D124" s="455"/>
      <c r="E124" s="456"/>
      <c r="F124" s="457"/>
      <c r="G124" s="458"/>
      <c r="H124" s="456"/>
      <c r="I124" s="459"/>
      <c r="J124" s="455"/>
      <c r="K124" s="13"/>
      <c r="L124" s="427"/>
      <c r="M124" s="422"/>
    </row>
    <row r="125" spans="1:13" ht="20.100000000000001" customHeight="1" x14ac:dyDescent="0.2">
      <c r="A125" s="456"/>
      <c r="B125" s="457"/>
      <c r="C125" s="455"/>
      <c r="D125" s="455"/>
      <c r="E125" s="456"/>
      <c r="F125" s="457"/>
      <c r="G125" s="458"/>
      <c r="H125" s="456"/>
      <c r="I125" s="459"/>
      <c r="J125" s="455"/>
      <c r="K125" s="13"/>
      <c r="L125" s="427"/>
      <c r="M125" s="422"/>
    </row>
    <row r="126" spans="1:13" ht="30" customHeight="1" x14ac:dyDescent="0.2">
      <c r="A126" s="460" t="s">
        <v>129</v>
      </c>
      <c r="B126" s="461"/>
      <c r="C126" s="460"/>
      <c r="D126" s="460"/>
      <c r="E126" s="460"/>
      <c r="F126" s="461"/>
      <c r="G126" s="461"/>
      <c r="H126" s="460"/>
      <c r="I126" s="460"/>
      <c r="J126" s="460"/>
      <c r="K126" s="13"/>
      <c r="L126" s="427"/>
      <c r="M126" s="422"/>
    </row>
    <row r="127" spans="1:13" ht="30" customHeight="1" x14ac:dyDescent="0.2">
      <c r="A127" s="13"/>
      <c r="B127" s="13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422"/>
    </row>
    <row r="128" spans="1:13" ht="30" customHeight="1" x14ac:dyDescent="0.2">
      <c r="A128" s="13"/>
      <c r="B128" s="13"/>
      <c r="C128" s="442"/>
      <c r="D128" s="441"/>
      <c r="E128" s="441"/>
      <c r="F128" s="441"/>
      <c r="G128" s="13"/>
      <c r="H128" s="13"/>
      <c r="I128" s="13"/>
      <c r="J128" s="13"/>
      <c r="K128" s="13"/>
      <c r="L128" s="13"/>
      <c r="M128" s="422"/>
    </row>
    <row r="129" spans="1:13" ht="30" customHeight="1" x14ac:dyDescent="0.2">
      <c r="A129" s="13"/>
      <c r="B129" s="13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422"/>
    </row>
    <row r="130" spans="1:13" ht="30" customHeight="1" x14ac:dyDescent="0.2">
      <c r="A130" s="13"/>
      <c r="B130" s="13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422"/>
    </row>
    <row r="131" spans="1:13" ht="30" customHeight="1" x14ac:dyDescent="0.2">
      <c r="A131" s="13"/>
      <c r="B131" s="13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422"/>
    </row>
    <row r="132" spans="1:13" ht="30" customHeight="1" x14ac:dyDescent="0.2">
      <c r="A132" s="13"/>
      <c r="B132" s="13"/>
      <c r="C132" s="13"/>
      <c r="D132" s="13"/>
      <c r="E132" s="13"/>
      <c r="F132" s="13"/>
      <c r="G132" s="13"/>
      <c r="H132" s="13"/>
      <c r="I132" s="13"/>
      <c r="J132" s="13"/>
      <c r="K132" s="13"/>
      <c r="L132" s="13"/>
      <c r="M132" s="422"/>
    </row>
    <row r="133" spans="1:13" ht="30" customHeight="1" x14ac:dyDescent="0.2">
      <c r="A133" s="13"/>
      <c r="B133" s="13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422"/>
    </row>
    <row r="134" spans="1:13" ht="30" customHeight="1" x14ac:dyDescent="0.2">
      <c r="A134" s="13"/>
      <c r="B134" s="13"/>
      <c r="C134" s="13"/>
      <c r="D134" s="13"/>
      <c r="E134" s="13"/>
      <c r="F134" s="13"/>
      <c r="G134" s="13"/>
      <c r="H134" s="13"/>
      <c r="I134" s="13"/>
      <c r="J134" s="13"/>
      <c r="K134" s="13"/>
      <c r="L134" s="13"/>
    </row>
    <row r="135" spans="1:13" ht="30" customHeight="1" x14ac:dyDescent="0.2">
      <c r="A135" s="13"/>
      <c r="B135" s="13"/>
      <c r="C135" s="13"/>
      <c r="D135" s="13"/>
      <c r="E135" s="13"/>
      <c r="F135" s="13"/>
      <c r="G135" s="13"/>
      <c r="H135" s="13"/>
      <c r="I135" s="13"/>
      <c r="J135" s="13"/>
      <c r="K135" s="13"/>
      <c r="L135" s="13"/>
    </row>
    <row r="136" spans="1:13" ht="30" customHeight="1" x14ac:dyDescent="0.2">
      <c r="A136" s="13"/>
      <c r="B136" s="13"/>
      <c r="C136" s="13"/>
      <c r="D136" s="13"/>
      <c r="E136" s="13"/>
      <c r="F136" s="13"/>
      <c r="G136" s="13"/>
      <c r="H136" s="13"/>
      <c r="I136" s="13"/>
      <c r="J136" s="13"/>
      <c r="K136" s="13"/>
      <c r="L136" s="13"/>
    </row>
    <row r="137" spans="1:13" ht="30" customHeight="1" x14ac:dyDescent="0.2">
      <c r="A137" s="13"/>
      <c r="B137" s="13"/>
      <c r="C137" s="13"/>
      <c r="D137" s="13"/>
      <c r="E137" s="13"/>
      <c r="F137" s="13"/>
      <c r="G137" s="13"/>
      <c r="H137" s="13"/>
      <c r="I137" s="13"/>
      <c r="J137" s="13"/>
      <c r="K137" s="13"/>
      <c r="L137" s="13"/>
    </row>
    <row r="138" spans="1:13" ht="30" customHeight="1" x14ac:dyDescent="0.2">
      <c r="A138" s="13"/>
      <c r="B138" s="13"/>
      <c r="C138" s="13"/>
      <c r="D138" s="13"/>
      <c r="E138" s="13"/>
      <c r="F138" s="13"/>
      <c r="G138" s="13"/>
      <c r="H138" s="13"/>
      <c r="I138" s="13"/>
      <c r="J138" s="13"/>
      <c r="K138" s="13"/>
      <c r="L138" s="13"/>
    </row>
    <row r="139" spans="1:13" ht="30" customHeight="1" x14ac:dyDescent="0.2">
      <c r="A139" s="13"/>
      <c r="B139" s="13"/>
      <c r="C139" s="13"/>
      <c r="D139" s="13"/>
      <c r="E139" s="13"/>
      <c r="F139" s="13"/>
      <c r="G139" s="13"/>
      <c r="H139" s="13"/>
      <c r="I139" s="13"/>
      <c r="J139" s="13"/>
      <c r="K139" s="13"/>
      <c r="L139" s="13"/>
    </row>
    <row r="140" spans="1:13" ht="30" customHeight="1" x14ac:dyDescent="0.2">
      <c r="B140" s="421"/>
      <c r="L140" s="427"/>
    </row>
    <row r="141" spans="1:13" ht="30" customHeight="1" x14ac:dyDescent="0.2">
      <c r="B141" s="421"/>
      <c r="L141" s="427"/>
    </row>
    <row r="142" spans="1:13" ht="30" customHeight="1" x14ac:dyDescent="0.2">
      <c r="B142" s="421"/>
      <c r="L142" s="427"/>
    </row>
    <row r="143" spans="1:13" ht="30" customHeight="1" x14ac:dyDescent="0.2">
      <c r="B143" s="421"/>
      <c r="L143" s="427"/>
    </row>
    <row r="144" spans="1:13" ht="30" customHeight="1" x14ac:dyDescent="0.2">
      <c r="B144" s="421"/>
      <c r="L144" s="427"/>
    </row>
    <row r="145" spans="2:12" ht="30" customHeight="1" x14ac:dyDescent="0.2">
      <c r="B145" s="421"/>
      <c r="L145" s="427"/>
    </row>
    <row r="146" spans="2:12" ht="30" customHeight="1" x14ac:dyDescent="0.2">
      <c r="B146" s="421"/>
      <c r="L146" s="427"/>
    </row>
    <row r="147" spans="2:12" ht="30" customHeight="1" x14ac:dyDescent="0.2">
      <c r="B147" s="421"/>
      <c r="L147" s="427"/>
    </row>
    <row r="148" spans="2:12" ht="30" customHeight="1" x14ac:dyDescent="0.2">
      <c r="B148" s="421"/>
      <c r="L148" s="427"/>
    </row>
    <row r="149" spans="2:12" ht="30" customHeight="1" x14ac:dyDescent="0.2">
      <c r="B149" s="421"/>
      <c r="L149" s="427"/>
    </row>
    <row r="150" spans="2:12" ht="11.25" x14ac:dyDescent="0.2">
      <c r="B150" s="421"/>
      <c r="L150" s="427"/>
    </row>
    <row r="151" spans="2:12" ht="11.25" x14ac:dyDescent="0.2">
      <c r="B151" s="421"/>
      <c r="L151" s="427"/>
    </row>
    <row r="152" spans="2:12" ht="11.25" x14ac:dyDescent="0.2">
      <c r="B152" s="421"/>
      <c r="L152" s="427"/>
    </row>
    <row r="153" spans="2:12" ht="11.25" x14ac:dyDescent="0.2">
      <c r="B153" s="421"/>
      <c r="L153" s="427"/>
    </row>
    <row r="154" spans="2:12" ht="11.25" x14ac:dyDescent="0.2">
      <c r="B154" s="421"/>
      <c r="L154" s="427"/>
    </row>
    <row r="155" spans="2:12" ht="12.6" customHeight="1" x14ac:dyDescent="0.2">
      <c r="B155" s="421"/>
      <c r="L155" s="427"/>
    </row>
    <row r="156" spans="2:12" ht="12.6" customHeight="1" x14ac:dyDescent="0.2">
      <c r="B156" s="421"/>
      <c r="L156" s="427"/>
    </row>
    <row r="157" spans="2:12" ht="12.6" customHeight="1" x14ac:dyDescent="0.2">
      <c r="B157" s="421"/>
      <c r="L157" s="427" t="str">
        <f>IF(C24=0,"D","")</f>
        <v/>
      </c>
    </row>
    <row r="158" spans="2:12" ht="12.6" customHeight="1" x14ac:dyDescent="0.2">
      <c r="B158" s="421"/>
      <c r="L158" s="427" t="str">
        <f>IF(C25=0,"D","")</f>
        <v/>
      </c>
    </row>
    <row r="159" spans="2:12" ht="12.6" customHeight="1" x14ac:dyDescent="0.2">
      <c r="B159" s="421"/>
      <c r="L159" s="427" t="str">
        <f>IF(C26=0,"D","")</f>
        <v/>
      </c>
    </row>
    <row r="160" spans="2:12" ht="12.6" customHeight="1" x14ac:dyDescent="0.2">
      <c r="B160" s="421"/>
      <c r="L160" s="427" t="str">
        <f>IF(C27=0,"D","")</f>
        <v/>
      </c>
    </row>
    <row r="161" spans="2:12" ht="12.6" customHeight="1" x14ac:dyDescent="0.2">
      <c r="B161" s="421"/>
      <c r="L161" s="427" t="e">
        <f>IF(#REF!=0,"D","")</f>
        <v>#REF!</v>
      </c>
    </row>
    <row r="162" spans="2:12" ht="12.6" customHeight="1" x14ac:dyDescent="0.2">
      <c r="B162" s="421"/>
      <c r="L162" s="427" t="e">
        <f>IF(#REF!=0,"D","")</f>
        <v>#REF!</v>
      </c>
    </row>
    <row r="163" spans="2:12" ht="12.6" customHeight="1" x14ac:dyDescent="0.2">
      <c r="B163" s="421"/>
      <c r="L163" s="427"/>
    </row>
    <row r="164" spans="2:12" ht="12.6" customHeight="1" x14ac:dyDescent="0.2">
      <c r="B164" s="421"/>
      <c r="L164" s="427"/>
    </row>
    <row r="165" spans="2:12" ht="12.6" customHeight="1" x14ac:dyDescent="0.2">
      <c r="B165" s="421"/>
      <c r="L165" s="427"/>
    </row>
    <row r="166" spans="2:12" ht="12.6" customHeight="1" x14ac:dyDescent="0.2">
      <c r="L166" s="427"/>
    </row>
    <row r="167" spans="2:12" ht="12.6" customHeight="1" x14ac:dyDescent="0.2">
      <c r="L167" s="427"/>
    </row>
    <row r="168" spans="2:12" ht="12.6" customHeight="1" x14ac:dyDescent="0.2">
      <c r="L168" s="427"/>
    </row>
    <row r="169" spans="2:12" ht="12.6" customHeight="1" x14ac:dyDescent="0.2">
      <c r="L169" s="427"/>
    </row>
    <row r="176" spans="2:12" ht="30" customHeight="1" x14ac:dyDescent="0.2"/>
    <row r="177" ht="30" customHeight="1" x14ac:dyDescent="0.2"/>
    <row r="178" ht="30" customHeight="1" x14ac:dyDescent="0.2"/>
    <row r="179" ht="30" customHeight="1" x14ac:dyDescent="0.2"/>
    <row r="180" ht="30" customHeight="1" x14ac:dyDescent="0.2"/>
    <row r="181" ht="30" customHeight="1" x14ac:dyDescent="0.2"/>
    <row r="182" ht="30" customHeight="1" x14ac:dyDescent="0.2"/>
    <row r="183" ht="30" customHeight="1" x14ac:dyDescent="0.2"/>
    <row r="184" ht="30" customHeight="1" x14ac:dyDescent="0.2"/>
    <row r="185" ht="30" customHeight="1" x14ac:dyDescent="0.2"/>
    <row r="186" ht="30" customHeight="1" x14ac:dyDescent="0.2"/>
    <row r="187" ht="30" customHeight="1" x14ac:dyDescent="0.2"/>
    <row r="188" ht="30" customHeight="1" x14ac:dyDescent="0.2"/>
    <row r="189" ht="30" customHeight="1" x14ac:dyDescent="0.2"/>
    <row r="190" ht="30" customHeight="1" x14ac:dyDescent="0.2"/>
    <row r="191" ht="30" customHeight="1" x14ac:dyDescent="0.2"/>
    <row r="192" ht="30" customHeight="1" x14ac:dyDescent="0.2"/>
    <row r="193" ht="30" customHeight="1" x14ac:dyDescent="0.2"/>
    <row r="194" ht="30" customHeight="1" x14ac:dyDescent="0.2"/>
    <row r="195" ht="30" customHeight="1" x14ac:dyDescent="0.2"/>
    <row r="196" ht="30" customHeight="1" x14ac:dyDescent="0.2"/>
    <row r="197" ht="30" customHeight="1" x14ac:dyDescent="0.2"/>
    <row r="198" ht="30" customHeight="1" x14ac:dyDescent="0.2"/>
    <row r="199" ht="30" customHeight="1" x14ac:dyDescent="0.2"/>
    <row r="200" ht="30" customHeight="1" x14ac:dyDescent="0.2"/>
    <row r="201" ht="30" customHeight="1" x14ac:dyDescent="0.2"/>
  </sheetData>
  <customSheetViews>
    <customSheetView guid="{33CCADFA-0D48-46A6-8927-2B2144029216}" topLeftCell="A31">
      <selection activeCell="G68" sqref="G68"/>
      <rowBreaks count="2" manualBreakCount="2">
        <brk id="40" max="9" man="1"/>
        <brk id="105" max="9" man="1"/>
      </rowBreaks>
      <pageMargins left="0.31" right="0.19" top="0.44" bottom="0.17" header="0.25" footer="0.17"/>
      <pageSetup paperSize="9" orientation="portrait" r:id="rId1"/>
      <headerFooter alignWithMargins="0">
        <oddHeader>&amp;L&amp;"Arial,Cursief"&amp;9&amp;P&amp;R&amp;"  ,Cursief"&amp;9Datum en tijd:  &amp;D, &amp;T&amp;CBed 2.4</oddHeader>
        <oddFooter xml:space="preserve">&amp;R      </oddFooter>
      </headerFooter>
    </customSheetView>
  </customSheetViews>
  <mergeCells count="16">
    <mergeCell ref="E108:F108"/>
    <mergeCell ref="H108:I108"/>
    <mergeCell ref="A108:B108"/>
    <mergeCell ref="F99:G99"/>
    <mergeCell ref="D92:J92"/>
    <mergeCell ref="D20:J21"/>
    <mergeCell ref="D67:J68"/>
    <mergeCell ref="F2:G2"/>
    <mergeCell ref="F34:G34"/>
    <mergeCell ref="D16:J16"/>
    <mergeCell ref="D12:J12"/>
    <mergeCell ref="D46:J46"/>
    <mergeCell ref="D15:J15"/>
    <mergeCell ref="D17:J17"/>
    <mergeCell ref="D18:J18"/>
    <mergeCell ref="D19:J19"/>
  </mergeCells>
  <phoneticPr fontId="28" type="noConversion"/>
  <pageMargins left="0.31" right="0.19" top="0.44" bottom="0.17" header="0.25" footer="0.17"/>
  <pageSetup paperSize="9" orientation="portrait" r:id="rId2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33" max="9" man="1"/>
    <brk id="98" max="9" man="1"/>
  </rowBreaks>
  <drawing r:id="rId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MedDisc">
    <tabColor rgb="FF7030A0"/>
  </sheetPr>
  <dimension ref="A1:AG32"/>
  <sheetViews>
    <sheetView zoomScaleNormal="100" workbookViewId="0"/>
  </sheetViews>
  <sheetFormatPr defaultRowHeight="12.75" x14ac:dyDescent="0.2"/>
  <cols>
    <col min="1" max="1" width="7.140625" customWidth="1"/>
    <col min="2" max="2" width="6" customWidth="1"/>
    <col min="3" max="3" width="26.42578125" customWidth="1"/>
    <col min="4" max="4" width="4.5703125" customWidth="1"/>
    <col min="6" max="6" width="4.28515625" customWidth="1"/>
    <col min="7" max="7" width="11.7109375" customWidth="1"/>
    <col min="8" max="23" width="2.7109375" style="13" customWidth="1"/>
    <col min="24" max="33" width="2.7109375" customWidth="1"/>
  </cols>
  <sheetData>
    <row r="1" spans="1:33" ht="19.5" customHeight="1" thickBot="1" x14ac:dyDescent="0.25">
      <c r="A1" s="356"/>
      <c r="B1" t="str">
        <f>"Naam: "&amp;__2_AchterNaam&amp;", "&amp;__3_VoorNaam</f>
        <v xml:space="preserve">Naam: , </v>
      </c>
      <c r="D1" t="str">
        <f>"Geboortedatum: "</f>
        <v xml:space="preserve">Geboortedatum: </v>
      </c>
      <c r="F1" s="903">
        <f>__4_GebDatum</f>
        <v>1462</v>
      </c>
      <c r="G1" s="903"/>
      <c r="I1" s="6" t="str">
        <f>"Gewicht: "&amp;ROUND(_Pat_Gewicht/10,1)&amp;"kg"</f>
        <v>Gewicht: 0kg</v>
      </c>
      <c r="P1" s="6" t="s">
        <v>186</v>
      </c>
      <c r="R1" s="901"/>
      <c r="S1" s="901"/>
      <c r="T1" s="901"/>
      <c r="U1" s="901"/>
      <c r="V1" s="901"/>
      <c r="W1" s="901"/>
      <c r="Y1" t="s">
        <v>304</v>
      </c>
      <c r="AB1" s="902">
        <f ca="1">TODAY()</f>
        <v>42750</v>
      </c>
      <c r="AC1" s="902"/>
      <c r="AD1" s="902"/>
      <c r="AE1" s="902"/>
      <c r="AF1" s="902"/>
    </row>
    <row r="2" spans="1:33" ht="26.1" customHeight="1" x14ac:dyDescent="0.2">
      <c r="B2" s="86"/>
      <c r="C2" s="87" t="s">
        <v>331</v>
      </c>
      <c r="D2" s="88" t="s">
        <v>332</v>
      </c>
      <c r="E2" s="88"/>
      <c r="F2" s="88"/>
      <c r="G2" s="89" t="s">
        <v>311</v>
      </c>
      <c r="H2" s="90">
        <v>10</v>
      </c>
      <c r="I2" s="90">
        <v>11</v>
      </c>
      <c r="J2" s="90">
        <v>12</v>
      </c>
      <c r="K2" s="90">
        <v>13</v>
      </c>
      <c r="L2" s="90">
        <v>14</v>
      </c>
      <c r="M2" s="90">
        <v>15</v>
      </c>
      <c r="N2" s="90">
        <v>16</v>
      </c>
      <c r="O2" s="90">
        <v>17</v>
      </c>
      <c r="P2" s="90">
        <v>18</v>
      </c>
      <c r="Q2" s="90">
        <v>19</v>
      </c>
      <c r="R2" s="91">
        <v>20</v>
      </c>
      <c r="S2" s="91">
        <v>21</v>
      </c>
      <c r="T2" s="91">
        <v>22</v>
      </c>
      <c r="U2" s="91">
        <v>23</v>
      </c>
      <c r="V2" s="91">
        <v>24</v>
      </c>
      <c r="W2" s="91">
        <v>1</v>
      </c>
      <c r="X2" s="90">
        <v>2</v>
      </c>
      <c r="Y2" s="90">
        <v>3</v>
      </c>
      <c r="Z2" s="90">
        <v>4</v>
      </c>
      <c r="AA2" s="90">
        <v>5</v>
      </c>
      <c r="AB2" s="90">
        <v>6</v>
      </c>
      <c r="AC2" s="90">
        <v>7</v>
      </c>
      <c r="AD2" s="90">
        <v>8</v>
      </c>
      <c r="AE2" s="92"/>
      <c r="AF2" s="92"/>
      <c r="AG2" s="92"/>
    </row>
    <row r="3" spans="1:33" ht="26.1" customHeight="1" x14ac:dyDescent="0.2">
      <c r="B3" s="94"/>
      <c r="C3" s="125" t="str">
        <f>IF(GlobBerMedDisc!C2&lt;&gt;"",IF(GlobBerMedDisc!C2&gt;1,TRIM(GlobBerMedDisc!C2)&amp;", "&amp;GlobBerOpm!#REF!&amp;" ("&amp;GlobBerMedDisc!M2&amp;" "&amp;GlobBerMedDisc!F2&amp;"/kg/dag)",TRIM(GlobBerMedDisc!C2)&amp;", "&amp;GlobBerOpm!#REF!),"")</f>
        <v/>
      </c>
      <c r="D3" s="126" t="str">
        <f>IF(GlobGuiMedDisc!I9&lt;&gt;"",GlobGuiMedDisc!I9,"")</f>
        <v/>
      </c>
      <c r="E3" s="127" t="str">
        <f>IF(AND(D3&lt;&gt;"",D3&lt;&gt;"STOP"),GlobBerMedDisc!H2&amp;" "&amp;GlobBerMedDisc!F2,"")</f>
        <v/>
      </c>
      <c r="F3" s="127" t="str">
        <f>IF(AND(D3&lt;&gt;"",D3&lt;&gt;"STOP"),GlobBerMedDisc!L2," ")</f>
        <v xml:space="preserve"> </v>
      </c>
      <c r="G3" s="127" t="str">
        <f>IF(GlobGuiMedDisc!N9&lt;&gt;"",GlobGuiMedDisc!N9&amp;" "&amp;GlobGuiMedDisc!O9&amp;" "&amp;INDEX(GlobBerMedDisc!$B$27:$B$30,GlobBerMedDisc!O2,1)&amp;" in "&amp;GlobGuiMedDisc!$R$9,"")</f>
        <v/>
      </c>
      <c r="H3" s="93" t="str">
        <f>IF(OR($D3="1 dd",$D3="2 dd",$D3="3 dd",$D3="4 dd",$D3="6 dd",$D3="8 dd",$D3="12 dd",$D3="an",$D3="1 X"),VLOOKUP($D3,PedTblTijden!$A$16:$X$26,PedTblTijden!B$14,FALSE),"")</f>
        <v/>
      </c>
      <c r="I3" s="12" t="str">
        <f>IF(OR($D3="1 dd",$D3="2 dd",$D3="3 dd",$D3="4 dd",$D3="6 dd",$D3="8 dd",$D3="12 dd",$D3="an",$D3="1 X"),VLOOKUP($D3,PedTblTijden!$A$16:$X$26,PedTblTijden!C$14,FALSE),"")</f>
        <v/>
      </c>
      <c r="J3" s="93" t="str">
        <f>IF(OR($D3="1 dd",$D3="2 dd",$D3="3 dd",$D3="4 dd",$D3="6 dd",$D3="8 dd",$D3="12 dd",$D3="an",$D3="1 X"),VLOOKUP($D3,PedTblTijden!$A$16:$X$26,PedTblTijden!D$14,FALSE),"")</f>
        <v/>
      </c>
      <c r="K3" s="12" t="str">
        <f>IF(OR($D3="1 dd",$D3="2 dd",$D3="3 dd",$D3="4 dd",$D3="6 dd",$D3="8 dd",$D3="12 dd",$D3="an",$D3="1 X"),VLOOKUP($D3,PedTblTijden!$A$16:$X$26,PedTblTijden!E$14,FALSE),"")</f>
        <v/>
      </c>
      <c r="L3" s="93" t="str">
        <f>IF(OR($D3="1 dd",$D3="2 dd",$D3="3 dd",$D3="4 dd",$D3="6 dd",$D3="8 dd",$D3="12 dd",$D3="an",$D3="1 X"),VLOOKUP($D3,PedTblTijden!$A$16:$X$26,PedTblTijden!F$14,FALSE),"")</f>
        <v/>
      </c>
      <c r="M3" s="12" t="str">
        <f>IF(OR($D3="1 dd",$D3="2 dd",$D3="3 dd",$D3="4 dd",$D3="6 dd",$D3="8 dd",$D3="12 dd",$D3="an",$D3="1 X"),VLOOKUP($D3,PedTblTijden!$A$16:$X$26,PedTblTijden!G$14,FALSE),"")</f>
        <v/>
      </c>
      <c r="N3" s="93" t="str">
        <f>IF(OR($D3="1 dd",$D3="2 dd",$D3="3 dd",$D3="4 dd",$D3="6 dd",$D3="8 dd",$D3="12 dd",$D3="an",$D3="1 X"),VLOOKUP($D3,PedTblTijden!$A$16:$X$26,PedTblTijden!H$14,FALSE),"")</f>
        <v/>
      </c>
      <c r="O3" s="12" t="str">
        <f>IF(OR($D3="1 dd",$D3="2 dd",$D3="3 dd",$D3="4 dd",$D3="6 dd",$D3="8 dd",$D3="12 dd",$D3="an",$D3="1 X"),VLOOKUP($D3,PedTblTijden!$A$16:$X$26,PedTblTijden!I$14,FALSE),"")</f>
        <v/>
      </c>
      <c r="P3" s="93" t="str">
        <f>IF(OR($D3="1 dd",$D3="2 dd",$D3="3 dd",$D3="4 dd",$D3="6 dd",$D3="8 dd",$D3="12 dd",$D3="an",$D3="1 X"),VLOOKUP($D3,PedTblTijden!$A$16:$X$26,PedTblTijden!J$14,FALSE),"")</f>
        <v/>
      </c>
      <c r="Q3" s="12" t="str">
        <f>IF(OR($D3="1 dd",$D3="2 dd",$D3="3 dd",$D3="4 dd",$D3="6 dd",$D3="8 dd",$D3="12 dd",$D3="an",$D3="1 X"),VLOOKUP($D3,PedTblTijden!$A$16:$X$26,PedTblTijden!K$14,FALSE),"")</f>
        <v/>
      </c>
      <c r="R3" s="93" t="str">
        <f>IF(OR($D3="1 dd",$D3="2 dd",$D3="3 dd",$D3="4 dd",$D3="6 dd",$D3="8 dd",$D3="12 dd",$D3="an",$D3="1 X"),VLOOKUP($D3,PedTblTijden!$A$16:$X$26,PedTblTijden!L$14,FALSE),"")</f>
        <v/>
      </c>
      <c r="S3" s="12" t="str">
        <f>IF(OR($D3="1 dd",$D3="2 dd",$D3="3 dd",$D3="4 dd",$D3="6 dd",$D3="8 dd",$D3="12 dd",$D3="an",$D3="1 X"),VLOOKUP($D3,PedTblTijden!$A$16:$X$26,PedTblTijden!M$14,FALSE),"")</f>
        <v/>
      </c>
      <c r="T3" s="93" t="str">
        <f>IF(OR($D3="1 dd",$D3="2 dd",$D3="3 dd",$D3="4 dd",$D3="6 dd",$D3="8 dd",$D3="12 dd",$D3="an",$D3="1 X"),VLOOKUP($D3,PedTblTijden!$A$16:$X$26,PedTblTijden!N$14,FALSE),"")</f>
        <v/>
      </c>
      <c r="U3" s="12" t="str">
        <f>IF(OR($D3="1 dd",$D3="2 dd",$D3="3 dd",$D3="4 dd",$D3="6 dd",$D3="8 dd",$D3="12 dd",$D3="an",$D3="1 X"),VLOOKUP($D3,PedTblTijden!$A$16:$X$26,PedTblTijden!O$14,FALSE),"")</f>
        <v/>
      </c>
      <c r="V3" s="93" t="str">
        <f>IF(OR($D3="1 dd",$D3="2 dd",$D3="3 dd",$D3="4 dd",$D3="6 dd",$D3="8 dd",$D3="12 dd",$D3="an",$D3="1 X"),VLOOKUP($D3,PedTblTijden!$A$16:$X$26,PedTblTijden!P$14,FALSE),"")</f>
        <v/>
      </c>
      <c r="W3" s="12" t="str">
        <f>IF(OR($D3="1 dd",$D3="2 dd",$D3="3 dd",$D3="4 dd",$D3="6 dd",$D3="8 dd",$D3="12 dd",$D3="an",$D3="1 X"),VLOOKUP($D3,PedTblTijden!$A$16:$X$26,PedTblTijden!Q$14,FALSE),"")</f>
        <v/>
      </c>
      <c r="X3" s="93" t="str">
        <f>IF(OR($D3="1 dd",$D3="2 dd",$D3="3 dd",$D3="4 dd",$D3="6 dd",$D3="8 dd",$D3="12 dd",$D3="an",$D3="1 X"),VLOOKUP($D3,PedTblTijden!$A$16:$X$26,PedTblTijden!R$14,FALSE),"")</f>
        <v/>
      </c>
      <c r="Y3" s="12" t="str">
        <f>IF(OR($D3="1 dd",$D3="2 dd",$D3="3 dd",$D3="4 dd",$D3="6 dd",$D3="8 dd",$D3="12 dd",$D3="an",$D3="1 X"),VLOOKUP($D3,PedTblTijden!$A$16:$X$26,PedTblTijden!S$14,FALSE),"")</f>
        <v/>
      </c>
      <c r="Z3" s="93" t="str">
        <f>IF(OR($D3="1 dd",$D3="2 dd",$D3="3 dd",$D3="4 dd",$D3="6 dd",$D3="8 dd",$D3="12 dd",$D3="an",$D3="1 X"),VLOOKUP($D3,PedTblTijden!$A$16:$X$26,PedTblTijden!T$14,FALSE),"")</f>
        <v/>
      </c>
      <c r="AA3" s="12" t="str">
        <f>IF(OR($D3="1 dd",$D3="2 dd",$D3="3 dd",$D3="4 dd",$D3="6 dd",$D3="8 dd",$D3="12 dd",$D3="an",$D3="1 X"),VLOOKUP($D3,PedTblTijden!$A$16:$X$26,PedTblTijden!U$14,FALSE),"")</f>
        <v/>
      </c>
      <c r="AB3" s="93" t="str">
        <f>IF(OR($D3="1 dd",$D3="2 dd",$D3="3 dd",$D3="4 dd",$D3="6 dd",$D3="8 dd",$D3="12 dd",$D3="an",$D3="1 X"),VLOOKUP($D3,PedTblTijden!$A$16:$X$26,PedTblTijden!V$14,FALSE),"")</f>
        <v/>
      </c>
      <c r="AC3" s="12" t="str">
        <f>IF(OR($D3="1 dd",$D3="2 dd",$D3="3 dd",$D3="4 dd",$D3="6 dd",$D3="8 dd",$D3="12 dd",$D3="an",$D3="1 X"),VLOOKUP($D3,PedTblTijden!$A$16:$X$26,PedTblTijden!W$14,FALSE),"")</f>
        <v/>
      </c>
      <c r="AD3" s="93" t="str">
        <f>IF(OR($D3="1 dd",$D3="2 dd",$D3="3 dd",$D3="4 dd",$D3="6 dd",$D3="8 dd",$D3="12 dd",$D3="an",$D3="1 X"),VLOOKUP($D3,PedTblTijden!$A$16:$X$26,PedTblTijden!X$14,FALSE),"")</f>
        <v/>
      </c>
      <c r="AE3" s="14"/>
      <c r="AF3" s="92"/>
      <c r="AG3" s="14"/>
    </row>
    <row r="4" spans="1:33" ht="26.1" customHeight="1" x14ac:dyDescent="0.2">
      <c r="B4" s="94"/>
      <c r="C4" s="125" t="str">
        <f>IF(GlobBerMedDisc!C3&lt;&gt;"",IF(GlobBerMedDisc!C3&gt;1,TRIM(GlobBerMedDisc!C3)&amp;", "&amp;GlobBerOpm!#REF!&amp;" ("&amp;GlobBerMedDisc!M3&amp;" "&amp;GlobBerMedDisc!F3&amp;"/kg/dag)",TRIM(GlobBerMedDisc!C3)&amp;", "&amp;GlobBerOpm!#REF!),"")</f>
        <v/>
      </c>
      <c r="D4" s="126" t="str">
        <f>IF(GlobGuiMedDisc!I10&lt;&gt;"",GlobGuiMedDisc!I10,"")</f>
        <v/>
      </c>
      <c r="E4" s="127" t="str">
        <f>IF(AND(D4&lt;&gt;"",D4&lt;&gt;"STOP"),GlobBerMedDisc!H3&amp;" "&amp;GlobBerMedDisc!F3,"")</f>
        <v/>
      </c>
      <c r="F4" s="127" t="str">
        <f>IF(AND(D4&lt;&gt;"",D4&lt;&gt;"STOP"),GlobBerMedDisc!L3," ")</f>
        <v xml:space="preserve"> </v>
      </c>
      <c r="G4" s="127" t="str">
        <f>IF(GlobGuiMedDisc!N10&lt;&gt;"",GlobGuiMedDisc!N10&amp;" "&amp;GlobGuiMedDisc!O10&amp;" "&amp;INDEX(GlobBerMedDisc!$B$27:$B$30,GlobBerMedDisc!O3,1)&amp;" in "&amp;GlobGuiMedDisc!$R$10,"")</f>
        <v/>
      </c>
      <c r="H4" s="93" t="str">
        <f>IF(OR($D4="1 dd",$D4="2 dd",$D4="3 dd",$D4="4 dd",$D4="6 dd",$D4="8 dd",$D4="12 dd",$D4="an",$D4="1 X"),VLOOKUP($D4,PedTblTijden!$A$16:$X$26,PedTblTijden!B$14,FALSE),"")</f>
        <v/>
      </c>
      <c r="I4" s="12" t="str">
        <f>IF(OR($D4="1 dd",$D4="2 dd",$D4="3 dd",$D4="4 dd",$D4="6 dd",$D4="8 dd",$D4="12 dd",$D4="an",$D4="1 X"),VLOOKUP($D4,PedTblTijden!$A$16:$X$26,PedTblTijden!C$14,FALSE),"")</f>
        <v/>
      </c>
      <c r="J4" s="93" t="str">
        <f>IF(OR($D4="1 dd",$D4="2 dd",$D4="3 dd",$D4="4 dd",$D4="6 dd",$D4="8 dd",$D4="12 dd",$D4="an",$D4="1 X"),VLOOKUP($D4,PedTblTijden!$A$16:$X$26,PedTblTijden!D$14,FALSE),"")</f>
        <v/>
      </c>
      <c r="K4" s="12" t="str">
        <f>IF(OR($D4="1 dd",$D4="2 dd",$D4="3 dd",$D4="4 dd",$D4="6 dd",$D4="8 dd",$D4="12 dd",$D4="an",$D4="1 X"),VLOOKUP($D4,PedTblTijden!$A$16:$X$26,PedTblTijden!E$14,FALSE),"")</f>
        <v/>
      </c>
      <c r="L4" s="93" t="str">
        <f>IF(OR($D4="1 dd",$D4="2 dd",$D4="3 dd",$D4="4 dd",$D4="6 dd",$D4="8 dd",$D4="12 dd",$D4="an",$D4="1 X"),VLOOKUP($D4,PedTblTijden!$A$16:$X$26,PedTblTijden!F$14,FALSE),"")</f>
        <v/>
      </c>
      <c r="M4" s="12" t="str">
        <f>IF(OR($D4="1 dd",$D4="2 dd",$D4="3 dd",$D4="4 dd",$D4="6 dd",$D4="8 dd",$D4="12 dd",$D4="an",$D4="1 X"),VLOOKUP($D4,PedTblTijden!$A$16:$X$26,PedTblTijden!G$14,FALSE),"")</f>
        <v/>
      </c>
      <c r="N4" s="93" t="str">
        <f>IF(OR($D4="1 dd",$D4="2 dd",$D4="3 dd",$D4="4 dd",$D4="6 dd",$D4="8 dd",$D4="12 dd",$D4="an",$D4="1 X"),VLOOKUP($D4,PedTblTijden!$A$16:$X$26,PedTblTijden!H$14,FALSE),"")</f>
        <v/>
      </c>
      <c r="O4" s="12" t="str">
        <f>IF(OR($D4="1 dd",$D4="2 dd",$D4="3 dd",$D4="4 dd",$D4="6 dd",$D4="8 dd",$D4="12 dd",$D4="an",$D4="1 X"),VLOOKUP($D4,PedTblTijden!$A$16:$X$26,PedTblTijden!I$14,FALSE),"")</f>
        <v/>
      </c>
      <c r="P4" s="93" t="str">
        <f>IF(OR($D4="1 dd",$D4="2 dd",$D4="3 dd",$D4="4 dd",$D4="6 dd",$D4="8 dd",$D4="12 dd",$D4="an",$D4="1 X"),VLOOKUP($D4,PedTblTijden!$A$16:$X$26,PedTblTijden!J$14,FALSE),"")</f>
        <v/>
      </c>
      <c r="Q4" s="12" t="str">
        <f>IF(OR($D4="1 dd",$D4="2 dd",$D4="3 dd",$D4="4 dd",$D4="6 dd",$D4="8 dd",$D4="12 dd",$D4="an",$D4="1 X"),VLOOKUP($D4,PedTblTijden!$A$16:$X$26,PedTblTijden!K$14,FALSE),"")</f>
        <v/>
      </c>
      <c r="R4" s="93" t="str">
        <f>IF(OR($D4="1 dd",$D4="2 dd",$D4="3 dd",$D4="4 dd",$D4="6 dd",$D4="8 dd",$D4="12 dd",$D4="an",$D4="1 X"),VLOOKUP($D4,PedTblTijden!$A$16:$X$26,PedTblTijden!L$14,FALSE),"")</f>
        <v/>
      </c>
      <c r="S4" s="12" t="str">
        <f>IF(OR($D4="1 dd",$D4="2 dd",$D4="3 dd",$D4="4 dd",$D4="6 dd",$D4="8 dd",$D4="12 dd",$D4="an",$D4="1 X"),VLOOKUP($D4,PedTblTijden!$A$16:$X$26,PedTblTijden!M$14,FALSE),"")</f>
        <v/>
      </c>
      <c r="T4" s="93" t="str">
        <f>IF(OR($D4="1 dd",$D4="2 dd",$D4="3 dd",$D4="4 dd",$D4="6 dd",$D4="8 dd",$D4="12 dd",$D4="an",$D4="1 X"),VLOOKUP($D4,PedTblTijden!$A$16:$X$26,PedTblTijden!N$14,FALSE),"")</f>
        <v/>
      </c>
      <c r="U4" s="12" t="str">
        <f>IF(OR($D4="1 dd",$D4="2 dd",$D4="3 dd",$D4="4 dd",$D4="6 dd",$D4="8 dd",$D4="12 dd",$D4="an",$D4="1 X"),VLOOKUP($D4,PedTblTijden!$A$16:$X$26,PedTblTijden!O$14,FALSE),"")</f>
        <v/>
      </c>
      <c r="V4" s="93" t="str">
        <f>IF(OR($D4="1 dd",$D4="2 dd",$D4="3 dd",$D4="4 dd",$D4="6 dd",$D4="8 dd",$D4="12 dd",$D4="an",$D4="1 X"),VLOOKUP($D4,PedTblTijden!$A$16:$X$26,PedTblTijden!P$14,FALSE),"")</f>
        <v/>
      </c>
      <c r="W4" s="12" t="str">
        <f>IF(OR($D4="1 dd",$D4="2 dd",$D4="3 dd",$D4="4 dd",$D4="6 dd",$D4="8 dd",$D4="12 dd",$D4="an",$D4="1 X"),VLOOKUP($D4,PedTblTijden!$A$16:$X$26,PedTblTijden!Q$14,FALSE),"")</f>
        <v/>
      </c>
      <c r="X4" s="93" t="str">
        <f>IF(OR($D4="1 dd",$D4="2 dd",$D4="3 dd",$D4="4 dd",$D4="6 dd",$D4="8 dd",$D4="12 dd",$D4="an",$D4="1 X"),VLOOKUP($D4,PedTblTijden!$A$16:$X$26,PedTblTijden!R$14,FALSE),"")</f>
        <v/>
      </c>
      <c r="Y4" s="12" t="str">
        <f>IF(OR($D4="1 dd",$D4="2 dd",$D4="3 dd",$D4="4 dd",$D4="6 dd",$D4="8 dd",$D4="12 dd",$D4="an",$D4="1 X"),VLOOKUP($D4,PedTblTijden!$A$16:$X$26,PedTblTijden!S$14,FALSE),"")</f>
        <v/>
      </c>
      <c r="Z4" s="93" t="str">
        <f>IF(OR($D4="1 dd",$D4="2 dd",$D4="3 dd",$D4="4 dd",$D4="6 dd",$D4="8 dd",$D4="12 dd",$D4="an",$D4="1 X"),VLOOKUP($D4,PedTblTijden!$A$16:$X$26,PedTblTijden!T$14,FALSE),"")</f>
        <v/>
      </c>
      <c r="AA4" s="12" t="str">
        <f>IF(OR($D4="1 dd",$D4="2 dd",$D4="3 dd",$D4="4 dd",$D4="6 dd",$D4="8 dd",$D4="12 dd",$D4="an",$D4="1 X"),VLOOKUP($D4,PedTblTijden!$A$16:$X$26,PedTblTijden!U$14,FALSE),"")</f>
        <v/>
      </c>
      <c r="AB4" s="93" t="str">
        <f>IF(OR($D4="1 dd",$D4="2 dd",$D4="3 dd",$D4="4 dd",$D4="6 dd",$D4="8 dd",$D4="12 dd",$D4="an",$D4="1 X"),VLOOKUP($D4,PedTblTijden!$A$16:$X$26,PedTblTijden!V$14,FALSE),"")</f>
        <v/>
      </c>
      <c r="AC4" s="12" t="str">
        <f>IF(OR($D4="1 dd",$D4="2 dd",$D4="3 dd",$D4="4 dd",$D4="6 dd",$D4="8 dd",$D4="12 dd",$D4="an",$D4="1 X"),VLOOKUP($D4,PedTblTijden!$A$16:$X$26,PedTblTijden!W$14,FALSE),"")</f>
        <v/>
      </c>
      <c r="AD4" s="93" t="str">
        <f>IF(OR($D4="1 dd",$D4="2 dd",$D4="3 dd",$D4="4 dd",$D4="6 dd",$D4="8 dd",$D4="12 dd",$D4="an",$D4="1 X"),VLOOKUP($D4,PedTblTijden!$A$16:$X$26,PedTblTijden!X$14,FALSE),"")</f>
        <v/>
      </c>
      <c r="AE4" s="14"/>
      <c r="AF4" s="92"/>
      <c r="AG4" s="14"/>
    </row>
    <row r="5" spans="1:33" ht="26.1" customHeight="1" x14ac:dyDescent="0.2">
      <c r="B5" s="94"/>
      <c r="C5" s="125" t="str">
        <f>IF(GlobBerMedDisc!C4&lt;&gt;"",IF(GlobBerMedDisc!C4&gt;1,TRIM(GlobBerMedDisc!C4)&amp;", "&amp;GlobBerOpm!#REF!&amp;" ("&amp;GlobBerMedDisc!M4&amp;" "&amp;GlobBerMedDisc!F4&amp;"/kg/dag)",TRIM(GlobBerMedDisc!C4)&amp;", "&amp;GlobBerOpm!#REF!),"")</f>
        <v/>
      </c>
      <c r="D5" s="126" t="str">
        <f>IF(GlobGuiMedDisc!I11&lt;&gt;"",GlobGuiMedDisc!I11,"")</f>
        <v/>
      </c>
      <c r="E5" s="127" t="str">
        <f>IF(AND(D5&lt;&gt;"",D5&lt;&gt;"STOP"),GlobBerMedDisc!H4&amp;" "&amp;GlobBerMedDisc!F4,"")</f>
        <v/>
      </c>
      <c r="F5" s="127" t="str">
        <f>IF(AND(D5&lt;&gt;"",D5&lt;&gt;"STOP"),GlobBerMedDisc!L4," ")</f>
        <v xml:space="preserve"> </v>
      </c>
      <c r="G5" s="127" t="str">
        <f>IF(GlobGuiMedDisc!N11&lt;&gt;"",GlobGuiMedDisc!N11&amp;" "&amp;GlobGuiMedDisc!O11&amp;" "&amp;INDEX(GlobBerMedDisc!$B$27:$B$30,GlobBerMedDisc!O4,1)&amp;" in "&amp;GlobGuiMedDisc!$R$11,"")</f>
        <v/>
      </c>
      <c r="H5" s="93" t="str">
        <f>IF(OR($D5="1 dd",$D5="2 dd",$D5="3 dd",$D5="4 dd",$D5="6 dd",$D5="8 dd",$D5="12 dd",$D5="an",$D5="1 X"),VLOOKUP($D5,PedTblTijden!$A$16:$X$26,PedTblTijden!B$14,FALSE),"")</f>
        <v/>
      </c>
      <c r="I5" s="12" t="str">
        <f>IF(OR($D5="1 dd",$D5="2 dd",$D5="3 dd",$D5="4 dd",$D5="6 dd",$D5="8 dd",$D5="12 dd",$D5="an",$D5="1 X"),VLOOKUP($D5,PedTblTijden!$A$16:$X$26,PedTblTijden!C$14,FALSE),"")</f>
        <v/>
      </c>
      <c r="J5" s="93" t="str">
        <f>IF(OR($D5="1 dd",$D5="2 dd",$D5="3 dd",$D5="4 dd",$D5="6 dd",$D5="8 dd",$D5="12 dd",$D5="an",$D5="1 X"),VLOOKUP($D5,PedTblTijden!$A$16:$X$26,PedTblTijden!D$14,FALSE),"")</f>
        <v/>
      </c>
      <c r="K5" s="12" t="str">
        <f>IF(OR($D5="1 dd",$D5="2 dd",$D5="3 dd",$D5="4 dd",$D5="6 dd",$D5="8 dd",$D5="12 dd",$D5="an",$D5="1 X"),VLOOKUP($D5,PedTblTijden!$A$16:$X$26,PedTblTijden!E$14,FALSE),"")</f>
        <v/>
      </c>
      <c r="L5" s="93" t="str">
        <f>IF(OR($D5="1 dd",$D5="2 dd",$D5="3 dd",$D5="4 dd",$D5="6 dd",$D5="8 dd",$D5="12 dd",$D5="an",$D5="1 X"),VLOOKUP($D5,PedTblTijden!$A$16:$X$26,PedTblTijden!F$14,FALSE),"")</f>
        <v/>
      </c>
      <c r="M5" s="12" t="str">
        <f>IF(OR($D5="1 dd",$D5="2 dd",$D5="3 dd",$D5="4 dd",$D5="6 dd",$D5="8 dd",$D5="12 dd",$D5="an",$D5="1 X"),VLOOKUP($D5,PedTblTijden!$A$16:$X$26,PedTblTijden!G$14,FALSE),"")</f>
        <v/>
      </c>
      <c r="N5" s="93" t="str">
        <f>IF(OR($D5="1 dd",$D5="2 dd",$D5="3 dd",$D5="4 dd",$D5="6 dd",$D5="8 dd",$D5="12 dd",$D5="an",$D5="1 X"),VLOOKUP($D5,PedTblTijden!$A$16:$X$26,PedTblTijden!H$14,FALSE),"")</f>
        <v/>
      </c>
      <c r="O5" s="12" t="str">
        <f>IF(OR($D5="1 dd",$D5="2 dd",$D5="3 dd",$D5="4 dd",$D5="6 dd",$D5="8 dd",$D5="12 dd",$D5="an",$D5="1 X"),VLOOKUP($D5,PedTblTijden!$A$16:$X$26,PedTblTijden!I$14,FALSE),"")</f>
        <v/>
      </c>
      <c r="P5" s="93" t="str">
        <f>IF(OR($D5="1 dd",$D5="2 dd",$D5="3 dd",$D5="4 dd",$D5="6 dd",$D5="8 dd",$D5="12 dd",$D5="an",$D5="1 X"),VLOOKUP($D5,PedTblTijden!$A$16:$X$26,PedTblTijden!J$14,FALSE),"")</f>
        <v/>
      </c>
      <c r="Q5" s="12" t="str">
        <f>IF(OR($D5="1 dd",$D5="2 dd",$D5="3 dd",$D5="4 dd",$D5="6 dd",$D5="8 dd",$D5="12 dd",$D5="an",$D5="1 X"),VLOOKUP($D5,PedTblTijden!$A$16:$X$26,PedTblTijden!K$14,FALSE),"")</f>
        <v/>
      </c>
      <c r="R5" s="93" t="str">
        <f>IF(OR($D5="1 dd",$D5="2 dd",$D5="3 dd",$D5="4 dd",$D5="6 dd",$D5="8 dd",$D5="12 dd",$D5="an",$D5="1 X"),VLOOKUP($D5,PedTblTijden!$A$16:$X$26,PedTblTijden!L$14,FALSE),"")</f>
        <v/>
      </c>
      <c r="S5" s="12" t="str">
        <f>IF(OR($D5="1 dd",$D5="2 dd",$D5="3 dd",$D5="4 dd",$D5="6 dd",$D5="8 dd",$D5="12 dd",$D5="an",$D5="1 X"),VLOOKUP($D5,PedTblTijden!$A$16:$X$26,PedTblTijden!M$14,FALSE),"")</f>
        <v/>
      </c>
      <c r="T5" s="93" t="str">
        <f>IF(OR($D5="1 dd",$D5="2 dd",$D5="3 dd",$D5="4 dd",$D5="6 dd",$D5="8 dd",$D5="12 dd",$D5="an",$D5="1 X"),VLOOKUP($D5,PedTblTijden!$A$16:$X$26,PedTblTijden!N$14,FALSE),"")</f>
        <v/>
      </c>
      <c r="U5" s="12" t="str">
        <f>IF(OR($D5="1 dd",$D5="2 dd",$D5="3 dd",$D5="4 dd",$D5="6 dd",$D5="8 dd",$D5="12 dd",$D5="an",$D5="1 X"),VLOOKUP($D5,PedTblTijden!$A$16:$X$26,PedTblTijden!O$14,FALSE),"")</f>
        <v/>
      </c>
      <c r="V5" s="93" t="str">
        <f>IF(OR($D5="1 dd",$D5="2 dd",$D5="3 dd",$D5="4 dd",$D5="6 dd",$D5="8 dd",$D5="12 dd",$D5="an",$D5="1 X"),VLOOKUP($D5,PedTblTijden!$A$16:$X$26,PedTblTijden!P$14,FALSE),"")</f>
        <v/>
      </c>
      <c r="W5" s="12" t="str">
        <f>IF(OR($D5="1 dd",$D5="2 dd",$D5="3 dd",$D5="4 dd",$D5="6 dd",$D5="8 dd",$D5="12 dd",$D5="an",$D5="1 X"),VLOOKUP($D5,PedTblTijden!$A$16:$X$26,PedTblTijden!Q$14,FALSE),"")</f>
        <v/>
      </c>
      <c r="X5" s="93" t="str">
        <f>IF(OR($D5="1 dd",$D5="2 dd",$D5="3 dd",$D5="4 dd",$D5="6 dd",$D5="8 dd",$D5="12 dd",$D5="an",$D5="1 X"),VLOOKUP($D5,PedTblTijden!$A$16:$X$26,PedTblTijden!R$14,FALSE),"")</f>
        <v/>
      </c>
      <c r="Y5" s="12" t="str">
        <f>IF(OR($D5="1 dd",$D5="2 dd",$D5="3 dd",$D5="4 dd",$D5="6 dd",$D5="8 dd",$D5="12 dd",$D5="an",$D5="1 X"),VLOOKUP($D5,PedTblTijden!$A$16:$X$26,PedTblTijden!S$14,FALSE),"")</f>
        <v/>
      </c>
      <c r="Z5" s="93" t="str">
        <f>IF(OR($D5="1 dd",$D5="2 dd",$D5="3 dd",$D5="4 dd",$D5="6 dd",$D5="8 dd",$D5="12 dd",$D5="an",$D5="1 X"),VLOOKUP($D5,PedTblTijden!$A$16:$X$26,PedTblTijden!T$14,FALSE),"")</f>
        <v/>
      </c>
      <c r="AA5" s="12" t="str">
        <f>IF(OR($D5="1 dd",$D5="2 dd",$D5="3 dd",$D5="4 dd",$D5="6 dd",$D5="8 dd",$D5="12 dd",$D5="an",$D5="1 X"),VLOOKUP($D5,PedTblTijden!$A$16:$X$26,PedTblTijden!U$14,FALSE),"")</f>
        <v/>
      </c>
      <c r="AB5" s="93" t="str">
        <f>IF(OR($D5="1 dd",$D5="2 dd",$D5="3 dd",$D5="4 dd",$D5="6 dd",$D5="8 dd",$D5="12 dd",$D5="an",$D5="1 X"),VLOOKUP($D5,PedTblTijden!$A$16:$X$26,PedTblTijden!V$14,FALSE),"")</f>
        <v/>
      </c>
      <c r="AC5" s="12" t="str">
        <f>IF(OR($D5="1 dd",$D5="2 dd",$D5="3 dd",$D5="4 dd",$D5="6 dd",$D5="8 dd",$D5="12 dd",$D5="an",$D5="1 X"),VLOOKUP($D5,PedTblTijden!$A$16:$X$26,PedTblTijden!W$14,FALSE),"")</f>
        <v/>
      </c>
      <c r="AD5" s="93" t="str">
        <f>IF(OR($D5="1 dd",$D5="2 dd",$D5="3 dd",$D5="4 dd",$D5="6 dd",$D5="8 dd",$D5="12 dd",$D5="an",$D5="1 X"),VLOOKUP($D5,PedTblTijden!$A$16:$X$26,PedTblTijden!X$14,FALSE),"")</f>
        <v/>
      </c>
      <c r="AE5" s="14"/>
      <c r="AF5" s="92"/>
      <c r="AG5" s="14"/>
    </row>
    <row r="6" spans="1:33" ht="26.1" customHeight="1" x14ac:dyDescent="0.2">
      <c r="A6" s="356"/>
      <c r="B6" s="94"/>
      <c r="C6" s="125" t="str">
        <f>IF(GlobBerMedDisc!C5&lt;&gt;"",IF(GlobBerMedDisc!C5&gt;1,TRIM(GlobBerMedDisc!C5)&amp;", "&amp;GlobBerOpm!#REF!&amp;" ("&amp;GlobBerMedDisc!M5&amp;" "&amp;GlobBerMedDisc!F5&amp;"/kg/dag)",TRIM(GlobBerMedDisc!C5)&amp;", "&amp;GlobBerOpm!#REF!),"")</f>
        <v/>
      </c>
      <c r="D6" s="126" t="str">
        <f>IF(GlobGuiMedDisc!I12&lt;&gt;"",GlobGuiMedDisc!I12,"")</f>
        <v/>
      </c>
      <c r="E6" s="127" t="str">
        <f>IF(AND(D6&lt;&gt;"",D6&lt;&gt;"STOP"),GlobBerMedDisc!H5&amp;" "&amp;GlobBerMedDisc!F5,"")</f>
        <v/>
      </c>
      <c r="F6" s="127" t="str">
        <f>IF(AND(D6&lt;&gt;"",D6&lt;&gt;"STOP"),GlobBerMedDisc!L5," ")</f>
        <v xml:space="preserve"> </v>
      </c>
      <c r="G6" s="127" t="str">
        <f>IF(GlobGuiMedDisc!N12&lt;&gt;"",GlobGuiMedDisc!N12&amp;" "&amp;GlobGuiMedDisc!O12&amp;" "&amp;INDEX(GlobBerMedDisc!$B$27:$B$30,GlobBerMedDisc!O5,1)&amp;" in "&amp;GlobGuiMedDisc!$R$12,"")</f>
        <v/>
      </c>
      <c r="H6" s="93" t="str">
        <f>IF(OR($D6="1 dd",$D6="2 dd",$D6="3 dd",$D6="4 dd",$D6="6 dd",$D6="8 dd",$D6="12 dd",$D6="an",$D6="1 X"),VLOOKUP($D6,PedTblTijden!$A$16:$X$26,PedTblTijden!B$14,FALSE),"")</f>
        <v/>
      </c>
      <c r="I6" s="12" t="str">
        <f>IF(OR($D6="1 dd",$D6="2 dd",$D6="3 dd",$D6="4 dd",$D6="6 dd",$D6="8 dd",$D6="12 dd",$D6="an",$D6="1 X"),VLOOKUP($D6,PedTblTijden!$A$16:$X$26,PedTblTijden!C$14,FALSE),"")</f>
        <v/>
      </c>
      <c r="J6" s="93" t="str">
        <f>IF(OR($D6="1 dd",$D6="2 dd",$D6="3 dd",$D6="4 dd",$D6="6 dd",$D6="8 dd",$D6="12 dd",$D6="an",$D6="1 X"),VLOOKUP($D6,PedTblTijden!$A$16:$X$26,PedTblTijden!D$14,FALSE),"")</f>
        <v/>
      </c>
      <c r="K6" s="12" t="str">
        <f>IF(OR($D6="1 dd",$D6="2 dd",$D6="3 dd",$D6="4 dd",$D6="6 dd",$D6="8 dd",$D6="12 dd",$D6="an",$D6="1 X"),VLOOKUP($D6,PedTblTijden!$A$16:$X$26,PedTblTijden!E$14,FALSE),"")</f>
        <v/>
      </c>
      <c r="L6" s="93" t="str">
        <f>IF(OR($D6="1 dd",$D6="2 dd",$D6="3 dd",$D6="4 dd",$D6="6 dd",$D6="8 dd",$D6="12 dd",$D6="an",$D6="1 X"),VLOOKUP($D6,PedTblTijden!$A$16:$X$26,PedTblTijden!F$14,FALSE),"")</f>
        <v/>
      </c>
      <c r="M6" s="12" t="str">
        <f>IF(OR($D6="1 dd",$D6="2 dd",$D6="3 dd",$D6="4 dd",$D6="6 dd",$D6="8 dd",$D6="12 dd",$D6="an",$D6="1 X"),VLOOKUP($D6,PedTblTijden!$A$16:$X$26,PedTblTijden!G$14,FALSE),"")</f>
        <v/>
      </c>
      <c r="N6" s="93" t="str">
        <f>IF(OR($D6="1 dd",$D6="2 dd",$D6="3 dd",$D6="4 dd",$D6="6 dd",$D6="8 dd",$D6="12 dd",$D6="an",$D6="1 X"),VLOOKUP($D6,PedTblTijden!$A$16:$X$26,PedTblTijden!H$14,FALSE),"")</f>
        <v/>
      </c>
      <c r="O6" s="12" t="str">
        <f>IF(OR($D6="1 dd",$D6="2 dd",$D6="3 dd",$D6="4 dd",$D6="6 dd",$D6="8 dd",$D6="12 dd",$D6="an",$D6="1 X"),VLOOKUP($D6,PedTblTijden!$A$16:$X$26,PedTblTijden!I$14,FALSE),"")</f>
        <v/>
      </c>
      <c r="P6" s="93" t="str">
        <f>IF(OR($D6="1 dd",$D6="2 dd",$D6="3 dd",$D6="4 dd",$D6="6 dd",$D6="8 dd",$D6="12 dd",$D6="an",$D6="1 X"),VLOOKUP($D6,PedTblTijden!$A$16:$X$26,PedTblTijden!J$14,FALSE),"")</f>
        <v/>
      </c>
      <c r="Q6" s="12" t="str">
        <f>IF(OR($D6="1 dd",$D6="2 dd",$D6="3 dd",$D6="4 dd",$D6="6 dd",$D6="8 dd",$D6="12 dd",$D6="an",$D6="1 X"),VLOOKUP($D6,PedTblTijden!$A$16:$X$26,PedTblTijden!K$14,FALSE),"")</f>
        <v/>
      </c>
      <c r="R6" s="93" t="str">
        <f>IF(OR($D6="1 dd",$D6="2 dd",$D6="3 dd",$D6="4 dd",$D6="6 dd",$D6="8 dd",$D6="12 dd",$D6="an",$D6="1 X"),VLOOKUP($D6,PedTblTijden!$A$16:$X$26,PedTblTijden!L$14,FALSE),"")</f>
        <v/>
      </c>
      <c r="S6" s="12" t="str">
        <f>IF(OR($D6="1 dd",$D6="2 dd",$D6="3 dd",$D6="4 dd",$D6="6 dd",$D6="8 dd",$D6="12 dd",$D6="an",$D6="1 X"),VLOOKUP($D6,PedTblTijden!$A$16:$X$26,PedTblTijden!M$14,FALSE),"")</f>
        <v/>
      </c>
      <c r="T6" s="93" t="str">
        <f>IF(OR($D6="1 dd",$D6="2 dd",$D6="3 dd",$D6="4 dd",$D6="6 dd",$D6="8 dd",$D6="12 dd",$D6="an",$D6="1 X"),VLOOKUP($D6,PedTblTijden!$A$16:$X$26,PedTblTijden!N$14,FALSE),"")</f>
        <v/>
      </c>
      <c r="U6" s="12" t="str">
        <f>IF(OR($D6="1 dd",$D6="2 dd",$D6="3 dd",$D6="4 dd",$D6="6 dd",$D6="8 dd",$D6="12 dd",$D6="an",$D6="1 X"),VLOOKUP($D6,PedTblTijden!$A$16:$X$26,PedTblTijden!O$14,FALSE),"")</f>
        <v/>
      </c>
      <c r="V6" s="93" t="str">
        <f>IF(OR($D6="1 dd",$D6="2 dd",$D6="3 dd",$D6="4 dd",$D6="6 dd",$D6="8 dd",$D6="12 dd",$D6="an",$D6="1 X"),VLOOKUP($D6,PedTblTijden!$A$16:$X$26,PedTblTijden!P$14,FALSE),"")</f>
        <v/>
      </c>
      <c r="W6" s="12" t="str">
        <f>IF(OR($D6="1 dd",$D6="2 dd",$D6="3 dd",$D6="4 dd",$D6="6 dd",$D6="8 dd",$D6="12 dd",$D6="an",$D6="1 X"),VLOOKUP($D6,PedTblTijden!$A$16:$X$26,PedTblTijden!Q$14,FALSE),"")</f>
        <v/>
      </c>
      <c r="X6" s="93" t="str">
        <f>IF(OR($D6="1 dd",$D6="2 dd",$D6="3 dd",$D6="4 dd",$D6="6 dd",$D6="8 dd",$D6="12 dd",$D6="an",$D6="1 X"),VLOOKUP($D6,PedTblTijden!$A$16:$X$26,PedTblTijden!R$14,FALSE),"")</f>
        <v/>
      </c>
      <c r="Y6" s="12" t="str">
        <f>IF(OR($D6="1 dd",$D6="2 dd",$D6="3 dd",$D6="4 dd",$D6="6 dd",$D6="8 dd",$D6="12 dd",$D6="an",$D6="1 X"),VLOOKUP($D6,PedTblTijden!$A$16:$X$26,PedTblTijden!S$14,FALSE),"")</f>
        <v/>
      </c>
      <c r="Z6" s="93" t="str">
        <f>IF(OR($D6="1 dd",$D6="2 dd",$D6="3 dd",$D6="4 dd",$D6="6 dd",$D6="8 dd",$D6="12 dd",$D6="an",$D6="1 X"),VLOOKUP($D6,PedTblTijden!$A$16:$X$26,PedTblTijden!T$14,FALSE),"")</f>
        <v/>
      </c>
      <c r="AA6" s="12" t="str">
        <f>IF(OR($D6="1 dd",$D6="2 dd",$D6="3 dd",$D6="4 dd",$D6="6 dd",$D6="8 dd",$D6="12 dd",$D6="an",$D6="1 X"),VLOOKUP($D6,PedTblTijden!$A$16:$X$26,PedTblTijden!U$14,FALSE),"")</f>
        <v/>
      </c>
      <c r="AB6" s="93" t="str">
        <f>IF(OR($D6="1 dd",$D6="2 dd",$D6="3 dd",$D6="4 dd",$D6="6 dd",$D6="8 dd",$D6="12 dd",$D6="an",$D6="1 X"),VLOOKUP($D6,PedTblTijden!$A$16:$X$26,PedTblTijden!V$14,FALSE),"")</f>
        <v/>
      </c>
      <c r="AC6" s="12" t="str">
        <f>IF(OR($D6="1 dd",$D6="2 dd",$D6="3 dd",$D6="4 dd",$D6="6 dd",$D6="8 dd",$D6="12 dd",$D6="an",$D6="1 X"),VLOOKUP($D6,PedTblTijden!$A$16:$X$26,PedTblTijden!W$14,FALSE),"")</f>
        <v/>
      </c>
      <c r="AD6" s="93" t="str">
        <f>IF(OR($D6="1 dd",$D6="2 dd",$D6="3 dd",$D6="4 dd",$D6="6 dd",$D6="8 dd",$D6="12 dd",$D6="an",$D6="1 X"),VLOOKUP($D6,PedTblTijden!$A$16:$X$26,PedTblTijden!X$14,FALSE),"")</f>
        <v/>
      </c>
      <c r="AE6" s="14"/>
      <c r="AF6" s="92"/>
      <c r="AG6" s="14"/>
    </row>
    <row r="7" spans="1:33" ht="26.1" customHeight="1" x14ac:dyDescent="0.2">
      <c r="B7" s="94"/>
      <c r="C7" s="125" t="str">
        <f>IF(GlobBerMedDisc!C6&lt;&gt;"",IF(GlobBerMedDisc!C6&gt;1,TRIM(GlobBerMedDisc!C6)&amp;", "&amp;GlobBerOpm!#REF!&amp;" ("&amp;GlobBerMedDisc!M6&amp;" "&amp;GlobBerMedDisc!F6&amp;"/kg/dag)",TRIM(GlobBerMedDisc!C6)&amp;", "&amp;GlobBerOpm!#REF!),"")</f>
        <v/>
      </c>
      <c r="D7" s="126" t="str">
        <f>IF(GlobGuiMedDisc!I13&lt;&gt;"",GlobGuiMedDisc!I13,"")</f>
        <v/>
      </c>
      <c r="E7" s="127" t="str">
        <f>IF(AND(D7&lt;&gt;"",D7&lt;&gt;"STOP"),GlobBerMedDisc!H6&amp;" "&amp;GlobBerMedDisc!F6,"")</f>
        <v/>
      </c>
      <c r="F7" s="127" t="str">
        <f>IF(AND(D7&lt;&gt;"",D7&lt;&gt;"STOP"),GlobBerMedDisc!L6," ")</f>
        <v xml:space="preserve"> </v>
      </c>
      <c r="G7" s="127" t="str">
        <f>IF(GlobGuiMedDisc!N13&lt;&gt;"",GlobGuiMedDisc!N13&amp;" "&amp;GlobGuiMedDisc!O13&amp;" "&amp;INDEX(GlobBerMedDisc!$B$27:$B$30,GlobBerMedDisc!O6,1)&amp;" in "&amp;GlobGuiMedDisc!$R$13,"")</f>
        <v/>
      </c>
      <c r="H7" s="93" t="str">
        <f>IF(OR($D7="1 dd",$D7="2 dd",$D7="3 dd",$D7="4 dd",$D7="6 dd",$D7="8 dd",$D7="12 dd",$D7="an",$D7="1 X"),VLOOKUP($D7,PedTblTijden!$A$16:$X$26,PedTblTijden!B$14,FALSE),"")</f>
        <v/>
      </c>
      <c r="I7" s="12" t="str">
        <f>IF(OR($D7="1 dd",$D7="2 dd",$D7="3 dd",$D7="4 dd",$D7="6 dd",$D7="8 dd",$D7="12 dd",$D7="an",$D7="1 X"),VLOOKUP($D7,PedTblTijden!$A$16:$X$26,PedTblTijden!C$14,FALSE),"")</f>
        <v/>
      </c>
      <c r="J7" s="93" t="str">
        <f>IF(OR($D7="1 dd",$D7="2 dd",$D7="3 dd",$D7="4 dd",$D7="6 dd",$D7="8 dd",$D7="12 dd",$D7="an",$D7="1 X"),VLOOKUP($D7,PedTblTijden!$A$16:$X$26,PedTblTijden!D$14,FALSE),"")</f>
        <v/>
      </c>
      <c r="K7" s="12" t="str">
        <f>IF(OR($D7="1 dd",$D7="2 dd",$D7="3 dd",$D7="4 dd",$D7="6 dd",$D7="8 dd",$D7="12 dd",$D7="an",$D7="1 X"),VLOOKUP($D7,PedTblTijden!$A$16:$X$26,PedTblTijden!E$14,FALSE),"")</f>
        <v/>
      </c>
      <c r="L7" s="93" t="str">
        <f>IF(OR($D7="1 dd",$D7="2 dd",$D7="3 dd",$D7="4 dd",$D7="6 dd",$D7="8 dd",$D7="12 dd",$D7="an",$D7="1 X"),VLOOKUP($D7,PedTblTijden!$A$16:$X$26,PedTblTijden!F$14,FALSE),"")</f>
        <v/>
      </c>
      <c r="M7" s="12" t="str">
        <f>IF(OR($D7="1 dd",$D7="2 dd",$D7="3 dd",$D7="4 dd",$D7="6 dd",$D7="8 dd",$D7="12 dd",$D7="an",$D7="1 X"),VLOOKUP($D7,PedTblTijden!$A$16:$X$26,PedTblTijden!G$14,FALSE),"")</f>
        <v/>
      </c>
      <c r="N7" s="93" t="str">
        <f>IF(OR($D7="1 dd",$D7="2 dd",$D7="3 dd",$D7="4 dd",$D7="6 dd",$D7="8 dd",$D7="12 dd",$D7="an",$D7="1 X"),VLOOKUP($D7,PedTblTijden!$A$16:$X$26,PedTblTijden!H$14,FALSE),"")</f>
        <v/>
      </c>
      <c r="O7" s="12" t="str">
        <f>IF(OR($D7="1 dd",$D7="2 dd",$D7="3 dd",$D7="4 dd",$D7="6 dd",$D7="8 dd",$D7="12 dd",$D7="an",$D7="1 X"),VLOOKUP($D7,PedTblTijden!$A$16:$X$26,PedTblTijden!I$14,FALSE),"")</f>
        <v/>
      </c>
      <c r="P7" s="93" t="str">
        <f>IF(OR($D7="1 dd",$D7="2 dd",$D7="3 dd",$D7="4 dd",$D7="6 dd",$D7="8 dd",$D7="12 dd",$D7="an",$D7="1 X"),VLOOKUP($D7,PedTblTijden!$A$16:$X$26,PedTblTijden!J$14,FALSE),"")</f>
        <v/>
      </c>
      <c r="Q7" s="12" t="str">
        <f>IF(OR($D7="1 dd",$D7="2 dd",$D7="3 dd",$D7="4 dd",$D7="6 dd",$D7="8 dd",$D7="12 dd",$D7="an",$D7="1 X"),VLOOKUP($D7,PedTblTijden!$A$16:$X$26,PedTblTijden!K$14,FALSE),"")</f>
        <v/>
      </c>
      <c r="R7" s="93" t="str">
        <f>IF(OR($D7="1 dd",$D7="2 dd",$D7="3 dd",$D7="4 dd",$D7="6 dd",$D7="8 dd",$D7="12 dd",$D7="an",$D7="1 X"),VLOOKUP($D7,PedTblTijden!$A$16:$X$26,PedTblTijden!L$14,FALSE),"")</f>
        <v/>
      </c>
      <c r="S7" s="12" t="str">
        <f>IF(OR($D7="1 dd",$D7="2 dd",$D7="3 dd",$D7="4 dd",$D7="6 dd",$D7="8 dd",$D7="12 dd",$D7="an",$D7="1 X"),VLOOKUP($D7,PedTblTijden!$A$16:$X$26,PedTblTijden!M$14,FALSE),"")</f>
        <v/>
      </c>
      <c r="T7" s="93" t="str">
        <f>IF(OR($D7="1 dd",$D7="2 dd",$D7="3 dd",$D7="4 dd",$D7="6 dd",$D7="8 dd",$D7="12 dd",$D7="an",$D7="1 X"),VLOOKUP($D7,PedTblTijden!$A$16:$X$26,PedTblTijden!N$14,FALSE),"")</f>
        <v/>
      </c>
      <c r="U7" s="12" t="str">
        <f>IF(OR($D7="1 dd",$D7="2 dd",$D7="3 dd",$D7="4 dd",$D7="6 dd",$D7="8 dd",$D7="12 dd",$D7="an",$D7="1 X"),VLOOKUP($D7,PedTblTijden!$A$16:$X$26,PedTblTijden!O$14,FALSE),"")</f>
        <v/>
      </c>
      <c r="V7" s="93" t="str">
        <f>IF(OR($D7="1 dd",$D7="2 dd",$D7="3 dd",$D7="4 dd",$D7="6 dd",$D7="8 dd",$D7="12 dd",$D7="an",$D7="1 X"),VLOOKUP($D7,PedTblTijden!$A$16:$X$26,PedTblTijden!P$14,FALSE),"")</f>
        <v/>
      </c>
      <c r="W7" s="12" t="str">
        <f>IF(OR($D7="1 dd",$D7="2 dd",$D7="3 dd",$D7="4 dd",$D7="6 dd",$D7="8 dd",$D7="12 dd",$D7="an",$D7="1 X"),VLOOKUP($D7,PedTblTijden!$A$16:$X$26,PedTblTijden!Q$14,FALSE),"")</f>
        <v/>
      </c>
      <c r="X7" s="93" t="str">
        <f>IF(OR($D7="1 dd",$D7="2 dd",$D7="3 dd",$D7="4 dd",$D7="6 dd",$D7="8 dd",$D7="12 dd",$D7="an",$D7="1 X"),VLOOKUP($D7,PedTblTijden!$A$16:$X$26,PedTblTijden!R$14,FALSE),"")</f>
        <v/>
      </c>
      <c r="Y7" s="12" t="str">
        <f>IF(OR($D7="1 dd",$D7="2 dd",$D7="3 dd",$D7="4 dd",$D7="6 dd",$D7="8 dd",$D7="12 dd",$D7="an",$D7="1 X"),VLOOKUP($D7,PedTblTijden!$A$16:$X$26,PedTblTijden!S$14,FALSE),"")</f>
        <v/>
      </c>
      <c r="Z7" s="93" t="str">
        <f>IF(OR($D7="1 dd",$D7="2 dd",$D7="3 dd",$D7="4 dd",$D7="6 dd",$D7="8 dd",$D7="12 dd",$D7="an",$D7="1 X"),VLOOKUP($D7,PedTblTijden!$A$16:$X$26,PedTblTijden!T$14,FALSE),"")</f>
        <v/>
      </c>
      <c r="AA7" s="12" t="str">
        <f>IF(OR($D7="1 dd",$D7="2 dd",$D7="3 dd",$D7="4 dd",$D7="6 dd",$D7="8 dd",$D7="12 dd",$D7="an",$D7="1 X"),VLOOKUP($D7,PedTblTijden!$A$16:$X$26,PedTblTijden!U$14,FALSE),"")</f>
        <v/>
      </c>
      <c r="AB7" s="93" t="str">
        <f>IF(OR($D7="1 dd",$D7="2 dd",$D7="3 dd",$D7="4 dd",$D7="6 dd",$D7="8 dd",$D7="12 dd",$D7="an",$D7="1 X"),VLOOKUP($D7,PedTblTijden!$A$16:$X$26,PedTblTijden!V$14,FALSE),"")</f>
        <v/>
      </c>
      <c r="AC7" s="12" t="str">
        <f>IF(OR($D7="1 dd",$D7="2 dd",$D7="3 dd",$D7="4 dd",$D7="6 dd",$D7="8 dd",$D7="12 dd",$D7="an",$D7="1 X"),VLOOKUP($D7,PedTblTijden!$A$16:$X$26,PedTblTijden!W$14,FALSE),"")</f>
        <v/>
      </c>
      <c r="AD7" s="93" t="str">
        <f>IF(OR($D7="1 dd",$D7="2 dd",$D7="3 dd",$D7="4 dd",$D7="6 dd",$D7="8 dd",$D7="12 dd",$D7="an",$D7="1 X"),VLOOKUP($D7,PedTblTijden!$A$16:$X$26,PedTblTijden!X$14,FALSE),"")</f>
        <v/>
      </c>
      <c r="AE7" s="14"/>
      <c r="AF7" s="92"/>
      <c r="AG7" s="14"/>
    </row>
    <row r="8" spans="1:33" ht="26.1" customHeight="1" x14ac:dyDescent="0.2">
      <c r="B8" s="94"/>
      <c r="C8" s="125" t="str">
        <f>IF(GlobBerMedDisc!C7&lt;&gt;"",IF(GlobBerMedDisc!C7&gt;1,TRIM(GlobBerMedDisc!C7)&amp;", "&amp;GlobBerOpm!#REF!&amp;" ("&amp;GlobBerMedDisc!M7&amp;" "&amp;GlobBerMedDisc!F7&amp;"/kg/dag)",TRIM(GlobBerMedDisc!C7)&amp;", "&amp;GlobBerOpm!#REF!),"")</f>
        <v/>
      </c>
      <c r="D8" s="126" t="str">
        <f>IF(GlobGuiMedDisc!I14&lt;&gt;"",GlobGuiMedDisc!I14,"")</f>
        <v/>
      </c>
      <c r="E8" s="127" t="str">
        <f>IF(AND(D8&lt;&gt;"",D8&lt;&gt;"STOP"),GlobBerMedDisc!H7&amp;" "&amp;GlobBerMedDisc!F7,"")</f>
        <v/>
      </c>
      <c r="F8" s="127" t="str">
        <f>IF(AND(D8&lt;&gt;"",D8&lt;&gt;"STOP"),GlobBerMedDisc!L7," ")</f>
        <v xml:space="preserve"> </v>
      </c>
      <c r="G8" s="127" t="str">
        <f>IF(GlobGuiMedDisc!N14&lt;&gt;"",GlobGuiMedDisc!N14&amp;" "&amp;GlobGuiMedDisc!O14&amp;" "&amp;INDEX(GlobBerMedDisc!$B$27:$B$30,GlobBerMedDisc!O7,1)&amp;" in "&amp;GlobGuiMedDisc!$R$14,"")</f>
        <v/>
      </c>
      <c r="H8" s="93" t="str">
        <f>IF(OR($D8="1 dd",$D8="2 dd",$D8="3 dd",$D8="4 dd",$D8="6 dd",$D8="8 dd",$D8="12 dd",$D8="an",$D8="1 X"),VLOOKUP($D8,PedTblTijden!$A$16:$X$26,PedTblTijden!B$14,FALSE),"")</f>
        <v/>
      </c>
      <c r="I8" s="12" t="str">
        <f>IF(OR($D8="1 dd",$D8="2 dd",$D8="3 dd",$D8="4 dd",$D8="6 dd",$D8="8 dd",$D8="12 dd",$D8="an",$D8="1 X"),VLOOKUP($D8,PedTblTijden!$A$16:$X$26,PedTblTijden!C$14,FALSE),"")</f>
        <v/>
      </c>
      <c r="J8" s="93" t="str">
        <f>IF(OR($D8="1 dd",$D8="2 dd",$D8="3 dd",$D8="4 dd",$D8="6 dd",$D8="8 dd",$D8="12 dd",$D8="an",$D8="1 X"),VLOOKUP($D8,PedTblTijden!$A$16:$X$26,PedTblTijden!D$14,FALSE),"")</f>
        <v/>
      </c>
      <c r="K8" s="12" t="str">
        <f>IF(OR($D8="1 dd",$D8="2 dd",$D8="3 dd",$D8="4 dd",$D8="6 dd",$D8="8 dd",$D8="12 dd",$D8="an",$D8="1 X"),VLOOKUP($D8,PedTblTijden!$A$16:$X$26,PedTblTijden!E$14,FALSE),"")</f>
        <v/>
      </c>
      <c r="L8" s="93" t="str">
        <f>IF(OR($D8="1 dd",$D8="2 dd",$D8="3 dd",$D8="4 dd",$D8="6 dd",$D8="8 dd",$D8="12 dd",$D8="an",$D8="1 X"),VLOOKUP($D8,PedTblTijden!$A$16:$X$26,PedTblTijden!F$14,FALSE),"")</f>
        <v/>
      </c>
      <c r="M8" s="12" t="str">
        <f>IF(OR($D8="1 dd",$D8="2 dd",$D8="3 dd",$D8="4 dd",$D8="6 dd",$D8="8 dd",$D8="12 dd",$D8="an",$D8="1 X"),VLOOKUP($D8,PedTblTijden!$A$16:$X$26,PedTblTijden!G$14,FALSE),"")</f>
        <v/>
      </c>
      <c r="N8" s="93" t="str">
        <f>IF(OR($D8="1 dd",$D8="2 dd",$D8="3 dd",$D8="4 dd",$D8="6 dd",$D8="8 dd",$D8="12 dd",$D8="an",$D8="1 X"),VLOOKUP($D8,PedTblTijden!$A$16:$X$26,PedTblTijden!H$14,FALSE),"")</f>
        <v/>
      </c>
      <c r="O8" s="12" t="str">
        <f>IF(OR($D8="1 dd",$D8="2 dd",$D8="3 dd",$D8="4 dd",$D8="6 dd",$D8="8 dd",$D8="12 dd",$D8="an",$D8="1 X"),VLOOKUP($D8,PedTblTijden!$A$16:$X$26,PedTblTijden!I$14,FALSE),"")</f>
        <v/>
      </c>
      <c r="P8" s="93" t="str">
        <f>IF(OR($D8="1 dd",$D8="2 dd",$D8="3 dd",$D8="4 dd",$D8="6 dd",$D8="8 dd",$D8="12 dd",$D8="an",$D8="1 X"),VLOOKUP($D8,PedTblTijden!$A$16:$X$26,PedTblTijden!J$14,FALSE),"")</f>
        <v/>
      </c>
      <c r="Q8" s="12" t="str">
        <f>IF(OR($D8="1 dd",$D8="2 dd",$D8="3 dd",$D8="4 dd",$D8="6 dd",$D8="8 dd",$D8="12 dd",$D8="an",$D8="1 X"),VLOOKUP($D8,PedTblTijden!$A$16:$X$26,PedTblTijden!K$14,FALSE),"")</f>
        <v/>
      </c>
      <c r="R8" s="93" t="str">
        <f>IF(OR($D8="1 dd",$D8="2 dd",$D8="3 dd",$D8="4 dd",$D8="6 dd",$D8="8 dd",$D8="12 dd",$D8="an",$D8="1 X"),VLOOKUP($D8,PedTblTijden!$A$16:$X$26,PedTblTijden!L$14,FALSE),"")</f>
        <v/>
      </c>
      <c r="S8" s="12" t="str">
        <f>IF(OR($D8="1 dd",$D8="2 dd",$D8="3 dd",$D8="4 dd",$D8="6 dd",$D8="8 dd",$D8="12 dd",$D8="an",$D8="1 X"),VLOOKUP($D8,PedTblTijden!$A$16:$X$26,PedTblTijden!M$14,FALSE),"")</f>
        <v/>
      </c>
      <c r="T8" s="93" t="str">
        <f>IF(OR($D8="1 dd",$D8="2 dd",$D8="3 dd",$D8="4 dd",$D8="6 dd",$D8="8 dd",$D8="12 dd",$D8="an",$D8="1 X"),VLOOKUP($D8,PedTblTijden!$A$16:$X$26,PedTblTijden!N$14,FALSE),"")</f>
        <v/>
      </c>
      <c r="U8" s="12" t="str">
        <f>IF(OR($D8="1 dd",$D8="2 dd",$D8="3 dd",$D8="4 dd",$D8="6 dd",$D8="8 dd",$D8="12 dd",$D8="an",$D8="1 X"),VLOOKUP($D8,PedTblTijden!$A$16:$X$26,PedTblTijden!O$14,FALSE),"")</f>
        <v/>
      </c>
      <c r="V8" s="93" t="str">
        <f>IF(OR($D8="1 dd",$D8="2 dd",$D8="3 dd",$D8="4 dd",$D8="6 dd",$D8="8 dd",$D8="12 dd",$D8="an",$D8="1 X"),VLOOKUP($D8,PedTblTijden!$A$16:$X$26,PedTblTijden!P$14,FALSE),"")</f>
        <v/>
      </c>
      <c r="W8" s="12" t="str">
        <f>IF(OR($D8="1 dd",$D8="2 dd",$D8="3 dd",$D8="4 dd",$D8="6 dd",$D8="8 dd",$D8="12 dd",$D8="an",$D8="1 X"),VLOOKUP($D8,PedTblTijden!$A$16:$X$26,PedTblTijden!Q$14,FALSE),"")</f>
        <v/>
      </c>
      <c r="X8" s="93" t="str">
        <f>IF(OR($D8="1 dd",$D8="2 dd",$D8="3 dd",$D8="4 dd",$D8="6 dd",$D8="8 dd",$D8="12 dd",$D8="an",$D8="1 X"),VLOOKUP($D8,PedTblTijden!$A$16:$X$26,PedTblTijden!R$14,FALSE),"")</f>
        <v/>
      </c>
      <c r="Y8" s="12" t="str">
        <f>IF(OR($D8="1 dd",$D8="2 dd",$D8="3 dd",$D8="4 dd",$D8="6 dd",$D8="8 dd",$D8="12 dd",$D8="an",$D8="1 X"),VLOOKUP($D8,PedTblTijden!$A$16:$X$26,PedTblTijden!S$14,FALSE),"")</f>
        <v/>
      </c>
      <c r="Z8" s="93" t="str">
        <f>IF(OR($D8="1 dd",$D8="2 dd",$D8="3 dd",$D8="4 dd",$D8="6 dd",$D8="8 dd",$D8="12 dd",$D8="an",$D8="1 X"),VLOOKUP($D8,PedTblTijden!$A$16:$X$26,PedTblTijden!T$14,FALSE),"")</f>
        <v/>
      </c>
      <c r="AA8" s="12" t="str">
        <f>IF(OR($D8="1 dd",$D8="2 dd",$D8="3 dd",$D8="4 dd",$D8="6 dd",$D8="8 dd",$D8="12 dd",$D8="an",$D8="1 X"),VLOOKUP($D8,PedTblTijden!$A$16:$X$26,PedTblTijden!U$14,FALSE),"")</f>
        <v/>
      </c>
      <c r="AB8" s="93" t="str">
        <f>IF(OR($D8="1 dd",$D8="2 dd",$D8="3 dd",$D8="4 dd",$D8="6 dd",$D8="8 dd",$D8="12 dd",$D8="an",$D8="1 X"),VLOOKUP($D8,PedTblTijden!$A$16:$X$26,PedTblTijden!V$14,FALSE),"")</f>
        <v/>
      </c>
      <c r="AC8" s="12" t="str">
        <f>IF(OR($D8="1 dd",$D8="2 dd",$D8="3 dd",$D8="4 dd",$D8="6 dd",$D8="8 dd",$D8="12 dd",$D8="an",$D8="1 X"),VLOOKUP($D8,PedTblTijden!$A$16:$X$26,PedTblTijden!W$14,FALSE),"")</f>
        <v/>
      </c>
      <c r="AD8" s="93" t="str">
        <f>IF(OR($D8="1 dd",$D8="2 dd",$D8="3 dd",$D8="4 dd",$D8="6 dd",$D8="8 dd",$D8="12 dd",$D8="an",$D8="1 X"),VLOOKUP($D8,PedTblTijden!$A$16:$X$26,PedTblTijden!X$14,FALSE),"")</f>
        <v/>
      </c>
      <c r="AE8" s="14"/>
      <c r="AF8" s="92"/>
      <c r="AG8" s="14"/>
    </row>
    <row r="9" spans="1:33" ht="26.1" customHeight="1" x14ac:dyDescent="0.2">
      <c r="B9" s="94"/>
      <c r="C9" s="125" t="str">
        <f>IF(GlobBerMedDisc!C8&lt;&gt;"",IF(GlobBerMedDisc!C8&gt;1,TRIM(GlobBerMedDisc!C8)&amp;", "&amp;GlobBerOpm!#REF!&amp;" ("&amp;GlobBerMedDisc!M8&amp;" "&amp;GlobBerMedDisc!F8&amp;"/kg/dag)",TRIM(GlobBerMedDisc!C8)&amp;", "&amp;GlobBerOpm!#REF!),"")</f>
        <v/>
      </c>
      <c r="D9" s="126" t="str">
        <f>IF(GlobGuiMedDisc!I15&lt;&gt;"",GlobGuiMedDisc!I15,"")</f>
        <v/>
      </c>
      <c r="E9" s="127" t="str">
        <f>IF(AND(D9&lt;&gt;"",D9&lt;&gt;"STOP"),GlobBerMedDisc!H8&amp;" "&amp;GlobBerMedDisc!F8,"")</f>
        <v/>
      </c>
      <c r="F9" s="127" t="str">
        <f>IF(AND(D9&lt;&gt;"",D9&lt;&gt;"STOP"),GlobBerMedDisc!L8," ")</f>
        <v xml:space="preserve"> </v>
      </c>
      <c r="G9" s="127" t="str">
        <f>IF(GlobGuiMedDisc!N15&lt;&gt;"",GlobGuiMedDisc!N15&amp;" "&amp;GlobGuiMedDisc!O15&amp;" "&amp;INDEX(GlobBerMedDisc!$B$27:$B$30,GlobBerMedDisc!O8,1)&amp;" in "&amp;GlobGuiMedDisc!$R$15,"")</f>
        <v/>
      </c>
      <c r="H9" s="93" t="str">
        <f>IF(OR($D9="1 dd",$D9="2 dd",$D9="3 dd",$D9="4 dd",$D9="6 dd",$D9="8 dd",$D9="12 dd",$D9="an",$D9="1 X"),VLOOKUP($D9,PedTblTijden!$A$16:$X$26,PedTblTijden!B$14,FALSE),"")</f>
        <v/>
      </c>
      <c r="I9" s="12" t="str">
        <f>IF(OR($D9="1 dd",$D9="2 dd",$D9="3 dd",$D9="4 dd",$D9="6 dd",$D9="8 dd",$D9="12 dd",$D9="an",$D9="1 X"),VLOOKUP($D9,PedTblTijden!$A$16:$X$26,PedTblTijden!C$14,FALSE),"")</f>
        <v/>
      </c>
      <c r="J9" s="93" t="str">
        <f>IF(OR($D9="1 dd",$D9="2 dd",$D9="3 dd",$D9="4 dd",$D9="6 dd",$D9="8 dd",$D9="12 dd",$D9="an",$D9="1 X"),VLOOKUP($D9,PedTblTijden!$A$16:$X$26,PedTblTijden!D$14,FALSE),"")</f>
        <v/>
      </c>
      <c r="K9" s="12" t="str">
        <f>IF(OR($D9="1 dd",$D9="2 dd",$D9="3 dd",$D9="4 dd",$D9="6 dd",$D9="8 dd",$D9="12 dd",$D9="an",$D9="1 X"),VLOOKUP($D9,PedTblTijden!$A$16:$X$26,PedTblTijden!E$14,FALSE),"")</f>
        <v/>
      </c>
      <c r="L9" s="93" t="str">
        <f>IF(OR($D9="1 dd",$D9="2 dd",$D9="3 dd",$D9="4 dd",$D9="6 dd",$D9="8 dd",$D9="12 dd",$D9="an",$D9="1 X"),VLOOKUP($D9,PedTblTijden!$A$16:$X$26,PedTblTijden!F$14,FALSE),"")</f>
        <v/>
      </c>
      <c r="M9" s="12" t="str">
        <f>IF(OR($D9="1 dd",$D9="2 dd",$D9="3 dd",$D9="4 dd",$D9="6 dd",$D9="8 dd",$D9="12 dd",$D9="an",$D9="1 X"),VLOOKUP($D9,PedTblTijden!$A$16:$X$26,PedTblTijden!G$14,FALSE),"")</f>
        <v/>
      </c>
      <c r="N9" s="93" t="str">
        <f>IF(OR($D9="1 dd",$D9="2 dd",$D9="3 dd",$D9="4 dd",$D9="6 dd",$D9="8 dd",$D9="12 dd",$D9="an",$D9="1 X"),VLOOKUP($D9,PedTblTijden!$A$16:$X$26,PedTblTijden!H$14,FALSE),"")</f>
        <v/>
      </c>
      <c r="O9" s="12" t="str">
        <f>IF(OR($D9="1 dd",$D9="2 dd",$D9="3 dd",$D9="4 dd",$D9="6 dd",$D9="8 dd",$D9="12 dd",$D9="an",$D9="1 X"),VLOOKUP($D9,PedTblTijden!$A$16:$X$26,PedTblTijden!I$14,FALSE),"")</f>
        <v/>
      </c>
      <c r="P9" s="93" t="str">
        <f>IF(OR($D9="1 dd",$D9="2 dd",$D9="3 dd",$D9="4 dd",$D9="6 dd",$D9="8 dd",$D9="12 dd",$D9="an",$D9="1 X"),VLOOKUP($D9,PedTblTijden!$A$16:$X$26,PedTblTijden!J$14,FALSE),"")</f>
        <v/>
      </c>
      <c r="Q9" s="12" t="str">
        <f>IF(OR($D9="1 dd",$D9="2 dd",$D9="3 dd",$D9="4 dd",$D9="6 dd",$D9="8 dd",$D9="12 dd",$D9="an",$D9="1 X"),VLOOKUP($D9,PedTblTijden!$A$16:$X$26,PedTblTijden!K$14,FALSE),"")</f>
        <v/>
      </c>
      <c r="R9" s="93" t="str">
        <f>IF(OR($D9="1 dd",$D9="2 dd",$D9="3 dd",$D9="4 dd",$D9="6 dd",$D9="8 dd",$D9="12 dd",$D9="an",$D9="1 X"),VLOOKUP($D9,PedTblTijden!$A$16:$X$26,PedTblTijden!L$14,FALSE),"")</f>
        <v/>
      </c>
      <c r="S9" s="12" t="str">
        <f>IF(OR($D9="1 dd",$D9="2 dd",$D9="3 dd",$D9="4 dd",$D9="6 dd",$D9="8 dd",$D9="12 dd",$D9="an",$D9="1 X"),VLOOKUP($D9,PedTblTijden!$A$16:$X$26,PedTblTijden!M$14,FALSE),"")</f>
        <v/>
      </c>
      <c r="T9" s="93" t="str">
        <f>IF(OR($D9="1 dd",$D9="2 dd",$D9="3 dd",$D9="4 dd",$D9="6 dd",$D9="8 dd",$D9="12 dd",$D9="an",$D9="1 X"),VLOOKUP($D9,PedTblTijden!$A$16:$X$26,PedTblTijden!N$14,FALSE),"")</f>
        <v/>
      </c>
      <c r="U9" s="12" t="str">
        <f>IF(OR($D9="1 dd",$D9="2 dd",$D9="3 dd",$D9="4 dd",$D9="6 dd",$D9="8 dd",$D9="12 dd",$D9="an",$D9="1 X"),VLOOKUP($D9,PedTblTijden!$A$16:$X$26,PedTblTijden!O$14,FALSE),"")</f>
        <v/>
      </c>
      <c r="V9" s="93" t="str">
        <f>IF(OR($D9="1 dd",$D9="2 dd",$D9="3 dd",$D9="4 dd",$D9="6 dd",$D9="8 dd",$D9="12 dd",$D9="an",$D9="1 X"),VLOOKUP($D9,PedTblTijden!$A$16:$X$26,PedTblTijden!P$14,FALSE),"")</f>
        <v/>
      </c>
      <c r="W9" s="12" t="str">
        <f>IF(OR($D9="1 dd",$D9="2 dd",$D9="3 dd",$D9="4 dd",$D9="6 dd",$D9="8 dd",$D9="12 dd",$D9="an",$D9="1 X"),VLOOKUP($D9,PedTblTijden!$A$16:$X$26,PedTblTijden!Q$14,FALSE),"")</f>
        <v/>
      </c>
      <c r="X9" s="93" t="str">
        <f>IF(OR($D9="1 dd",$D9="2 dd",$D9="3 dd",$D9="4 dd",$D9="6 dd",$D9="8 dd",$D9="12 dd",$D9="an",$D9="1 X"),VLOOKUP($D9,PedTblTijden!$A$16:$X$26,PedTblTijden!R$14,FALSE),"")</f>
        <v/>
      </c>
      <c r="Y9" s="12" t="str">
        <f>IF(OR($D9="1 dd",$D9="2 dd",$D9="3 dd",$D9="4 dd",$D9="6 dd",$D9="8 dd",$D9="12 dd",$D9="an",$D9="1 X"),VLOOKUP($D9,PedTblTijden!$A$16:$X$26,PedTblTijden!S$14,FALSE),"")</f>
        <v/>
      </c>
      <c r="Z9" s="93" t="str">
        <f>IF(OR($D9="1 dd",$D9="2 dd",$D9="3 dd",$D9="4 dd",$D9="6 dd",$D9="8 dd",$D9="12 dd",$D9="an",$D9="1 X"),VLOOKUP($D9,PedTblTijden!$A$16:$X$26,PedTblTijden!T$14,FALSE),"")</f>
        <v/>
      </c>
      <c r="AA9" s="12" t="str">
        <f>IF(OR($D9="1 dd",$D9="2 dd",$D9="3 dd",$D9="4 dd",$D9="6 dd",$D9="8 dd",$D9="12 dd",$D9="an",$D9="1 X"),VLOOKUP($D9,PedTblTijden!$A$16:$X$26,PedTblTijden!U$14,FALSE),"")</f>
        <v/>
      </c>
      <c r="AB9" s="93" t="str">
        <f>IF(OR($D9="1 dd",$D9="2 dd",$D9="3 dd",$D9="4 dd",$D9="6 dd",$D9="8 dd",$D9="12 dd",$D9="an",$D9="1 X"),VLOOKUP($D9,PedTblTijden!$A$16:$X$26,PedTblTijden!V$14,FALSE),"")</f>
        <v/>
      </c>
      <c r="AC9" s="12" t="str">
        <f>IF(OR($D9="1 dd",$D9="2 dd",$D9="3 dd",$D9="4 dd",$D9="6 dd",$D9="8 dd",$D9="12 dd",$D9="an",$D9="1 X"),VLOOKUP($D9,PedTblTijden!$A$16:$X$26,PedTblTijden!W$14,FALSE),"")</f>
        <v/>
      </c>
      <c r="AD9" s="93" t="str">
        <f>IF(OR($D9="1 dd",$D9="2 dd",$D9="3 dd",$D9="4 dd",$D9="6 dd",$D9="8 dd",$D9="12 dd",$D9="an",$D9="1 X"),VLOOKUP($D9,PedTblTijden!$A$16:$X$26,PedTblTijden!X$14,FALSE),"")</f>
        <v/>
      </c>
      <c r="AE9" s="14"/>
      <c r="AF9" s="92"/>
      <c r="AG9" s="14"/>
    </row>
    <row r="10" spans="1:33" ht="26.1" customHeight="1" x14ac:dyDescent="0.2">
      <c r="B10" s="94"/>
      <c r="C10" s="125" t="str">
        <f>IF(GlobBerMedDisc!C9&lt;&gt;"",IF(GlobBerMedDisc!C9&gt;1,TRIM(GlobBerMedDisc!C9)&amp;", "&amp;GlobBerOpm!#REF!&amp;" ("&amp;GlobBerMedDisc!M9&amp;" "&amp;GlobBerMedDisc!F9&amp;"/kg/dag)",TRIM(GlobBerMedDisc!C9)&amp;", "&amp;GlobBerOpm!#REF!),"")</f>
        <v/>
      </c>
      <c r="D10" s="126" t="str">
        <f>IF(GlobGuiMedDisc!I16&lt;&gt;"",GlobGuiMedDisc!I16,"")</f>
        <v/>
      </c>
      <c r="E10" s="127" t="str">
        <f>IF(AND(D10&lt;&gt;"",D10&lt;&gt;"STOP"),GlobBerMedDisc!H9&amp;" "&amp;GlobBerMedDisc!F9,"")</f>
        <v/>
      </c>
      <c r="F10" s="127" t="str">
        <f>IF(AND(D10&lt;&gt;"",D10&lt;&gt;"STOP"),GlobBerMedDisc!L9," ")</f>
        <v xml:space="preserve"> </v>
      </c>
      <c r="G10" s="127" t="str">
        <f>IF(GlobGuiMedDisc!N16&lt;&gt;"",GlobGuiMedDisc!N16&amp;" "&amp;GlobGuiMedDisc!O16&amp;" "&amp;INDEX(GlobBerMedDisc!$B$27:$B$30,GlobBerMedDisc!O9,1)&amp;" in "&amp;GlobGuiMedDisc!$R$16,"")</f>
        <v/>
      </c>
      <c r="H10" s="93" t="str">
        <f>IF(OR($D10="1 dd",$D10="2 dd",$D10="3 dd",$D10="4 dd",$D10="6 dd",$D10="8 dd",$D10="12 dd",$D10="an",$D10="1 X"),VLOOKUP($D10,PedTblTijden!$A$16:$X$26,PedTblTijden!B$14,FALSE),"")</f>
        <v/>
      </c>
      <c r="I10" s="12" t="str">
        <f>IF(OR($D10="1 dd",$D10="2 dd",$D10="3 dd",$D10="4 dd",$D10="6 dd",$D10="8 dd",$D10="12 dd",$D10="an",$D10="1 X"),VLOOKUP($D10,PedTblTijden!$A$16:$X$26,PedTblTijden!C$14,FALSE),"")</f>
        <v/>
      </c>
      <c r="J10" s="93" t="str">
        <f>IF(OR($D10="1 dd",$D10="2 dd",$D10="3 dd",$D10="4 dd",$D10="6 dd",$D10="8 dd",$D10="12 dd",$D10="an",$D10="1 X"),VLOOKUP($D10,PedTblTijden!$A$16:$X$26,PedTblTijden!D$14,FALSE),"")</f>
        <v/>
      </c>
      <c r="K10" s="12" t="str">
        <f>IF(OR($D10="1 dd",$D10="2 dd",$D10="3 dd",$D10="4 dd",$D10="6 dd",$D10="8 dd",$D10="12 dd",$D10="an",$D10="1 X"),VLOOKUP($D10,PedTblTijden!$A$16:$X$26,PedTblTijden!E$14,FALSE),"")</f>
        <v/>
      </c>
      <c r="L10" s="93" t="str">
        <f>IF(OR($D10="1 dd",$D10="2 dd",$D10="3 dd",$D10="4 dd",$D10="6 dd",$D10="8 dd",$D10="12 dd",$D10="an",$D10="1 X"),VLOOKUP($D10,PedTblTijden!$A$16:$X$26,PedTblTijden!F$14,FALSE),"")</f>
        <v/>
      </c>
      <c r="M10" s="12" t="str">
        <f>IF(OR($D10="1 dd",$D10="2 dd",$D10="3 dd",$D10="4 dd",$D10="6 dd",$D10="8 dd",$D10="12 dd",$D10="an",$D10="1 X"),VLOOKUP($D10,PedTblTijden!$A$16:$X$26,PedTblTijden!G$14,FALSE),"")</f>
        <v/>
      </c>
      <c r="N10" s="93" t="str">
        <f>IF(OR($D10="1 dd",$D10="2 dd",$D10="3 dd",$D10="4 dd",$D10="6 dd",$D10="8 dd",$D10="12 dd",$D10="an",$D10="1 X"),VLOOKUP($D10,PedTblTijden!$A$16:$X$26,PedTblTijden!H$14,FALSE),"")</f>
        <v/>
      </c>
      <c r="O10" s="12" t="str">
        <f>IF(OR($D10="1 dd",$D10="2 dd",$D10="3 dd",$D10="4 dd",$D10="6 dd",$D10="8 dd",$D10="12 dd",$D10="an",$D10="1 X"),VLOOKUP($D10,PedTblTijden!$A$16:$X$26,PedTblTijden!I$14,FALSE),"")</f>
        <v/>
      </c>
      <c r="P10" s="93" t="str">
        <f>IF(OR($D10="1 dd",$D10="2 dd",$D10="3 dd",$D10="4 dd",$D10="6 dd",$D10="8 dd",$D10="12 dd",$D10="an",$D10="1 X"),VLOOKUP($D10,PedTblTijden!$A$16:$X$26,PedTblTijden!J$14,FALSE),"")</f>
        <v/>
      </c>
      <c r="Q10" s="12" t="str">
        <f>IF(OR($D10="1 dd",$D10="2 dd",$D10="3 dd",$D10="4 dd",$D10="6 dd",$D10="8 dd",$D10="12 dd",$D10="an",$D10="1 X"),VLOOKUP($D10,PedTblTijden!$A$16:$X$26,PedTblTijden!K$14,FALSE),"")</f>
        <v/>
      </c>
      <c r="R10" s="93" t="str">
        <f>IF(OR($D10="1 dd",$D10="2 dd",$D10="3 dd",$D10="4 dd",$D10="6 dd",$D10="8 dd",$D10="12 dd",$D10="an",$D10="1 X"),VLOOKUP($D10,PedTblTijden!$A$16:$X$26,PedTblTijden!L$14,FALSE),"")</f>
        <v/>
      </c>
      <c r="S10" s="12" t="str">
        <f>IF(OR($D10="1 dd",$D10="2 dd",$D10="3 dd",$D10="4 dd",$D10="6 dd",$D10="8 dd",$D10="12 dd",$D10="an",$D10="1 X"),VLOOKUP($D10,PedTblTijden!$A$16:$X$26,PedTblTijden!M$14,FALSE),"")</f>
        <v/>
      </c>
      <c r="T10" s="93" t="str">
        <f>IF(OR($D10="1 dd",$D10="2 dd",$D10="3 dd",$D10="4 dd",$D10="6 dd",$D10="8 dd",$D10="12 dd",$D10="an",$D10="1 X"),VLOOKUP($D10,PedTblTijden!$A$16:$X$26,PedTblTijden!N$14,FALSE),"")</f>
        <v/>
      </c>
      <c r="U10" s="12" t="str">
        <f>IF(OR($D10="1 dd",$D10="2 dd",$D10="3 dd",$D10="4 dd",$D10="6 dd",$D10="8 dd",$D10="12 dd",$D10="an",$D10="1 X"),VLOOKUP($D10,PedTblTijden!$A$16:$X$26,PedTblTijden!O$14,FALSE),"")</f>
        <v/>
      </c>
      <c r="V10" s="93" t="str">
        <f>IF(OR($D10="1 dd",$D10="2 dd",$D10="3 dd",$D10="4 dd",$D10="6 dd",$D10="8 dd",$D10="12 dd",$D10="an",$D10="1 X"),VLOOKUP($D10,PedTblTijden!$A$16:$X$26,PedTblTijden!P$14,FALSE),"")</f>
        <v/>
      </c>
      <c r="W10" s="12" t="str">
        <f>IF(OR($D10="1 dd",$D10="2 dd",$D10="3 dd",$D10="4 dd",$D10="6 dd",$D10="8 dd",$D10="12 dd",$D10="an",$D10="1 X"),VLOOKUP($D10,PedTblTijden!$A$16:$X$26,PedTblTijden!Q$14,FALSE),"")</f>
        <v/>
      </c>
      <c r="X10" s="93" t="str">
        <f>IF(OR($D10="1 dd",$D10="2 dd",$D10="3 dd",$D10="4 dd",$D10="6 dd",$D10="8 dd",$D10="12 dd",$D10="an",$D10="1 X"),VLOOKUP($D10,PedTblTijden!$A$16:$X$26,PedTblTijden!R$14,FALSE),"")</f>
        <v/>
      </c>
      <c r="Y10" s="12" t="str">
        <f>IF(OR($D10="1 dd",$D10="2 dd",$D10="3 dd",$D10="4 dd",$D10="6 dd",$D10="8 dd",$D10="12 dd",$D10="an",$D10="1 X"),VLOOKUP($D10,PedTblTijden!$A$16:$X$26,PedTblTijden!S$14,FALSE),"")</f>
        <v/>
      </c>
      <c r="Z10" s="93" t="str">
        <f>IF(OR($D10="1 dd",$D10="2 dd",$D10="3 dd",$D10="4 dd",$D10="6 dd",$D10="8 dd",$D10="12 dd",$D10="an",$D10="1 X"),VLOOKUP($D10,PedTblTijden!$A$16:$X$26,PedTblTijden!T$14,FALSE),"")</f>
        <v/>
      </c>
      <c r="AA10" s="12" t="str">
        <f>IF(OR($D10="1 dd",$D10="2 dd",$D10="3 dd",$D10="4 dd",$D10="6 dd",$D10="8 dd",$D10="12 dd",$D10="an",$D10="1 X"),VLOOKUP($D10,PedTblTijden!$A$16:$X$26,PedTblTijden!U$14,FALSE),"")</f>
        <v/>
      </c>
      <c r="AB10" s="93" t="str">
        <f>IF(OR($D10="1 dd",$D10="2 dd",$D10="3 dd",$D10="4 dd",$D10="6 dd",$D10="8 dd",$D10="12 dd",$D10="an",$D10="1 X"),VLOOKUP($D10,PedTblTijden!$A$16:$X$26,PedTblTijden!V$14,FALSE),"")</f>
        <v/>
      </c>
      <c r="AC10" s="12" t="str">
        <f>IF(OR($D10="1 dd",$D10="2 dd",$D10="3 dd",$D10="4 dd",$D10="6 dd",$D10="8 dd",$D10="12 dd",$D10="an",$D10="1 X"),VLOOKUP($D10,PedTblTijden!$A$16:$X$26,PedTblTijden!W$14,FALSE),"")</f>
        <v/>
      </c>
      <c r="AD10" s="93" t="str">
        <f>IF(OR($D10="1 dd",$D10="2 dd",$D10="3 dd",$D10="4 dd",$D10="6 dd",$D10="8 dd",$D10="12 dd",$D10="an",$D10="1 X"),VLOOKUP($D10,PedTblTijden!$A$16:$X$26,PedTblTijden!X$14,FALSE),"")</f>
        <v/>
      </c>
      <c r="AE10" s="14"/>
      <c r="AF10" s="92"/>
      <c r="AG10" s="14"/>
    </row>
    <row r="11" spans="1:33" ht="26.1" customHeight="1" x14ac:dyDescent="0.2">
      <c r="B11" s="94"/>
      <c r="C11" s="125" t="str">
        <f>IF(GlobBerMedDisc!C10&lt;&gt;"",IF(GlobBerMedDisc!C10&gt;1,TRIM(GlobBerMedDisc!C10)&amp;", "&amp;GlobBerOpm!#REF!&amp;" ("&amp;GlobBerMedDisc!M10&amp;" "&amp;GlobBerMedDisc!F10&amp;"/kg/dag)",TRIM(GlobBerMedDisc!C10)&amp;", "&amp;GlobBerOpm!#REF!),"")</f>
        <v/>
      </c>
      <c r="D11" s="126" t="str">
        <f>IF(GlobGuiMedDisc!I17&lt;&gt;"",GlobGuiMedDisc!I17,"")</f>
        <v/>
      </c>
      <c r="E11" s="127" t="str">
        <f>IF(AND(D11&lt;&gt;"",D11&lt;&gt;"STOP"),GlobBerMedDisc!H10&amp;" "&amp;GlobBerMedDisc!F10,"")</f>
        <v/>
      </c>
      <c r="F11" s="127" t="str">
        <f>IF(AND(D11&lt;&gt;"",D11&lt;&gt;"STOP"),GlobBerMedDisc!L10," ")</f>
        <v xml:space="preserve"> </v>
      </c>
      <c r="G11" s="127" t="str">
        <f>IF(GlobGuiMedDisc!N17&lt;&gt;"",GlobGuiMedDisc!N17&amp;" "&amp;GlobGuiMedDisc!O17&amp;" "&amp;INDEX(GlobBerMedDisc!$B$27:$B$30,GlobBerMedDisc!O10,1)&amp;" in "&amp;GlobGuiMedDisc!$R$17,"")</f>
        <v/>
      </c>
      <c r="H11" s="93" t="str">
        <f>IF(OR($D11="1 dd",$D11="2 dd",$D11="3 dd",$D11="4 dd",$D11="6 dd",$D11="8 dd",$D11="12 dd",$D11="an",$D11="1 X"),VLOOKUP($D11,PedTblTijden!$A$16:$X$26,PedTblTijden!B$14,FALSE),"")</f>
        <v/>
      </c>
      <c r="I11" s="12" t="str">
        <f>IF(OR($D11="1 dd",$D11="2 dd",$D11="3 dd",$D11="4 dd",$D11="6 dd",$D11="8 dd",$D11="12 dd",$D11="an",$D11="1 X"),VLOOKUP($D11,PedTblTijden!$A$16:$X$26,PedTblTijden!C$14,FALSE),"")</f>
        <v/>
      </c>
      <c r="J11" s="93" t="str">
        <f>IF(OR($D11="1 dd",$D11="2 dd",$D11="3 dd",$D11="4 dd",$D11="6 dd",$D11="8 dd",$D11="12 dd",$D11="an",$D11="1 X"),VLOOKUP($D11,PedTblTijden!$A$16:$X$26,PedTblTijden!D$14,FALSE),"")</f>
        <v/>
      </c>
      <c r="K11" s="12" t="str">
        <f>IF(OR($D11="1 dd",$D11="2 dd",$D11="3 dd",$D11="4 dd",$D11="6 dd",$D11="8 dd",$D11="12 dd",$D11="an",$D11="1 X"),VLOOKUP($D11,PedTblTijden!$A$16:$X$26,PedTblTijden!E$14,FALSE),"")</f>
        <v/>
      </c>
      <c r="L11" s="93" t="str">
        <f>IF(OR($D11="1 dd",$D11="2 dd",$D11="3 dd",$D11="4 dd",$D11="6 dd",$D11="8 dd",$D11="12 dd",$D11="an",$D11="1 X"),VLOOKUP($D11,PedTblTijden!$A$16:$X$26,PedTblTijden!F$14,FALSE),"")</f>
        <v/>
      </c>
      <c r="M11" s="12" t="str">
        <f>IF(OR($D11="1 dd",$D11="2 dd",$D11="3 dd",$D11="4 dd",$D11="6 dd",$D11="8 dd",$D11="12 dd",$D11="an",$D11="1 X"),VLOOKUP($D11,PedTblTijden!$A$16:$X$26,PedTblTijden!G$14,FALSE),"")</f>
        <v/>
      </c>
      <c r="N11" s="93" t="str">
        <f>IF(OR($D11="1 dd",$D11="2 dd",$D11="3 dd",$D11="4 dd",$D11="6 dd",$D11="8 dd",$D11="12 dd",$D11="an",$D11="1 X"),VLOOKUP($D11,PedTblTijden!$A$16:$X$26,PedTblTijden!H$14,FALSE),"")</f>
        <v/>
      </c>
      <c r="O11" s="12" t="str">
        <f>IF(OR($D11="1 dd",$D11="2 dd",$D11="3 dd",$D11="4 dd",$D11="6 dd",$D11="8 dd",$D11="12 dd",$D11="an",$D11="1 X"),VLOOKUP($D11,PedTblTijden!$A$16:$X$26,PedTblTijden!I$14,FALSE),"")</f>
        <v/>
      </c>
      <c r="P11" s="93" t="str">
        <f>IF(OR($D11="1 dd",$D11="2 dd",$D11="3 dd",$D11="4 dd",$D11="6 dd",$D11="8 dd",$D11="12 dd",$D11="an",$D11="1 X"),VLOOKUP($D11,PedTblTijden!$A$16:$X$26,PedTblTijden!J$14,FALSE),"")</f>
        <v/>
      </c>
      <c r="Q11" s="12" t="str">
        <f>IF(OR($D11="1 dd",$D11="2 dd",$D11="3 dd",$D11="4 dd",$D11="6 dd",$D11="8 dd",$D11="12 dd",$D11="an",$D11="1 X"),VLOOKUP($D11,PedTblTijden!$A$16:$X$26,PedTblTijden!K$14,FALSE),"")</f>
        <v/>
      </c>
      <c r="R11" s="93" t="str">
        <f>IF(OR($D11="1 dd",$D11="2 dd",$D11="3 dd",$D11="4 dd",$D11="6 dd",$D11="8 dd",$D11="12 dd",$D11="an",$D11="1 X"),VLOOKUP($D11,PedTblTijden!$A$16:$X$26,PedTblTijden!L$14,FALSE),"")</f>
        <v/>
      </c>
      <c r="S11" s="12" t="str">
        <f>IF(OR($D11="1 dd",$D11="2 dd",$D11="3 dd",$D11="4 dd",$D11="6 dd",$D11="8 dd",$D11="12 dd",$D11="an",$D11="1 X"),VLOOKUP($D11,PedTblTijden!$A$16:$X$26,PedTblTijden!M$14,FALSE),"")</f>
        <v/>
      </c>
      <c r="T11" s="93" t="str">
        <f>IF(OR($D11="1 dd",$D11="2 dd",$D11="3 dd",$D11="4 dd",$D11="6 dd",$D11="8 dd",$D11="12 dd",$D11="an",$D11="1 X"),VLOOKUP($D11,PedTblTijden!$A$16:$X$26,PedTblTijden!N$14,FALSE),"")</f>
        <v/>
      </c>
      <c r="U11" s="12" t="str">
        <f>IF(OR($D11="1 dd",$D11="2 dd",$D11="3 dd",$D11="4 dd",$D11="6 dd",$D11="8 dd",$D11="12 dd",$D11="an",$D11="1 X"),VLOOKUP($D11,PedTblTijden!$A$16:$X$26,PedTblTijden!O$14,FALSE),"")</f>
        <v/>
      </c>
      <c r="V11" s="93" t="str">
        <f>IF(OR($D11="1 dd",$D11="2 dd",$D11="3 dd",$D11="4 dd",$D11="6 dd",$D11="8 dd",$D11="12 dd",$D11="an",$D11="1 X"),VLOOKUP($D11,PedTblTijden!$A$16:$X$26,PedTblTijden!P$14,FALSE),"")</f>
        <v/>
      </c>
      <c r="W11" s="12" t="str">
        <f>IF(OR($D11="1 dd",$D11="2 dd",$D11="3 dd",$D11="4 dd",$D11="6 dd",$D11="8 dd",$D11="12 dd",$D11="an",$D11="1 X"),VLOOKUP($D11,PedTblTijden!$A$16:$X$26,PedTblTijden!Q$14,FALSE),"")</f>
        <v/>
      </c>
      <c r="X11" s="93" t="str">
        <f>IF(OR($D11="1 dd",$D11="2 dd",$D11="3 dd",$D11="4 dd",$D11="6 dd",$D11="8 dd",$D11="12 dd",$D11="an",$D11="1 X"),VLOOKUP($D11,PedTblTijden!$A$16:$X$26,PedTblTijden!R$14,FALSE),"")</f>
        <v/>
      </c>
      <c r="Y11" s="12" t="str">
        <f>IF(OR($D11="1 dd",$D11="2 dd",$D11="3 dd",$D11="4 dd",$D11="6 dd",$D11="8 dd",$D11="12 dd",$D11="an",$D11="1 X"),VLOOKUP($D11,PedTblTijden!$A$16:$X$26,PedTblTijden!S$14,FALSE),"")</f>
        <v/>
      </c>
      <c r="Z11" s="93" t="str">
        <f>IF(OR($D11="1 dd",$D11="2 dd",$D11="3 dd",$D11="4 dd",$D11="6 dd",$D11="8 dd",$D11="12 dd",$D11="an",$D11="1 X"),VLOOKUP($D11,PedTblTijden!$A$16:$X$26,PedTblTijden!T$14,FALSE),"")</f>
        <v/>
      </c>
      <c r="AA11" s="12" t="str">
        <f>IF(OR($D11="1 dd",$D11="2 dd",$D11="3 dd",$D11="4 dd",$D11="6 dd",$D11="8 dd",$D11="12 dd",$D11="an",$D11="1 X"),VLOOKUP($D11,PedTblTijden!$A$16:$X$26,PedTblTijden!U$14,FALSE),"")</f>
        <v/>
      </c>
      <c r="AB11" s="93" t="str">
        <f>IF(OR($D11="1 dd",$D11="2 dd",$D11="3 dd",$D11="4 dd",$D11="6 dd",$D11="8 dd",$D11="12 dd",$D11="an",$D11="1 X"),VLOOKUP($D11,PedTblTijden!$A$16:$X$26,PedTblTijden!V$14,FALSE),"")</f>
        <v/>
      </c>
      <c r="AC11" s="12" t="str">
        <f>IF(OR($D11="1 dd",$D11="2 dd",$D11="3 dd",$D11="4 dd",$D11="6 dd",$D11="8 dd",$D11="12 dd",$D11="an",$D11="1 X"),VLOOKUP($D11,PedTblTijden!$A$16:$X$26,PedTblTijden!W$14,FALSE),"")</f>
        <v/>
      </c>
      <c r="AD11" s="93" t="str">
        <f>IF(OR($D11="1 dd",$D11="2 dd",$D11="3 dd",$D11="4 dd",$D11="6 dd",$D11="8 dd",$D11="12 dd",$D11="an",$D11="1 X"),VLOOKUP($D11,PedTblTijden!$A$16:$X$26,PedTblTijden!X$14,FALSE),"")</f>
        <v/>
      </c>
      <c r="AE11" s="14"/>
      <c r="AF11" s="92"/>
      <c r="AG11" s="14"/>
    </row>
    <row r="12" spans="1:33" ht="26.1" customHeight="1" x14ac:dyDescent="0.2">
      <c r="B12" s="94"/>
      <c r="C12" s="125" t="str">
        <f>IF(GlobBerMedDisc!C11&lt;&gt;"",IF(GlobBerMedDisc!C11&gt;1,TRIM(GlobBerMedDisc!C11)&amp;", "&amp;GlobBerOpm!#REF!&amp;" ("&amp;GlobBerMedDisc!M11&amp;" "&amp;GlobBerMedDisc!F11&amp;"/kg/dag)",TRIM(GlobBerMedDisc!C11)&amp;", "&amp;GlobBerOpm!#REF!),"")</f>
        <v/>
      </c>
      <c r="D12" s="126" t="str">
        <f>IF(GlobGuiMedDisc!I18&lt;&gt;"",GlobGuiMedDisc!I18,"")</f>
        <v/>
      </c>
      <c r="E12" s="127" t="str">
        <f>IF(AND(D12&lt;&gt;"",D12&lt;&gt;"STOP"),GlobBerMedDisc!H11&amp;" "&amp;GlobBerMedDisc!F11,"")</f>
        <v/>
      </c>
      <c r="F12" s="127" t="str">
        <f>IF(AND(D12&lt;&gt;"",D12&lt;&gt;"STOP"),GlobBerMedDisc!L11," ")</f>
        <v xml:space="preserve"> </v>
      </c>
      <c r="G12" s="127" t="str">
        <f>IF(GlobGuiMedDisc!N18&lt;&gt;"",GlobGuiMedDisc!N18&amp;" "&amp;GlobGuiMedDisc!O18&amp;" "&amp;INDEX(GlobBerMedDisc!$B$27:$B$30,GlobBerMedDisc!O11,1)&amp;" in "&amp;GlobGuiMedDisc!$Q$1377,"")</f>
        <v/>
      </c>
      <c r="H12" s="93" t="str">
        <f>IF(OR($D12="1 dd",$D12="2 dd",$D12="3 dd",$D12="4 dd",$D12="6 dd",$D12="8 dd",$D12="12 dd",$D12="an",$D12="1 X"),VLOOKUP($D12,PedTblTijden!$A$16:$X$26,PedTblTijden!B$14,FALSE),"")</f>
        <v/>
      </c>
      <c r="I12" s="12" t="str">
        <f>IF(OR($D12="1 dd",$D12="2 dd",$D12="3 dd",$D12="4 dd",$D12="6 dd",$D12="8 dd",$D12="12 dd",$D12="an",$D12="1 X"),VLOOKUP($D12,PedTblTijden!$A$16:$X$26,PedTblTijden!C$14,FALSE),"")</f>
        <v/>
      </c>
      <c r="J12" s="93" t="str">
        <f>IF(OR($D12="1 dd",$D12="2 dd",$D12="3 dd",$D12="4 dd",$D12="6 dd",$D12="8 dd",$D12="12 dd",$D12="an",$D12="1 X"),VLOOKUP($D12,PedTblTijden!$A$16:$X$26,PedTblTijden!D$14,FALSE),"")</f>
        <v/>
      </c>
      <c r="K12" s="12" t="str">
        <f>IF(OR($D12="1 dd",$D12="2 dd",$D12="3 dd",$D12="4 dd",$D12="6 dd",$D12="8 dd",$D12="12 dd",$D12="an",$D12="1 X"),VLOOKUP($D12,PedTblTijden!$A$16:$X$26,PedTblTijden!E$14,FALSE),"")</f>
        <v/>
      </c>
      <c r="L12" s="93" t="str">
        <f>IF(OR($D12="1 dd",$D12="2 dd",$D12="3 dd",$D12="4 dd",$D12="6 dd",$D12="8 dd",$D12="12 dd",$D12="an",$D12="1 X"),VLOOKUP($D12,PedTblTijden!$A$16:$X$26,PedTblTijden!F$14,FALSE),"")</f>
        <v/>
      </c>
      <c r="M12" s="12" t="str">
        <f>IF(OR($D12="1 dd",$D12="2 dd",$D12="3 dd",$D12="4 dd",$D12="6 dd",$D12="8 dd",$D12="12 dd",$D12="an",$D12="1 X"),VLOOKUP($D12,PedTblTijden!$A$16:$X$26,PedTblTijden!G$14,FALSE),"")</f>
        <v/>
      </c>
      <c r="N12" s="93" t="str">
        <f>IF(OR($D12="1 dd",$D12="2 dd",$D12="3 dd",$D12="4 dd",$D12="6 dd",$D12="8 dd",$D12="12 dd",$D12="an",$D12="1 X"),VLOOKUP($D12,PedTblTijden!$A$16:$X$26,PedTblTijden!H$14,FALSE),"")</f>
        <v/>
      </c>
      <c r="O12" s="12" t="str">
        <f>IF(OR($D12="1 dd",$D12="2 dd",$D12="3 dd",$D12="4 dd",$D12="6 dd",$D12="8 dd",$D12="12 dd",$D12="an",$D12="1 X"),VLOOKUP($D12,PedTblTijden!$A$16:$X$26,PedTblTijden!I$14,FALSE),"")</f>
        <v/>
      </c>
      <c r="P12" s="93" t="str">
        <f>IF(OR($D12="1 dd",$D12="2 dd",$D12="3 dd",$D12="4 dd",$D12="6 dd",$D12="8 dd",$D12="12 dd",$D12="an",$D12="1 X"),VLOOKUP($D12,PedTblTijden!$A$16:$X$26,PedTblTijden!J$14,FALSE),"")</f>
        <v/>
      </c>
      <c r="Q12" s="12" t="str">
        <f>IF(OR($D12="1 dd",$D12="2 dd",$D12="3 dd",$D12="4 dd",$D12="6 dd",$D12="8 dd",$D12="12 dd",$D12="an",$D12="1 X"),VLOOKUP($D12,PedTblTijden!$A$16:$X$26,PedTblTijden!K$14,FALSE),"")</f>
        <v/>
      </c>
      <c r="R12" s="93" t="str">
        <f>IF(OR($D12="1 dd",$D12="2 dd",$D12="3 dd",$D12="4 dd",$D12="6 dd",$D12="8 dd",$D12="12 dd",$D12="an",$D12="1 X"),VLOOKUP($D12,PedTblTijden!$A$16:$X$26,PedTblTijden!L$14,FALSE),"")</f>
        <v/>
      </c>
      <c r="S12" s="12" t="str">
        <f>IF(OR($D12="1 dd",$D12="2 dd",$D12="3 dd",$D12="4 dd",$D12="6 dd",$D12="8 dd",$D12="12 dd",$D12="an",$D12="1 X"),VLOOKUP($D12,PedTblTijden!$A$16:$X$26,PedTblTijden!M$14,FALSE),"")</f>
        <v/>
      </c>
      <c r="T12" s="93" t="str">
        <f>IF(OR($D12="1 dd",$D12="2 dd",$D12="3 dd",$D12="4 dd",$D12="6 dd",$D12="8 dd",$D12="12 dd",$D12="an",$D12="1 X"),VLOOKUP($D12,PedTblTijden!$A$16:$X$26,PedTblTijden!N$14,FALSE),"")</f>
        <v/>
      </c>
      <c r="U12" s="12" t="str">
        <f>IF(OR($D12="1 dd",$D12="2 dd",$D12="3 dd",$D12="4 dd",$D12="6 dd",$D12="8 dd",$D12="12 dd",$D12="an",$D12="1 X"),VLOOKUP($D12,PedTblTijden!$A$16:$X$26,PedTblTijden!O$14,FALSE),"")</f>
        <v/>
      </c>
      <c r="V12" s="93" t="str">
        <f>IF(OR($D12="1 dd",$D12="2 dd",$D12="3 dd",$D12="4 dd",$D12="6 dd",$D12="8 dd",$D12="12 dd",$D12="an",$D12="1 X"),VLOOKUP($D12,PedTblTijden!$A$16:$X$26,PedTblTijden!P$14,FALSE),"")</f>
        <v/>
      </c>
      <c r="W12" s="12" t="str">
        <f>IF(OR($D12="1 dd",$D12="2 dd",$D12="3 dd",$D12="4 dd",$D12="6 dd",$D12="8 dd",$D12="12 dd",$D12="an",$D12="1 X"),VLOOKUP($D12,PedTblTijden!$A$16:$X$26,PedTblTijden!Q$14,FALSE),"")</f>
        <v/>
      </c>
      <c r="X12" s="93" t="str">
        <f>IF(OR($D12="1 dd",$D12="2 dd",$D12="3 dd",$D12="4 dd",$D12="6 dd",$D12="8 dd",$D12="12 dd",$D12="an",$D12="1 X"),VLOOKUP($D12,PedTblTijden!$A$16:$X$26,PedTblTijden!R$14,FALSE),"")</f>
        <v/>
      </c>
      <c r="Y12" s="12" t="str">
        <f>IF(OR($D12="1 dd",$D12="2 dd",$D12="3 dd",$D12="4 dd",$D12="6 dd",$D12="8 dd",$D12="12 dd",$D12="an",$D12="1 X"),VLOOKUP($D12,PedTblTijden!$A$16:$X$26,PedTblTijden!S$14,FALSE),"")</f>
        <v/>
      </c>
      <c r="Z12" s="93" t="str">
        <f>IF(OR($D12="1 dd",$D12="2 dd",$D12="3 dd",$D12="4 dd",$D12="6 dd",$D12="8 dd",$D12="12 dd",$D12="an",$D12="1 X"),VLOOKUP($D12,PedTblTijden!$A$16:$X$26,PedTblTijden!T$14,FALSE),"")</f>
        <v/>
      </c>
      <c r="AA12" s="12" t="str">
        <f>IF(OR($D12="1 dd",$D12="2 dd",$D12="3 dd",$D12="4 dd",$D12="6 dd",$D12="8 dd",$D12="12 dd",$D12="an",$D12="1 X"),VLOOKUP($D12,PedTblTijden!$A$16:$X$26,PedTblTijden!U$14,FALSE),"")</f>
        <v/>
      </c>
      <c r="AB12" s="93" t="str">
        <f>IF(OR($D12="1 dd",$D12="2 dd",$D12="3 dd",$D12="4 dd",$D12="6 dd",$D12="8 dd",$D12="12 dd",$D12="an",$D12="1 X"),VLOOKUP($D12,PedTblTijden!$A$16:$X$26,PedTblTijden!V$14,FALSE),"")</f>
        <v/>
      </c>
      <c r="AC12" s="12" t="str">
        <f>IF(OR($D12="1 dd",$D12="2 dd",$D12="3 dd",$D12="4 dd",$D12="6 dd",$D12="8 dd",$D12="12 dd",$D12="an",$D12="1 X"),VLOOKUP($D12,PedTblTijden!$A$16:$X$26,PedTblTijden!W$14,FALSE),"")</f>
        <v/>
      </c>
      <c r="AD12" s="93" t="str">
        <f>IF(OR($D12="1 dd",$D12="2 dd",$D12="3 dd",$D12="4 dd",$D12="6 dd",$D12="8 dd",$D12="12 dd",$D12="an",$D12="1 X"),VLOOKUP($D12,PedTblTijden!$A$16:$X$26,PedTblTijden!X$14,FALSE),"")</f>
        <v/>
      </c>
      <c r="AE12" s="14"/>
      <c r="AF12" s="92"/>
      <c r="AG12" s="14"/>
    </row>
    <row r="13" spans="1:33" ht="26.1" customHeight="1" x14ac:dyDescent="0.2">
      <c r="B13" s="94"/>
      <c r="C13" s="125" t="str">
        <f>IF(GlobBerMedDisc!C12&lt;&gt;"",IF(GlobBerMedDisc!C12&gt;1,TRIM(GlobBerMedDisc!C12)&amp;", "&amp;GlobBerOpm!#REF!&amp;" ("&amp;GlobBerMedDisc!M12&amp;" "&amp;GlobBerMedDisc!F12&amp;"/kg/dag)",TRIM(GlobBerMedDisc!C12)&amp;", "&amp;GlobBerOpm!#REF!),"")</f>
        <v/>
      </c>
      <c r="D13" s="126" t="str">
        <f>IF(GlobGuiMedDisc!I19&lt;&gt;"",GlobGuiMedDisc!I19,"")</f>
        <v/>
      </c>
      <c r="E13" s="127" t="str">
        <f>IF(AND(D13&lt;&gt;"",D13&lt;&gt;"STOP"),GlobBerMedDisc!H12&amp;" "&amp;GlobBerMedDisc!F12,"")</f>
        <v/>
      </c>
      <c r="F13" s="127" t="str">
        <f>IF(AND(D13&lt;&gt;"",D13&lt;&gt;"STOP"),GlobBerMedDisc!L12," ")</f>
        <v xml:space="preserve"> </v>
      </c>
      <c r="G13" s="127" t="str">
        <f>IF(GlobGuiMedDisc!N19&lt;&gt;"",GlobGuiMedDisc!N19&amp;" "&amp;GlobGuiMedDisc!O19&amp;" "&amp;INDEX(GlobBerMedDisc!$B$27:$B$30,GlobBerMedDisc!O12,1)&amp;" in "&amp;GlobGuiMedDisc!$R$19,"")</f>
        <v/>
      </c>
      <c r="H13" s="93" t="str">
        <f>IF(OR($D13="1 dd",$D13="2 dd",$D13="3 dd",$D13="4 dd",$D13="6 dd",$D13="8 dd",$D13="12 dd",$D13="an",$D13="1 X"),VLOOKUP($D13,PedTblTijden!$A$16:$X$26,PedTblTijden!B$14,FALSE),"")</f>
        <v/>
      </c>
      <c r="I13" s="12" t="str">
        <f>IF(OR($D13="1 dd",$D13="2 dd",$D13="3 dd",$D13="4 dd",$D13="6 dd",$D13="8 dd",$D13="12 dd",$D13="an",$D13="1 X"),VLOOKUP($D13,PedTblTijden!$A$16:$X$26,PedTblTijden!C$14,FALSE),"")</f>
        <v/>
      </c>
      <c r="J13" s="93" t="str">
        <f>IF(OR($D13="1 dd",$D13="2 dd",$D13="3 dd",$D13="4 dd",$D13="6 dd",$D13="8 dd",$D13="12 dd",$D13="an",$D13="1 X"),VLOOKUP($D13,PedTblTijden!$A$16:$X$26,PedTblTijden!D$14,FALSE),"")</f>
        <v/>
      </c>
      <c r="K13" s="12" t="str">
        <f>IF(OR($D13="1 dd",$D13="2 dd",$D13="3 dd",$D13="4 dd",$D13="6 dd",$D13="8 dd",$D13="12 dd",$D13="an",$D13="1 X"),VLOOKUP($D13,PedTblTijden!$A$16:$X$26,PedTblTijden!E$14,FALSE),"")</f>
        <v/>
      </c>
      <c r="L13" s="93" t="str">
        <f>IF(OR($D13="1 dd",$D13="2 dd",$D13="3 dd",$D13="4 dd",$D13="6 dd",$D13="8 dd",$D13="12 dd",$D13="an",$D13="1 X"),VLOOKUP($D13,PedTblTijden!$A$16:$X$26,PedTblTijden!F$14,FALSE),"")</f>
        <v/>
      </c>
      <c r="M13" s="12" t="str">
        <f>IF(OR($D13="1 dd",$D13="2 dd",$D13="3 dd",$D13="4 dd",$D13="6 dd",$D13="8 dd",$D13="12 dd",$D13="an",$D13="1 X"),VLOOKUP($D13,PedTblTijden!$A$16:$X$26,PedTblTijden!G$14,FALSE),"")</f>
        <v/>
      </c>
      <c r="N13" s="93" t="str">
        <f>IF(OR($D13="1 dd",$D13="2 dd",$D13="3 dd",$D13="4 dd",$D13="6 dd",$D13="8 dd",$D13="12 dd",$D13="an",$D13="1 X"),VLOOKUP($D13,PedTblTijden!$A$16:$X$26,PedTblTijden!H$14,FALSE),"")</f>
        <v/>
      </c>
      <c r="O13" s="12" t="str">
        <f>IF(OR($D13="1 dd",$D13="2 dd",$D13="3 dd",$D13="4 dd",$D13="6 dd",$D13="8 dd",$D13="12 dd",$D13="an",$D13="1 X"),VLOOKUP($D13,PedTblTijden!$A$16:$X$26,PedTblTijden!I$14,FALSE),"")</f>
        <v/>
      </c>
      <c r="P13" s="93" t="str">
        <f>IF(OR($D13="1 dd",$D13="2 dd",$D13="3 dd",$D13="4 dd",$D13="6 dd",$D13="8 dd",$D13="12 dd",$D13="an",$D13="1 X"),VLOOKUP($D13,PedTblTijden!$A$16:$X$26,PedTblTijden!J$14,FALSE),"")</f>
        <v/>
      </c>
      <c r="Q13" s="12" t="str">
        <f>IF(OR($D13="1 dd",$D13="2 dd",$D13="3 dd",$D13="4 dd",$D13="6 dd",$D13="8 dd",$D13="12 dd",$D13="an",$D13="1 X"),VLOOKUP($D13,PedTblTijden!$A$16:$X$26,PedTblTijden!K$14,FALSE),"")</f>
        <v/>
      </c>
      <c r="R13" s="93" t="str">
        <f>IF(OR($D13="1 dd",$D13="2 dd",$D13="3 dd",$D13="4 dd",$D13="6 dd",$D13="8 dd",$D13="12 dd",$D13="an",$D13="1 X"),VLOOKUP($D13,PedTblTijden!$A$16:$X$26,PedTblTijden!L$14,FALSE),"")</f>
        <v/>
      </c>
      <c r="S13" s="12" t="str">
        <f>IF(OR($D13="1 dd",$D13="2 dd",$D13="3 dd",$D13="4 dd",$D13="6 dd",$D13="8 dd",$D13="12 dd",$D13="an",$D13="1 X"),VLOOKUP($D13,PedTblTijden!$A$16:$X$26,PedTblTijden!M$14,FALSE),"")</f>
        <v/>
      </c>
      <c r="T13" s="93" t="str">
        <f>IF(OR($D13="1 dd",$D13="2 dd",$D13="3 dd",$D13="4 dd",$D13="6 dd",$D13="8 dd",$D13="12 dd",$D13="an",$D13="1 X"),VLOOKUP($D13,PedTblTijden!$A$16:$X$26,PedTblTijden!N$14,FALSE),"")</f>
        <v/>
      </c>
      <c r="U13" s="12" t="str">
        <f>IF(OR($D13="1 dd",$D13="2 dd",$D13="3 dd",$D13="4 dd",$D13="6 dd",$D13="8 dd",$D13="12 dd",$D13="an",$D13="1 X"),VLOOKUP($D13,PedTblTijden!$A$16:$X$26,PedTblTijden!O$14,FALSE),"")</f>
        <v/>
      </c>
      <c r="V13" s="93" t="str">
        <f>IF(OR($D13="1 dd",$D13="2 dd",$D13="3 dd",$D13="4 dd",$D13="6 dd",$D13="8 dd",$D13="12 dd",$D13="an",$D13="1 X"),VLOOKUP($D13,PedTblTijden!$A$16:$X$26,PedTblTijden!P$14,FALSE),"")</f>
        <v/>
      </c>
      <c r="W13" s="12" t="str">
        <f>IF(OR($D13="1 dd",$D13="2 dd",$D13="3 dd",$D13="4 dd",$D13="6 dd",$D13="8 dd",$D13="12 dd",$D13="an",$D13="1 X"),VLOOKUP($D13,PedTblTijden!$A$16:$X$26,PedTblTijden!Q$14,FALSE),"")</f>
        <v/>
      </c>
      <c r="X13" s="93" t="str">
        <f>IF(OR($D13="1 dd",$D13="2 dd",$D13="3 dd",$D13="4 dd",$D13="6 dd",$D13="8 dd",$D13="12 dd",$D13="an",$D13="1 X"),VLOOKUP($D13,PedTblTijden!$A$16:$X$26,PedTblTijden!R$14,FALSE),"")</f>
        <v/>
      </c>
      <c r="Y13" s="12" t="str">
        <f>IF(OR($D13="1 dd",$D13="2 dd",$D13="3 dd",$D13="4 dd",$D13="6 dd",$D13="8 dd",$D13="12 dd",$D13="an",$D13="1 X"),VLOOKUP($D13,PedTblTijden!$A$16:$X$26,PedTblTijden!S$14,FALSE),"")</f>
        <v/>
      </c>
      <c r="Z13" s="93" t="str">
        <f>IF(OR($D13="1 dd",$D13="2 dd",$D13="3 dd",$D13="4 dd",$D13="6 dd",$D13="8 dd",$D13="12 dd",$D13="an",$D13="1 X"),VLOOKUP($D13,PedTblTijden!$A$16:$X$26,PedTblTijden!T$14,FALSE),"")</f>
        <v/>
      </c>
      <c r="AA13" s="12" t="str">
        <f>IF(OR($D13="1 dd",$D13="2 dd",$D13="3 dd",$D13="4 dd",$D13="6 dd",$D13="8 dd",$D13="12 dd",$D13="an",$D13="1 X"),VLOOKUP($D13,PedTblTijden!$A$16:$X$26,PedTblTijden!U$14,FALSE),"")</f>
        <v/>
      </c>
      <c r="AB13" s="93" t="str">
        <f>IF(OR($D13="1 dd",$D13="2 dd",$D13="3 dd",$D13="4 dd",$D13="6 dd",$D13="8 dd",$D13="12 dd",$D13="an",$D13="1 X"),VLOOKUP($D13,PedTblTijden!$A$16:$X$26,PedTblTijden!V$14,FALSE),"")</f>
        <v/>
      </c>
      <c r="AC13" s="12" t="str">
        <f>IF(OR($D13="1 dd",$D13="2 dd",$D13="3 dd",$D13="4 dd",$D13="6 dd",$D13="8 dd",$D13="12 dd",$D13="an",$D13="1 X"),VLOOKUP($D13,PedTblTijden!$A$16:$X$26,PedTblTijden!W$14,FALSE),"")</f>
        <v/>
      </c>
      <c r="AD13" s="93" t="str">
        <f>IF(OR($D13="1 dd",$D13="2 dd",$D13="3 dd",$D13="4 dd",$D13="6 dd",$D13="8 dd",$D13="12 dd",$D13="an",$D13="1 X"),VLOOKUP($D13,PedTblTijden!$A$16:$X$26,PedTblTijden!X$14,FALSE),"")</f>
        <v/>
      </c>
      <c r="AE13" s="14"/>
      <c r="AF13" s="92"/>
      <c r="AG13" s="14"/>
    </row>
    <row r="14" spans="1:33" ht="26.1" customHeight="1" x14ac:dyDescent="0.2">
      <c r="B14" s="94"/>
      <c r="C14" s="125" t="str">
        <f>IF(GlobBerMedDisc!C13&lt;&gt;"",IF(GlobBerMedDisc!C13&gt;1,TRIM(GlobBerMedDisc!C13)&amp;", "&amp;GlobBerOpm!#REF!&amp;" ("&amp;GlobBerMedDisc!M13&amp;" "&amp;GlobBerMedDisc!F13&amp;"/kg/dag)",TRIM(GlobBerMedDisc!C13)&amp;", "&amp;GlobBerOpm!#REF!),"")</f>
        <v/>
      </c>
      <c r="D14" s="126" t="str">
        <f>IF(GlobGuiMedDisc!I20&lt;&gt;"",GlobGuiMedDisc!I20,"")</f>
        <v/>
      </c>
      <c r="E14" s="127" t="str">
        <f>IF(AND(D14&lt;&gt;"",D14&lt;&gt;"STOP"),GlobBerMedDisc!H13&amp;" "&amp;GlobBerMedDisc!F13,"")</f>
        <v/>
      </c>
      <c r="F14" s="127" t="str">
        <f>IF(AND(D14&lt;&gt;"",D14&lt;&gt;"STOP"),GlobBerMedDisc!L13," ")</f>
        <v xml:space="preserve"> </v>
      </c>
      <c r="G14" s="127" t="str">
        <f>IF(GlobGuiMedDisc!N20&lt;&gt;"",GlobGuiMedDisc!N20&amp;" "&amp;GlobGuiMedDisc!O20&amp;" "&amp;INDEX(GlobBerMedDisc!$B$27:$B$30,GlobBerMedDisc!O13,1)&amp;" in "&amp;GlobGuiMedDisc!$R$20,"")</f>
        <v/>
      </c>
      <c r="H14" s="93" t="str">
        <f>IF(OR($D14="1 dd",$D14="2 dd",$D14="3 dd",$D14="4 dd",$D14="6 dd",$D14="8 dd",$D14="12 dd",$D14="an",$D14="1 X"),VLOOKUP($D14,PedTblTijden!$A$16:$X$26,PedTblTijden!B$14,FALSE),"")</f>
        <v/>
      </c>
      <c r="I14" s="12" t="str">
        <f>IF(OR($D14="1 dd",$D14="2 dd",$D14="3 dd",$D14="4 dd",$D14="6 dd",$D14="8 dd",$D14="12 dd",$D14="an",$D14="1 X"),VLOOKUP($D14,PedTblTijden!$A$16:$X$26,PedTblTijden!C$14,FALSE),"")</f>
        <v/>
      </c>
      <c r="J14" s="93" t="str">
        <f>IF(OR($D14="1 dd",$D14="2 dd",$D14="3 dd",$D14="4 dd",$D14="6 dd",$D14="8 dd",$D14="12 dd",$D14="an",$D14="1 X"),VLOOKUP($D14,PedTblTijden!$A$16:$X$26,PedTblTijden!D$14,FALSE),"")</f>
        <v/>
      </c>
      <c r="K14" s="12" t="str">
        <f>IF(OR($D14="1 dd",$D14="2 dd",$D14="3 dd",$D14="4 dd",$D14="6 dd",$D14="8 dd",$D14="12 dd",$D14="an",$D14="1 X"),VLOOKUP($D14,PedTblTijden!$A$16:$X$26,PedTblTijden!E$14,FALSE),"")</f>
        <v/>
      </c>
      <c r="L14" s="93" t="str">
        <f>IF(OR($D14="1 dd",$D14="2 dd",$D14="3 dd",$D14="4 dd",$D14="6 dd",$D14="8 dd",$D14="12 dd",$D14="an",$D14="1 X"),VLOOKUP($D14,PedTblTijden!$A$16:$X$26,PedTblTijden!F$14,FALSE),"")</f>
        <v/>
      </c>
      <c r="M14" s="12" t="str">
        <f>IF(OR($D14="1 dd",$D14="2 dd",$D14="3 dd",$D14="4 dd",$D14="6 dd",$D14="8 dd",$D14="12 dd",$D14="an",$D14="1 X"),VLOOKUP($D14,PedTblTijden!$A$16:$X$26,PedTblTijden!G$14,FALSE),"")</f>
        <v/>
      </c>
      <c r="N14" s="93" t="str">
        <f>IF(OR($D14="1 dd",$D14="2 dd",$D14="3 dd",$D14="4 dd",$D14="6 dd",$D14="8 dd",$D14="12 dd",$D14="an",$D14="1 X"),VLOOKUP($D14,PedTblTijden!$A$16:$X$26,PedTblTijden!H$14,FALSE),"")</f>
        <v/>
      </c>
      <c r="O14" s="12" t="str">
        <f>IF(OR($D14="1 dd",$D14="2 dd",$D14="3 dd",$D14="4 dd",$D14="6 dd",$D14="8 dd",$D14="12 dd",$D14="an",$D14="1 X"),VLOOKUP($D14,PedTblTijden!$A$16:$X$26,PedTblTijden!I$14,FALSE),"")</f>
        <v/>
      </c>
      <c r="P14" s="93" t="str">
        <f>IF(OR($D14="1 dd",$D14="2 dd",$D14="3 dd",$D14="4 dd",$D14="6 dd",$D14="8 dd",$D14="12 dd",$D14="an",$D14="1 X"),VLOOKUP($D14,PedTblTijden!$A$16:$X$26,PedTblTijden!J$14,FALSE),"")</f>
        <v/>
      </c>
      <c r="Q14" s="12" t="str">
        <f>IF(OR($D14="1 dd",$D14="2 dd",$D14="3 dd",$D14="4 dd",$D14="6 dd",$D14="8 dd",$D14="12 dd",$D14="an",$D14="1 X"),VLOOKUP($D14,PedTblTijden!$A$16:$X$26,PedTblTijden!K$14,FALSE),"")</f>
        <v/>
      </c>
      <c r="R14" s="93" t="str">
        <f>IF(OR($D14="1 dd",$D14="2 dd",$D14="3 dd",$D14="4 dd",$D14="6 dd",$D14="8 dd",$D14="12 dd",$D14="an",$D14="1 X"),VLOOKUP($D14,PedTblTijden!$A$16:$X$26,PedTblTijden!L$14,FALSE),"")</f>
        <v/>
      </c>
      <c r="S14" s="12" t="str">
        <f>IF(OR($D14="1 dd",$D14="2 dd",$D14="3 dd",$D14="4 dd",$D14="6 dd",$D14="8 dd",$D14="12 dd",$D14="an",$D14="1 X"),VLOOKUP($D14,PedTblTijden!$A$16:$X$26,PedTblTijden!M$14,FALSE),"")</f>
        <v/>
      </c>
      <c r="T14" s="93" t="str">
        <f>IF(OR($D14="1 dd",$D14="2 dd",$D14="3 dd",$D14="4 dd",$D14="6 dd",$D14="8 dd",$D14="12 dd",$D14="an",$D14="1 X"),VLOOKUP($D14,PedTblTijden!$A$16:$X$26,PedTblTijden!N$14,FALSE),"")</f>
        <v/>
      </c>
      <c r="U14" s="12" t="str">
        <f>IF(OR($D14="1 dd",$D14="2 dd",$D14="3 dd",$D14="4 dd",$D14="6 dd",$D14="8 dd",$D14="12 dd",$D14="an",$D14="1 X"),VLOOKUP($D14,PedTblTijden!$A$16:$X$26,PedTblTijden!O$14,FALSE),"")</f>
        <v/>
      </c>
      <c r="V14" s="93" t="str">
        <f>IF(OR($D14="1 dd",$D14="2 dd",$D14="3 dd",$D14="4 dd",$D14="6 dd",$D14="8 dd",$D14="12 dd",$D14="an",$D14="1 X"),VLOOKUP($D14,PedTblTijden!$A$16:$X$26,PedTblTijden!P$14,FALSE),"")</f>
        <v/>
      </c>
      <c r="W14" s="12" t="str">
        <f>IF(OR($D14="1 dd",$D14="2 dd",$D14="3 dd",$D14="4 dd",$D14="6 dd",$D14="8 dd",$D14="12 dd",$D14="an",$D14="1 X"),VLOOKUP($D14,PedTblTijden!$A$16:$X$26,PedTblTijden!Q$14,FALSE),"")</f>
        <v/>
      </c>
      <c r="X14" s="93" t="str">
        <f>IF(OR($D14="1 dd",$D14="2 dd",$D14="3 dd",$D14="4 dd",$D14="6 dd",$D14="8 dd",$D14="12 dd",$D14="an",$D14="1 X"),VLOOKUP($D14,PedTblTijden!$A$16:$X$26,PedTblTijden!R$14,FALSE),"")</f>
        <v/>
      </c>
      <c r="Y14" s="12" t="str">
        <f>IF(OR($D14="1 dd",$D14="2 dd",$D14="3 dd",$D14="4 dd",$D14="6 dd",$D14="8 dd",$D14="12 dd",$D14="an",$D14="1 X"),VLOOKUP($D14,PedTblTijden!$A$16:$X$26,PedTblTijden!S$14,FALSE),"")</f>
        <v/>
      </c>
      <c r="Z14" s="93" t="str">
        <f>IF(OR($D14="1 dd",$D14="2 dd",$D14="3 dd",$D14="4 dd",$D14="6 dd",$D14="8 dd",$D14="12 dd",$D14="an",$D14="1 X"),VLOOKUP($D14,PedTblTijden!$A$16:$X$26,PedTblTijden!T$14,FALSE),"")</f>
        <v/>
      </c>
      <c r="AA14" s="12" t="str">
        <f>IF(OR($D14="1 dd",$D14="2 dd",$D14="3 dd",$D14="4 dd",$D14="6 dd",$D14="8 dd",$D14="12 dd",$D14="an",$D14="1 X"),VLOOKUP($D14,PedTblTijden!$A$16:$X$26,PedTblTijden!U$14,FALSE),"")</f>
        <v/>
      </c>
      <c r="AB14" s="93" t="str">
        <f>IF(OR($D14="1 dd",$D14="2 dd",$D14="3 dd",$D14="4 dd",$D14="6 dd",$D14="8 dd",$D14="12 dd",$D14="an",$D14="1 X"),VLOOKUP($D14,PedTblTijden!$A$16:$X$26,PedTblTijden!V$14,FALSE),"")</f>
        <v/>
      </c>
      <c r="AC14" s="12" t="str">
        <f>IF(OR($D14="1 dd",$D14="2 dd",$D14="3 dd",$D14="4 dd",$D14="6 dd",$D14="8 dd",$D14="12 dd",$D14="an",$D14="1 X"),VLOOKUP($D14,PedTblTijden!$A$16:$X$26,PedTblTijden!W$14,FALSE),"")</f>
        <v/>
      </c>
      <c r="AD14" s="93" t="str">
        <f>IF(OR($D14="1 dd",$D14="2 dd",$D14="3 dd",$D14="4 dd",$D14="6 dd",$D14="8 dd",$D14="12 dd",$D14="an",$D14="1 X"),VLOOKUP($D14,PedTblTijden!$A$16:$X$26,PedTblTijden!X$14,FALSE),"")</f>
        <v/>
      </c>
      <c r="AE14" s="14"/>
      <c r="AF14" s="92"/>
      <c r="AG14" s="14"/>
    </row>
    <row r="15" spans="1:33" ht="26.1" customHeight="1" x14ac:dyDescent="0.2">
      <c r="B15" s="94"/>
      <c r="C15" s="125" t="str">
        <f>IF(GlobBerMedDisc!C14&lt;&gt;"",IF(GlobBerMedDisc!C14&gt;1,TRIM(GlobBerMedDisc!C14)&amp;", "&amp;GlobBerOpm!#REF!&amp;" ("&amp;GlobBerMedDisc!M14&amp;" "&amp;GlobBerMedDisc!F14&amp;"/kg/dag)",TRIM(GlobBerMedDisc!C14)&amp;", "&amp;GlobBerOpm!#REF!),"")</f>
        <v/>
      </c>
      <c r="D15" s="126" t="str">
        <f>IF(GlobGuiMedDisc!I21&lt;&gt;"",GlobGuiMedDisc!I21,"")</f>
        <v/>
      </c>
      <c r="E15" s="127" t="str">
        <f>IF(AND(D15&lt;&gt;"",D15&lt;&gt;"STOP"),GlobBerMedDisc!H14&amp;" "&amp;GlobBerMedDisc!F14,"")</f>
        <v/>
      </c>
      <c r="F15" s="127" t="str">
        <f>IF(AND(D15&lt;&gt;"",D15&lt;&gt;"STOP"),GlobBerMedDisc!L14," ")</f>
        <v xml:space="preserve"> </v>
      </c>
      <c r="G15" s="127" t="str">
        <f>IF(GlobGuiMedDisc!N21&lt;&gt;"",GlobGuiMedDisc!N21&amp;" "&amp;GlobGuiMedDisc!O21&amp;" "&amp;INDEX(GlobBerMedDisc!$B$27:$B$30,GlobBerMedDisc!O14,1)&amp;" in "&amp;GlobGuiMedDisc!$R$21,"")</f>
        <v/>
      </c>
      <c r="H15" s="93" t="str">
        <f>IF(OR($D15="1 dd",$D15="2 dd",$D15="3 dd",$D15="4 dd",$D15="6 dd",$D15="8 dd",$D15="12 dd",$D15="an",$D15="1 X"),VLOOKUP($D15,PedTblTijden!$A$16:$X$26,PedTblTijden!B$14,FALSE),"")</f>
        <v/>
      </c>
      <c r="I15" s="12" t="str">
        <f>IF(OR($D15="1 dd",$D15="2 dd",$D15="3 dd",$D15="4 dd",$D15="6 dd",$D15="8 dd",$D15="12 dd",$D15="an",$D15="1 X"),VLOOKUP($D15,PedTblTijden!$A$16:$X$26,PedTblTijden!C$14,FALSE),"")</f>
        <v/>
      </c>
      <c r="J15" s="93" t="str">
        <f>IF(OR($D15="1 dd",$D15="2 dd",$D15="3 dd",$D15="4 dd",$D15="6 dd",$D15="8 dd",$D15="12 dd",$D15="an",$D15="1 X"),VLOOKUP($D15,PedTblTijden!$A$16:$X$26,PedTblTijden!D$14,FALSE),"")</f>
        <v/>
      </c>
      <c r="K15" s="12" t="str">
        <f>IF(OR($D15="1 dd",$D15="2 dd",$D15="3 dd",$D15="4 dd",$D15="6 dd",$D15="8 dd",$D15="12 dd",$D15="an",$D15="1 X"),VLOOKUP($D15,PedTblTijden!$A$16:$X$26,PedTblTijden!E$14,FALSE),"")</f>
        <v/>
      </c>
      <c r="L15" s="93" t="str">
        <f>IF(OR($D15="1 dd",$D15="2 dd",$D15="3 dd",$D15="4 dd",$D15="6 dd",$D15="8 dd",$D15="12 dd",$D15="an",$D15="1 X"),VLOOKUP($D15,PedTblTijden!$A$16:$X$26,PedTblTijden!F$14,FALSE),"")</f>
        <v/>
      </c>
      <c r="M15" s="12" t="str">
        <f>IF(OR($D15="1 dd",$D15="2 dd",$D15="3 dd",$D15="4 dd",$D15="6 dd",$D15="8 dd",$D15="12 dd",$D15="an",$D15="1 X"),VLOOKUP($D15,PedTblTijden!$A$16:$X$26,PedTblTijden!G$14,FALSE),"")</f>
        <v/>
      </c>
      <c r="N15" s="93" t="str">
        <f>IF(OR($D15="1 dd",$D15="2 dd",$D15="3 dd",$D15="4 dd",$D15="6 dd",$D15="8 dd",$D15="12 dd",$D15="an",$D15="1 X"),VLOOKUP($D15,PedTblTijden!$A$16:$X$26,PedTblTijden!H$14,FALSE),"")</f>
        <v/>
      </c>
      <c r="O15" s="12" t="str">
        <f>IF(OR($D15="1 dd",$D15="2 dd",$D15="3 dd",$D15="4 dd",$D15="6 dd",$D15="8 dd",$D15="12 dd",$D15="an",$D15="1 X"),VLOOKUP($D15,PedTblTijden!$A$16:$X$26,PedTblTijden!I$14,FALSE),"")</f>
        <v/>
      </c>
      <c r="P15" s="93" t="str">
        <f>IF(OR($D15="1 dd",$D15="2 dd",$D15="3 dd",$D15="4 dd",$D15="6 dd",$D15="8 dd",$D15="12 dd",$D15="an",$D15="1 X"),VLOOKUP($D15,PedTblTijden!$A$16:$X$26,PedTblTijden!J$14,FALSE),"")</f>
        <v/>
      </c>
      <c r="Q15" s="12" t="str">
        <f>IF(OR($D15="1 dd",$D15="2 dd",$D15="3 dd",$D15="4 dd",$D15="6 dd",$D15="8 dd",$D15="12 dd",$D15="an",$D15="1 X"),VLOOKUP($D15,PedTblTijden!$A$16:$X$26,PedTblTijden!K$14,FALSE),"")</f>
        <v/>
      </c>
      <c r="R15" s="93" t="str">
        <f>IF(OR($D15="1 dd",$D15="2 dd",$D15="3 dd",$D15="4 dd",$D15="6 dd",$D15="8 dd",$D15="12 dd",$D15="an",$D15="1 X"),VLOOKUP($D15,PedTblTijden!$A$16:$X$26,PedTblTijden!L$14,FALSE),"")</f>
        <v/>
      </c>
      <c r="S15" s="12" t="str">
        <f>IF(OR($D15="1 dd",$D15="2 dd",$D15="3 dd",$D15="4 dd",$D15="6 dd",$D15="8 dd",$D15="12 dd",$D15="an",$D15="1 X"),VLOOKUP($D15,PedTblTijden!$A$16:$X$26,PedTblTijden!M$14,FALSE),"")</f>
        <v/>
      </c>
      <c r="T15" s="93" t="str">
        <f>IF(OR($D15="1 dd",$D15="2 dd",$D15="3 dd",$D15="4 dd",$D15="6 dd",$D15="8 dd",$D15="12 dd",$D15="an",$D15="1 X"),VLOOKUP($D15,PedTblTijden!$A$16:$X$26,PedTblTijden!N$14,FALSE),"")</f>
        <v/>
      </c>
      <c r="U15" s="12" t="str">
        <f>IF(OR($D15="1 dd",$D15="2 dd",$D15="3 dd",$D15="4 dd",$D15="6 dd",$D15="8 dd",$D15="12 dd",$D15="an",$D15="1 X"),VLOOKUP($D15,PedTblTijden!$A$16:$X$26,PedTblTijden!O$14,FALSE),"")</f>
        <v/>
      </c>
      <c r="V15" s="93" t="str">
        <f>IF(OR($D15="1 dd",$D15="2 dd",$D15="3 dd",$D15="4 dd",$D15="6 dd",$D15="8 dd",$D15="12 dd",$D15="an",$D15="1 X"),VLOOKUP($D15,PedTblTijden!$A$16:$X$26,PedTblTijden!P$14,FALSE),"")</f>
        <v/>
      </c>
      <c r="W15" s="12" t="str">
        <f>IF(OR($D15="1 dd",$D15="2 dd",$D15="3 dd",$D15="4 dd",$D15="6 dd",$D15="8 dd",$D15="12 dd",$D15="an",$D15="1 X"),VLOOKUP($D15,PedTblTijden!$A$16:$X$26,PedTblTijden!Q$14,FALSE),"")</f>
        <v/>
      </c>
      <c r="X15" s="93" t="str">
        <f>IF(OR($D15="1 dd",$D15="2 dd",$D15="3 dd",$D15="4 dd",$D15="6 dd",$D15="8 dd",$D15="12 dd",$D15="an",$D15="1 X"),VLOOKUP($D15,PedTblTijden!$A$16:$X$26,PedTblTijden!R$14,FALSE),"")</f>
        <v/>
      </c>
      <c r="Y15" s="12" t="str">
        <f>IF(OR($D15="1 dd",$D15="2 dd",$D15="3 dd",$D15="4 dd",$D15="6 dd",$D15="8 dd",$D15="12 dd",$D15="an",$D15="1 X"),VLOOKUP($D15,PedTblTijden!$A$16:$X$26,PedTblTijden!S$14,FALSE),"")</f>
        <v/>
      </c>
      <c r="Z15" s="93" t="str">
        <f>IF(OR($D15="1 dd",$D15="2 dd",$D15="3 dd",$D15="4 dd",$D15="6 dd",$D15="8 dd",$D15="12 dd",$D15="an",$D15="1 X"),VLOOKUP($D15,PedTblTijden!$A$16:$X$26,PedTblTijden!T$14,FALSE),"")</f>
        <v/>
      </c>
      <c r="AA15" s="12" t="str">
        <f>IF(OR($D15="1 dd",$D15="2 dd",$D15="3 dd",$D15="4 dd",$D15="6 dd",$D15="8 dd",$D15="12 dd",$D15="an",$D15="1 X"),VLOOKUP($D15,PedTblTijden!$A$16:$X$26,PedTblTijden!U$14,FALSE),"")</f>
        <v/>
      </c>
      <c r="AB15" s="93" t="str">
        <f>IF(OR($D15="1 dd",$D15="2 dd",$D15="3 dd",$D15="4 dd",$D15="6 dd",$D15="8 dd",$D15="12 dd",$D15="an",$D15="1 X"),VLOOKUP($D15,PedTblTijden!$A$16:$X$26,PedTblTijden!V$14,FALSE),"")</f>
        <v/>
      </c>
      <c r="AC15" s="12" t="str">
        <f>IF(OR($D15="1 dd",$D15="2 dd",$D15="3 dd",$D15="4 dd",$D15="6 dd",$D15="8 dd",$D15="12 dd",$D15="an",$D15="1 X"),VLOOKUP($D15,PedTblTijden!$A$16:$X$26,PedTblTijden!W$14,FALSE),"")</f>
        <v/>
      </c>
      <c r="AD15" s="93" t="str">
        <f>IF(OR($D15="1 dd",$D15="2 dd",$D15="3 dd",$D15="4 dd",$D15="6 dd",$D15="8 dd",$D15="12 dd",$D15="an",$D15="1 X"),VLOOKUP($D15,PedTblTijden!$A$16:$X$26,PedTblTijden!X$14,FALSE),"")</f>
        <v/>
      </c>
      <c r="AE15" s="14"/>
      <c r="AF15" s="92"/>
      <c r="AG15" s="14"/>
    </row>
    <row r="16" spans="1:33" ht="26.1" customHeight="1" x14ac:dyDescent="0.2">
      <c r="B16" s="94"/>
      <c r="C16" s="125" t="str">
        <f>IF(GlobBerMedDisc!C15&lt;&gt;"",IF(GlobBerMedDisc!C15&gt;1,TRIM(GlobBerMedDisc!C15)&amp;", "&amp;GlobBerOpm!#REF!&amp;" ("&amp;GlobBerMedDisc!M15&amp;" "&amp;GlobBerMedDisc!F15&amp;"/kg/dag)",TRIM(GlobBerMedDisc!C15)&amp;", "&amp;GlobBerOpm!#REF!),"")</f>
        <v/>
      </c>
      <c r="D16" s="126" t="str">
        <f>IF(GlobGuiMedDisc!I22&lt;&gt;"",GlobGuiMedDisc!I22,"")</f>
        <v/>
      </c>
      <c r="E16" s="127" t="str">
        <f>IF(AND(D16&lt;&gt;"",D16&lt;&gt;"STOP"),GlobBerMedDisc!H15&amp;" "&amp;GlobBerMedDisc!F15,"")</f>
        <v/>
      </c>
      <c r="F16" s="127" t="str">
        <f>IF(AND(D16&lt;&gt;"",D16&lt;&gt;"STOP"),GlobBerMedDisc!L15," ")</f>
        <v xml:space="preserve"> </v>
      </c>
      <c r="G16" s="127" t="str">
        <f>IF(GlobGuiMedDisc!N22&lt;&gt;"",GlobGuiMedDisc!N22&amp;" "&amp;GlobGuiMedDisc!O22&amp;" "&amp;INDEX(GlobBerMedDisc!$B$27:$B$30,GlobBerMedDisc!O15,1)&amp;" in "&amp;GlobGuiMedDisc!$R$22,"")</f>
        <v/>
      </c>
      <c r="H16" s="93" t="str">
        <f>IF(OR($D16="1 dd",$D16="2 dd",$D16="3 dd",$D16="4 dd",$D16="6 dd",$D16="8 dd",$D16="12 dd",$D16="an",$D16="1 X"),VLOOKUP($D16,PedTblTijden!$A$16:$X$26,PedTblTijden!B$14,FALSE),"")</f>
        <v/>
      </c>
      <c r="I16" s="12" t="str">
        <f>IF(OR($D16="1 dd",$D16="2 dd",$D16="3 dd",$D16="4 dd",$D16="6 dd",$D16="8 dd",$D16="12 dd",$D16="an",$D16="1 X"),VLOOKUP($D16,PedTblTijden!$A$16:$X$26,PedTblTijden!C$14,FALSE),"")</f>
        <v/>
      </c>
      <c r="J16" s="93" t="str">
        <f>IF(OR($D16="1 dd",$D16="2 dd",$D16="3 dd",$D16="4 dd",$D16="6 dd",$D16="8 dd",$D16="12 dd",$D16="an",$D16="1 X"),VLOOKUP($D16,PedTblTijden!$A$16:$X$26,PedTblTijden!D$14,FALSE),"")</f>
        <v/>
      </c>
      <c r="K16" s="12" t="str">
        <f>IF(OR($D16="1 dd",$D16="2 dd",$D16="3 dd",$D16="4 dd",$D16="6 dd",$D16="8 dd",$D16="12 dd",$D16="an",$D16="1 X"),VLOOKUP($D16,PedTblTijden!$A$16:$X$26,PedTblTijden!E$14,FALSE),"")</f>
        <v/>
      </c>
      <c r="L16" s="93" t="str">
        <f>IF(OR($D16="1 dd",$D16="2 dd",$D16="3 dd",$D16="4 dd",$D16="6 dd",$D16="8 dd",$D16="12 dd",$D16="an",$D16="1 X"),VLOOKUP($D16,PedTblTijden!$A$16:$X$26,PedTblTijden!F$14,FALSE),"")</f>
        <v/>
      </c>
      <c r="M16" s="12" t="str">
        <f>IF(OR($D16="1 dd",$D16="2 dd",$D16="3 dd",$D16="4 dd",$D16="6 dd",$D16="8 dd",$D16="12 dd",$D16="an",$D16="1 X"),VLOOKUP($D16,PedTblTijden!$A$16:$X$26,PedTblTijden!G$14,FALSE),"")</f>
        <v/>
      </c>
      <c r="N16" s="93" t="str">
        <f>IF(OR($D16="1 dd",$D16="2 dd",$D16="3 dd",$D16="4 dd",$D16="6 dd",$D16="8 dd",$D16="12 dd",$D16="an",$D16="1 X"),VLOOKUP($D16,PedTblTijden!$A$16:$X$26,PedTblTijden!H$14,FALSE),"")</f>
        <v/>
      </c>
      <c r="O16" s="12" t="str">
        <f>IF(OR($D16="1 dd",$D16="2 dd",$D16="3 dd",$D16="4 dd",$D16="6 dd",$D16="8 dd",$D16="12 dd",$D16="an",$D16="1 X"),VLOOKUP($D16,PedTblTijden!$A$16:$X$26,PedTblTijden!I$14,FALSE),"")</f>
        <v/>
      </c>
      <c r="P16" s="93" t="str">
        <f>IF(OR($D16="1 dd",$D16="2 dd",$D16="3 dd",$D16="4 dd",$D16="6 dd",$D16="8 dd",$D16="12 dd",$D16="an",$D16="1 X"),VLOOKUP($D16,PedTblTijden!$A$16:$X$26,PedTblTijden!J$14,FALSE),"")</f>
        <v/>
      </c>
      <c r="Q16" s="12" t="str">
        <f>IF(OR($D16="1 dd",$D16="2 dd",$D16="3 dd",$D16="4 dd",$D16="6 dd",$D16="8 dd",$D16="12 dd",$D16="an",$D16="1 X"),VLOOKUP($D16,PedTblTijden!$A$16:$X$26,PedTblTijden!K$14,FALSE),"")</f>
        <v/>
      </c>
      <c r="R16" s="93" t="str">
        <f>IF(OR($D16="1 dd",$D16="2 dd",$D16="3 dd",$D16="4 dd",$D16="6 dd",$D16="8 dd",$D16="12 dd",$D16="an",$D16="1 X"),VLOOKUP($D16,PedTblTijden!$A$16:$X$26,PedTblTijden!L$14,FALSE),"")</f>
        <v/>
      </c>
      <c r="S16" s="12" t="str">
        <f>IF(OR($D16="1 dd",$D16="2 dd",$D16="3 dd",$D16="4 dd",$D16="6 dd",$D16="8 dd",$D16="12 dd",$D16="an",$D16="1 X"),VLOOKUP($D16,PedTblTijden!$A$16:$X$26,PedTblTijden!M$14,FALSE),"")</f>
        <v/>
      </c>
      <c r="T16" s="93" t="str">
        <f>IF(OR($D16="1 dd",$D16="2 dd",$D16="3 dd",$D16="4 dd",$D16="6 dd",$D16="8 dd",$D16="12 dd",$D16="an",$D16="1 X"),VLOOKUP($D16,PedTblTijden!$A$16:$X$26,PedTblTijden!N$14,FALSE),"")</f>
        <v/>
      </c>
      <c r="U16" s="12" t="str">
        <f>IF(OR($D16="1 dd",$D16="2 dd",$D16="3 dd",$D16="4 dd",$D16="6 dd",$D16="8 dd",$D16="12 dd",$D16="an",$D16="1 X"),VLOOKUP($D16,PedTblTijden!$A$16:$X$26,PedTblTijden!O$14,FALSE),"")</f>
        <v/>
      </c>
      <c r="V16" s="93" t="str">
        <f>IF(OR($D16="1 dd",$D16="2 dd",$D16="3 dd",$D16="4 dd",$D16="6 dd",$D16="8 dd",$D16="12 dd",$D16="an",$D16="1 X"),VLOOKUP($D16,PedTblTijden!$A$16:$X$26,PedTblTijden!P$14,FALSE),"")</f>
        <v/>
      </c>
      <c r="W16" s="12" t="str">
        <f>IF(OR($D16="1 dd",$D16="2 dd",$D16="3 dd",$D16="4 dd",$D16="6 dd",$D16="8 dd",$D16="12 dd",$D16="an",$D16="1 X"),VLOOKUP($D16,PedTblTijden!$A$16:$X$26,PedTblTijden!Q$14,FALSE),"")</f>
        <v/>
      </c>
      <c r="X16" s="93" t="str">
        <f>IF(OR($D16="1 dd",$D16="2 dd",$D16="3 dd",$D16="4 dd",$D16="6 dd",$D16="8 dd",$D16="12 dd",$D16="an",$D16="1 X"),VLOOKUP($D16,PedTblTijden!$A$16:$X$26,PedTblTijden!R$14,FALSE),"")</f>
        <v/>
      </c>
      <c r="Y16" s="12" t="str">
        <f>IF(OR($D16="1 dd",$D16="2 dd",$D16="3 dd",$D16="4 dd",$D16="6 dd",$D16="8 dd",$D16="12 dd",$D16="an",$D16="1 X"),VLOOKUP($D16,PedTblTijden!$A$16:$X$26,PedTblTijden!S$14,FALSE),"")</f>
        <v/>
      </c>
      <c r="Z16" s="93" t="str">
        <f>IF(OR($D16="1 dd",$D16="2 dd",$D16="3 dd",$D16="4 dd",$D16="6 dd",$D16="8 dd",$D16="12 dd",$D16="an",$D16="1 X"),VLOOKUP($D16,PedTblTijden!$A$16:$X$26,PedTblTijden!T$14,FALSE),"")</f>
        <v/>
      </c>
      <c r="AA16" s="12" t="str">
        <f>IF(OR($D16="1 dd",$D16="2 dd",$D16="3 dd",$D16="4 dd",$D16="6 dd",$D16="8 dd",$D16="12 dd",$D16="an",$D16="1 X"),VLOOKUP($D16,PedTblTijden!$A$16:$X$26,PedTblTijden!U$14,FALSE),"")</f>
        <v/>
      </c>
      <c r="AB16" s="93" t="str">
        <f>IF(OR($D16="1 dd",$D16="2 dd",$D16="3 dd",$D16="4 dd",$D16="6 dd",$D16="8 dd",$D16="12 dd",$D16="an",$D16="1 X"),VLOOKUP($D16,PedTblTijden!$A$16:$X$26,PedTblTijden!V$14,FALSE),"")</f>
        <v/>
      </c>
      <c r="AC16" s="12" t="str">
        <f>IF(OR($D16="1 dd",$D16="2 dd",$D16="3 dd",$D16="4 dd",$D16="6 dd",$D16="8 dd",$D16="12 dd",$D16="an",$D16="1 X"),VLOOKUP($D16,PedTblTijden!$A$16:$X$26,PedTblTijden!W$14,FALSE),"")</f>
        <v/>
      </c>
      <c r="AD16" s="93" t="str">
        <f>IF(OR($D16="1 dd",$D16="2 dd",$D16="3 dd",$D16="4 dd",$D16="6 dd",$D16="8 dd",$D16="12 dd",$D16="an",$D16="1 X"),VLOOKUP($D16,PedTblTijden!$A$16:$X$26,PedTblTijden!X$14,FALSE),"")</f>
        <v/>
      </c>
      <c r="AE16" s="14"/>
      <c r="AF16" s="92"/>
      <c r="AG16" s="14"/>
    </row>
    <row r="17" spans="2:33" ht="26.1" customHeight="1" x14ac:dyDescent="0.2">
      <c r="B17" s="94"/>
      <c r="C17" s="125" t="str">
        <f>IF(GlobBerMedDisc!C16&lt;&gt;"",IF(GlobBerMedDisc!C16&gt;1,TRIM(GlobBerMedDisc!C16)&amp;", "&amp;GlobBerOpm!#REF!&amp;" ("&amp;GlobBerMedDisc!M16&amp;" "&amp;GlobBerMedDisc!F16&amp;"/kg/dag)",TRIM(GlobBerMedDisc!C16)&amp;", "&amp;GlobBerOpm!#REF!),"")</f>
        <v/>
      </c>
      <c r="D17" s="126" t="str">
        <f>IF(GlobGuiMedDisc!I23&lt;&gt;"",GlobGuiMedDisc!I23,"")</f>
        <v/>
      </c>
      <c r="E17" s="127" t="str">
        <f>IF(AND(D17&lt;&gt;"",D17&lt;&gt;"STOP"),GlobBerMedDisc!H16&amp;" "&amp;GlobBerMedDisc!F16,"")</f>
        <v/>
      </c>
      <c r="F17" s="127" t="str">
        <f>IF(AND(D17&lt;&gt;"",D17&lt;&gt;"STOP"),GlobBerMedDisc!L16," ")</f>
        <v xml:space="preserve"> </v>
      </c>
      <c r="G17" s="127" t="str">
        <f>IF(GlobGuiMedDisc!N23&lt;&gt;"",GlobGuiMedDisc!N23&amp;" "&amp;GlobGuiMedDisc!O23&amp;" "&amp;INDEX(GlobBerMedDisc!$B$27:$B$30,GlobBerMedDisc!O16,1)&amp;" in "&amp;GlobGuiMedDisc!$R$23,"")</f>
        <v/>
      </c>
      <c r="H17" s="93" t="str">
        <f>IF(OR($D17="1 dd",$D17="2 dd",$D17="3 dd",$D17="4 dd",$D17="6 dd",$D17="8 dd",$D17="12 dd",$D17="an",$D17="1 X"),VLOOKUP($D17,PedTblTijden!$A$16:$X$26,PedTblTijden!B$14,FALSE),"")</f>
        <v/>
      </c>
      <c r="I17" s="12" t="str">
        <f>IF(OR($D17="1 dd",$D17="2 dd",$D17="3 dd",$D17="4 dd",$D17="6 dd",$D17="8 dd",$D17="12 dd",$D17="an",$D17="1 X"),VLOOKUP($D17,PedTblTijden!$A$16:$X$26,PedTblTijden!C$14,FALSE),"")</f>
        <v/>
      </c>
      <c r="J17" s="93" t="str">
        <f>IF(OR($D17="1 dd",$D17="2 dd",$D17="3 dd",$D17="4 dd",$D17="6 dd",$D17="8 dd",$D17="12 dd",$D17="an",$D17="1 X"),VLOOKUP($D17,PedTblTijden!$A$16:$X$26,PedTblTijden!D$14,FALSE),"")</f>
        <v/>
      </c>
      <c r="K17" s="12" t="str">
        <f>IF(OR($D17="1 dd",$D17="2 dd",$D17="3 dd",$D17="4 dd",$D17="6 dd",$D17="8 dd",$D17="12 dd",$D17="an",$D17="1 X"),VLOOKUP($D17,PedTblTijden!$A$16:$X$26,PedTblTijden!E$14,FALSE),"")</f>
        <v/>
      </c>
      <c r="L17" s="93" t="str">
        <f>IF(OR($D17="1 dd",$D17="2 dd",$D17="3 dd",$D17="4 dd",$D17="6 dd",$D17="8 dd",$D17="12 dd",$D17="an",$D17="1 X"),VLOOKUP($D17,PedTblTijden!$A$16:$X$26,PedTblTijden!F$14,FALSE),"")</f>
        <v/>
      </c>
      <c r="M17" s="12" t="str">
        <f>IF(OR($D17="1 dd",$D17="2 dd",$D17="3 dd",$D17="4 dd",$D17="6 dd",$D17="8 dd",$D17="12 dd",$D17="an",$D17="1 X"),VLOOKUP($D17,PedTblTijden!$A$16:$X$26,PedTblTijden!G$14,FALSE),"")</f>
        <v/>
      </c>
      <c r="N17" s="93" t="str">
        <f>IF(OR($D17="1 dd",$D17="2 dd",$D17="3 dd",$D17="4 dd",$D17="6 dd",$D17="8 dd",$D17="12 dd",$D17="an",$D17="1 X"),VLOOKUP($D17,PedTblTijden!$A$16:$X$26,PedTblTijden!H$14,FALSE),"")</f>
        <v/>
      </c>
      <c r="O17" s="12" t="str">
        <f>IF(OR($D17="1 dd",$D17="2 dd",$D17="3 dd",$D17="4 dd",$D17="6 dd",$D17="8 dd",$D17="12 dd",$D17="an",$D17="1 X"),VLOOKUP($D17,PedTblTijden!$A$16:$X$26,PedTblTijden!I$14,FALSE),"")</f>
        <v/>
      </c>
      <c r="P17" s="93" t="str">
        <f>IF(OR($D17="1 dd",$D17="2 dd",$D17="3 dd",$D17="4 dd",$D17="6 dd",$D17="8 dd",$D17="12 dd",$D17="an",$D17="1 X"),VLOOKUP($D17,PedTblTijden!$A$16:$X$26,PedTblTijden!J$14,FALSE),"")</f>
        <v/>
      </c>
      <c r="Q17" s="12" t="str">
        <f>IF(OR($D17="1 dd",$D17="2 dd",$D17="3 dd",$D17="4 dd",$D17="6 dd",$D17="8 dd",$D17="12 dd",$D17="an",$D17="1 X"),VLOOKUP($D17,PedTblTijden!$A$16:$X$26,PedTblTijden!K$14,FALSE),"")</f>
        <v/>
      </c>
      <c r="R17" s="93" t="str">
        <f>IF(OR($D17="1 dd",$D17="2 dd",$D17="3 dd",$D17="4 dd",$D17="6 dd",$D17="8 dd",$D17="12 dd",$D17="an",$D17="1 X"),VLOOKUP($D17,PedTblTijden!$A$16:$X$26,PedTblTijden!L$14,FALSE),"")</f>
        <v/>
      </c>
      <c r="S17" s="12" t="str">
        <f>IF(OR($D17="1 dd",$D17="2 dd",$D17="3 dd",$D17="4 dd",$D17="6 dd",$D17="8 dd",$D17="12 dd",$D17="an",$D17="1 X"),VLOOKUP($D17,PedTblTijden!$A$16:$X$26,PedTblTijden!M$14,FALSE),"")</f>
        <v/>
      </c>
      <c r="T17" s="93" t="str">
        <f>IF(OR($D17="1 dd",$D17="2 dd",$D17="3 dd",$D17="4 dd",$D17="6 dd",$D17="8 dd",$D17="12 dd",$D17="an",$D17="1 X"),VLOOKUP($D17,PedTblTijden!$A$16:$X$26,PedTblTijden!N$14,FALSE),"")</f>
        <v/>
      </c>
      <c r="U17" s="12" t="str">
        <f>IF(OR($D17="1 dd",$D17="2 dd",$D17="3 dd",$D17="4 dd",$D17="6 dd",$D17="8 dd",$D17="12 dd",$D17="an",$D17="1 X"),VLOOKUP($D17,PedTblTijden!$A$16:$X$26,PedTblTijden!O$14,FALSE),"")</f>
        <v/>
      </c>
      <c r="V17" s="93" t="str">
        <f>IF(OR($D17="1 dd",$D17="2 dd",$D17="3 dd",$D17="4 dd",$D17="6 dd",$D17="8 dd",$D17="12 dd",$D17="an",$D17="1 X"),VLOOKUP($D17,PedTblTijden!$A$16:$X$26,PedTblTijden!P$14,FALSE),"")</f>
        <v/>
      </c>
      <c r="W17" s="12" t="str">
        <f>IF(OR($D17="1 dd",$D17="2 dd",$D17="3 dd",$D17="4 dd",$D17="6 dd",$D17="8 dd",$D17="12 dd",$D17="an",$D17="1 X"),VLOOKUP($D17,PedTblTijden!$A$16:$X$26,PedTblTijden!Q$14,FALSE),"")</f>
        <v/>
      </c>
      <c r="X17" s="93" t="str">
        <f>IF(OR($D17="1 dd",$D17="2 dd",$D17="3 dd",$D17="4 dd",$D17="6 dd",$D17="8 dd",$D17="12 dd",$D17="an",$D17="1 X"),VLOOKUP($D17,PedTblTijden!$A$16:$X$26,PedTblTijden!R$14,FALSE),"")</f>
        <v/>
      </c>
      <c r="Y17" s="12" t="str">
        <f>IF(OR($D17="1 dd",$D17="2 dd",$D17="3 dd",$D17="4 dd",$D17="6 dd",$D17="8 dd",$D17="12 dd",$D17="an",$D17="1 X"),VLOOKUP($D17,PedTblTijden!$A$16:$X$26,PedTblTijden!S$14,FALSE),"")</f>
        <v/>
      </c>
      <c r="Z17" s="93" t="str">
        <f>IF(OR($D17="1 dd",$D17="2 dd",$D17="3 dd",$D17="4 dd",$D17="6 dd",$D17="8 dd",$D17="12 dd",$D17="an",$D17="1 X"),VLOOKUP($D17,PedTblTijden!$A$16:$X$26,PedTblTijden!T$14,FALSE),"")</f>
        <v/>
      </c>
      <c r="AA17" s="12" t="str">
        <f>IF(OR($D17="1 dd",$D17="2 dd",$D17="3 dd",$D17="4 dd",$D17="6 dd",$D17="8 dd",$D17="12 dd",$D17="an",$D17="1 X"),VLOOKUP($D17,PedTblTijden!$A$16:$X$26,PedTblTijden!U$14,FALSE),"")</f>
        <v/>
      </c>
      <c r="AB17" s="93" t="str">
        <f>IF(OR($D17="1 dd",$D17="2 dd",$D17="3 dd",$D17="4 dd",$D17="6 dd",$D17="8 dd",$D17="12 dd",$D17="an",$D17="1 X"),VLOOKUP($D17,PedTblTijden!$A$16:$X$26,PedTblTijden!V$14,FALSE),"")</f>
        <v/>
      </c>
      <c r="AC17" s="12" t="str">
        <f>IF(OR($D17="1 dd",$D17="2 dd",$D17="3 dd",$D17="4 dd",$D17="6 dd",$D17="8 dd",$D17="12 dd",$D17="an",$D17="1 X"),VLOOKUP($D17,PedTblTijden!$A$16:$X$26,PedTblTijden!W$14,FALSE),"")</f>
        <v/>
      </c>
      <c r="AD17" s="93" t="str">
        <f>IF(OR($D17="1 dd",$D17="2 dd",$D17="3 dd",$D17="4 dd",$D17="6 dd",$D17="8 dd",$D17="12 dd",$D17="an",$D17="1 X"),VLOOKUP($D17,PedTblTijden!$A$16:$X$26,PedTblTijden!X$14,FALSE),"")</f>
        <v/>
      </c>
      <c r="AE17" s="14"/>
      <c r="AF17" s="92"/>
      <c r="AG17" s="14"/>
    </row>
    <row r="18" spans="2:33" ht="26.1" customHeight="1" x14ac:dyDescent="0.2">
      <c r="B18" s="94"/>
      <c r="C18" s="125" t="str">
        <f>IF(GlobBerMedDisc!C17&lt;&gt;"",IF(GlobBerMedDisc!C17&gt;1,TRIM(GlobBerMedDisc!C17)&amp;", "&amp;GlobBerOpm!#REF!&amp;" ("&amp;GlobBerMedDisc!M17&amp;" "&amp;GlobBerMedDisc!F17&amp;"/kg/dag)",TRIM(GlobBerMedDisc!C17)&amp;", "&amp;GlobBerOpm!#REF!),"")</f>
        <v/>
      </c>
      <c r="D18" s="126" t="str">
        <f>IF(GlobGuiMedDisc!I24&lt;&gt;"",GlobGuiMedDisc!I24,"")</f>
        <v/>
      </c>
      <c r="E18" s="127" t="str">
        <f>IF(AND(D18&lt;&gt;"",D18&lt;&gt;"STOP"),GlobBerMedDisc!H17&amp;" "&amp;GlobBerMedDisc!F17,"")</f>
        <v/>
      </c>
      <c r="F18" s="127" t="str">
        <f>IF(AND(D18&lt;&gt;"",D18&lt;&gt;"STOP"),GlobBerMedDisc!L17," ")</f>
        <v xml:space="preserve"> </v>
      </c>
      <c r="G18" s="127" t="str">
        <f>IF(GlobGuiMedDisc!N24&lt;&gt;"",GlobGuiMedDisc!N24&amp;" "&amp;GlobGuiMedDisc!O24&amp;" "&amp;INDEX(GlobBerMedDisc!$B$27:$B$30,GlobBerMedDisc!O17,1)&amp;" in "&amp;GlobGuiMedDisc!$R$24,"")</f>
        <v/>
      </c>
      <c r="H18" s="93" t="str">
        <f>IF(OR($D18="1 dd",$D18="2 dd",$D18="3 dd",$D18="4 dd",$D18="6 dd",$D18="8 dd",$D18="12 dd",$D18="an",$D18="1 X"),VLOOKUP($D18,PedTblTijden!$A$16:$X$26,PedTblTijden!B$14,FALSE),"")</f>
        <v/>
      </c>
      <c r="I18" s="12" t="str">
        <f>IF(OR($D18="1 dd",$D18="2 dd",$D18="3 dd",$D18="4 dd",$D18="6 dd",$D18="8 dd",$D18="12 dd",$D18="an",$D18="1 X"),VLOOKUP($D18,PedTblTijden!$A$16:$X$26,PedTblTijden!C$14,FALSE),"")</f>
        <v/>
      </c>
      <c r="J18" s="93" t="str">
        <f>IF(OR($D18="1 dd",$D18="2 dd",$D18="3 dd",$D18="4 dd",$D18="6 dd",$D18="8 dd",$D18="12 dd",$D18="an",$D18="1 X"),VLOOKUP($D18,PedTblTijden!$A$16:$X$26,PedTblTijden!D$14,FALSE),"")</f>
        <v/>
      </c>
      <c r="K18" s="12" t="str">
        <f>IF(OR($D18="1 dd",$D18="2 dd",$D18="3 dd",$D18="4 dd",$D18="6 dd",$D18="8 dd",$D18="12 dd",$D18="an",$D18="1 X"),VLOOKUP($D18,PedTblTijden!$A$16:$X$26,PedTblTijden!E$14,FALSE),"")</f>
        <v/>
      </c>
      <c r="L18" s="93" t="str">
        <f>IF(OR($D18="1 dd",$D18="2 dd",$D18="3 dd",$D18="4 dd",$D18="6 dd",$D18="8 dd",$D18="12 dd",$D18="an",$D18="1 X"),VLOOKUP($D18,PedTblTijden!$A$16:$X$26,PedTblTijden!F$14,FALSE),"")</f>
        <v/>
      </c>
      <c r="M18" s="12" t="str">
        <f>IF(OR($D18="1 dd",$D18="2 dd",$D18="3 dd",$D18="4 dd",$D18="6 dd",$D18="8 dd",$D18="12 dd",$D18="an",$D18="1 X"),VLOOKUP($D18,PedTblTijden!$A$16:$X$26,PedTblTijden!G$14,FALSE),"")</f>
        <v/>
      </c>
      <c r="N18" s="93" t="str">
        <f>IF(OR($D18="1 dd",$D18="2 dd",$D18="3 dd",$D18="4 dd",$D18="6 dd",$D18="8 dd",$D18="12 dd",$D18="an",$D18="1 X"),VLOOKUP($D18,PedTblTijden!$A$16:$X$26,PedTblTijden!H$14,FALSE),"")</f>
        <v/>
      </c>
      <c r="O18" s="12" t="str">
        <f>IF(OR($D18="1 dd",$D18="2 dd",$D18="3 dd",$D18="4 dd",$D18="6 dd",$D18="8 dd",$D18="12 dd",$D18="an",$D18="1 X"),VLOOKUP($D18,PedTblTijden!$A$16:$X$26,PedTblTijden!I$14,FALSE),"")</f>
        <v/>
      </c>
      <c r="P18" s="93" t="str">
        <f>IF(OR($D18="1 dd",$D18="2 dd",$D18="3 dd",$D18="4 dd",$D18="6 dd",$D18="8 dd",$D18="12 dd",$D18="an",$D18="1 X"),VLOOKUP($D18,PedTblTijden!$A$16:$X$26,PedTblTijden!J$14,FALSE),"")</f>
        <v/>
      </c>
      <c r="Q18" s="12" t="str">
        <f>IF(OR($D18="1 dd",$D18="2 dd",$D18="3 dd",$D18="4 dd",$D18="6 dd",$D18="8 dd",$D18="12 dd",$D18="an",$D18="1 X"),VLOOKUP($D18,PedTblTijden!$A$16:$X$26,PedTblTijden!K$14,FALSE),"")</f>
        <v/>
      </c>
      <c r="R18" s="93" t="str">
        <f>IF(OR($D18="1 dd",$D18="2 dd",$D18="3 dd",$D18="4 dd",$D18="6 dd",$D18="8 dd",$D18="12 dd",$D18="an",$D18="1 X"),VLOOKUP($D18,PedTblTijden!$A$16:$X$26,PedTblTijden!L$14,FALSE),"")</f>
        <v/>
      </c>
      <c r="S18" s="12" t="str">
        <f>IF(OR($D18="1 dd",$D18="2 dd",$D18="3 dd",$D18="4 dd",$D18="6 dd",$D18="8 dd",$D18="12 dd",$D18="an",$D18="1 X"),VLOOKUP($D18,PedTblTijden!$A$16:$X$26,PedTblTijden!M$14,FALSE),"")</f>
        <v/>
      </c>
      <c r="T18" s="93" t="str">
        <f>IF(OR($D18="1 dd",$D18="2 dd",$D18="3 dd",$D18="4 dd",$D18="6 dd",$D18="8 dd",$D18="12 dd",$D18="an",$D18="1 X"),VLOOKUP($D18,PedTblTijden!$A$16:$X$26,PedTblTijden!N$14,FALSE),"")</f>
        <v/>
      </c>
      <c r="U18" s="12" t="str">
        <f>IF(OR($D18="1 dd",$D18="2 dd",$D18="3 dd",$D18="4 dd",$D18="6 dd",$D18="8 dd",$D18="12 dd",$D18="an",$D18="1 X"),VLOOKUP($D18,PedTblTijden!$A$16:$X$26,PedTblTijden!O$14,FALSE),"")</f>
        <v/>
      </c>
      <c r="V18" s="93" t="str">
        <f>IF(OR($D18="1 dd",$D18="2 dd",$D18="3 dd",$D18="4 dd",$D18="6 dd",$D18="8 dd",$D18="12 dd",$D18="an",$D18="1 X"),VLOOKUP($D18,PedTblTijden!$A$16:$X$26,PedTblTijden!P$14,FALSE),"")</f>
        <v/>
      </c>
      <c r="W18" s="12" t="str">
        <f>IF(OR($D18="1 dd",$D18="2 dd",$D18="3 dd",$D18="4 dd",$D18="6 dd",$D18="8 dd",$D18="12 dd",$D18="an",$D18="1 X"),VLOOKUP($D18,PedTblTijden!$A$16:$X$26,PedTblTijden!Q$14,FALSE),"")</f>
        <v/>
      </c>
      <c r="X18" s="93" t="str">
        <f>IF(OR($D18="1 dd",$D18="2 dd",$D18="3 dd",$D18="4 dd",$D18="6 dd",$D18="8 dd",$D18="12 dd",$D18="an",$D18="1 X"),VLOOKUP($D18,PedTblTijden!$A$16:$X$26,PedTblTijden!R$14,FALSE),"")</f>
        <v/>
      </c>
      <c r="Y18" s="12" t="str">
        <f>IF(OR($D18="1 dd",$D18="2 dd",$D18="3 dd",$D18="4 dd",$D18="6 dd",$D18="8 dd",$D18="12 dd",$D18="an",$D18="1 X"),VLOOKUP($D18,PedTblTijden!$A$16:$X$26,PedTblTijden!S$14,FALSE),"")</f>
        <v/>
      </c>
      <c r="Z18" s="93" t="str">
        <f>IF(OR($D18="1 dd",$D18="2 dd",$D18="3 dd",$D18="4 dd",$D18="6 dd",$D18="8 dd",$D18="12 dd",$D18="an",$D18="1 X"),VLOOKUP($D18,PedTblTijden!$A$16:$X$26,PedTblTijden!T$14,FALSE),"")</f>
        <v/>
      </c>
      <c r="AA18" s="12" t="str">
        <f>IF(OR($D18="1 dd",$D18="2 dd",$D18="3 dd",$D18="4 dd",$D18="6 dd",$D18="8 dd",$D18="12 dd",$D18="an",$D18="1 X"),VLOOKUP($D18,PedTblTijden!$A$16:$X$26,PedTblTijden!U$14,FALSE),"")</f>
        <v/>
      </c>
      <c r="AB18" s="93" t="str">
        <f>IF(OR($D18="1 dd",$D18="2 dd",$D18="3 dd",$D18="4 dd",$D18="6 dd",$D18="8 dd",$D18="12 dd",$D18="an",$D18="1 X"),VLOOKUP($D18,PedTblTijden!$A$16:$X$26,PedTblTijden!V$14,FALSE),"")</f>
        <v/>
      </c>
      <c r="AC18" s="12" t="str">
        <f>IF(OR($D18="1 dd",$D18="2 dd",$D18="3 dd",$D18="4 dd",$D18="6 dd",$D18="8 dd",$D18="12 dd",$D18="an",$D18="1 X"),VLOOKUP($D18,PedTblTijden!$A$16:$X$26,PedTblTijden!W$14,FALSE),"")</f>
        <v/>
      </c>
      <c r="AD18" s="93" t="str">
        <f>IF(OR($D18="1 dd",$D18="2 dd",$D18="3 dd",$D18="4 dd",$D18="6 dd",$D18="8 dd",$D18="12 dd",$D18="an",$D18="1 X"),VLOOKUP($D18,PedTblTijden!$A$16:$X$26,PedTblTijden!X$14,FALSE),"")</f>
        <v/>
      </c>
      <c r="AE18" s="14"/>
      <c r="AF18" s="92"/>
      <c r="AG18" s="14"/>
    </row>
    <row r="19" spans="2:33" ht="26.1" customHeight="1" x14ac:dyDescent="0.2">
      <c r="B19" s="94"/>
      <c r="C19" s="125" t="str">
        <f>IF(GlobBerMedDisc!C18&lt;&gt;"",IF(GlobBerMedDisc!C18&gt;1,TRIM(GlobBerMedDisc!C18)&amp;", "&amp;GlobBerOpm!#REF!&amp;" ("&amp;GlobBerMedDisc!M18&amp;" "&amp;GlobBerMedDisc!F18&amp;"/kg/dag)",TRIM(GlobBerMedDisc!C18)&amp;", "&amp;GlobBerOpm!#REF!),"")</f>
        <v/>
      </c>
      <c r="D19" s="126" t="str">
        <f>IF(GlobGuiMedDisc!I25&lt;&gt;"",GlobGuiMedDisc!I25,"")</f>
        <v/>
      </c>
      <c r="E19" s="127" t="str">
        <f>IF(AND(D19&lt;&gt;"",D19&lt;&gt;"STOP"),GlobBerMedDisc!H18&amp;" "&amp;GlobBerMedDisc!F18,"")</f>
        <v/>
      </c>
      <c r="F19" s="127" t="str">
        <f>IF(AND(D19&lt;&gt;"",D19&lt;&gt;"STOP"),GlobBerMedDisc!L18," ")</f>
        <v xml:space="preserve"> </v>
      </c>
      <c r="G19" s="127" t="str">
        <f>IF(GlobGuiMedDisc!N25&lt;&gt;"",GlobGuiMedDisc!N25&amp;" "&amp;GlobGuiMedDisc!O25&amp;" "&amp;INDEX(GlobBerMedDisc!$B$27:$B$30,GlobBerMedDisc!O18,1)&amp;" in "&amp;GlobGuiMedDisc!$R$25,"")</f>
        <v/>
      </c>
      <c r="H19" s="93" t="str">
        <f>IF(OR($D19="1 dd",$D19="2 dd",$D19="3 dd",$D19="4 dd",$D19="6 dd",$D19="8 dd",$D19="12 dd",$D19="an",$D19="1 X"),VLOOKUP($D19,PedTblTijden!$A$16:$X$26,PedTblTijden!B$14,FALSE),"")</f>
        <v/>
      </c>
      <c r="I19" s="12" t="str">
        <f>IF(OR($D19="1 dd",$D19="2 dd",$D19="3 dd",$D19="4 dd",$D19="6 dd",$D19="8 dd",$D19="12 dd",$D19="an",$D19="1 X"),VLOOKUP($D19,PedTblTijden!$A$16:$X$26,PedTblTijden!C$14,FALSE),"")</f>
        <v/>
      </c>
      <c r="J19" s="93" t="str">
        <f>IF(OR($D19="1 dd",$D19="2 dd",$D19="3 dd",$D19="4 dd",$D19="6 dd",$D19="8 dd",$D19="12 dd",$D19="an",$D19="1 X"),VLOOKUP($D19,PedTblTijden!$A$16:$X$26,PedTblTijden!D$14,FALSE),"")</f>
        <v/>
      </c>
      <c r="K19" s="12" t="str">
        <f>IF(OR($D19="1 dd",$D19="2 dd",$D19="3 dd",$D19="4 dd",$D19="6 dd",$D19="8 dd",$D19="12 dd",$D19="an",$D19="1 X"),VLOOKUP($D19,PedTblTijden!$A$16:$X$26,PedTblTijden!E$14,FALSE),"")</f>
        <v/>
      </c>
      <c r="L19" s="93" t="str">
        <f>IF(OR($D19="1 dd",$D19="2 dd",$D19="3 dd",$D19="4 dd",$D19="6 dd",$D19="8 dd",$D19="12 dd",$D19="an",$D19="1 X"),VLOOKUP($D19,PedTblTijden!$A$16:$X$26,PedTblTijden!F$14,FALSE),"")</f>
        <v/>
      </c>
      <c r="M19" s="12" t="str">
        <f>IF(OR($D19="1 dd",$D19="2 dd",$D19="3 dd",$D19="4 dd",$D19="6 dd",$D19="8 dd",$D19="12 dd",$D19="an",$D19="1 X"),VLOOKUP($D19,PedTblTijden!$A$16:$X$26,PedTblTijden!G$14,FALSE),"")</f>
        <v/>
      </c>
      <c r="N19" s="93" t="str">
        <f>IF(OR($D19="1 dd",$D19="2 dd",$D19="3 dd",$D19="4 dd",$D19="6 dd",$D19="8 dd",$D19="12 dd",$D19="an",$D19="1 X"),VLOOKUP($D19,PedTblTijden!$A$16:$X$26,PedTblTijden!H$14,FALSE),"")</f>
        <v/>
      </c>
      <c r="O19" s="12" t="str">
        <f>IF(OR($D19="1 dd",$D19="2 dd",$D19="3 dd",$D19="4 dd",$D19="6 dd",$D19="8 dd",$D19="12 dd",$D19="an",$D19="1 X"),VLOOKUP($D19,PedTblTijden!$A$16:$X$26,PedTblTijden!I$14,FALSE),"")</f>
        <v/>
      </c>
      <c r="P19" s="93" t="str">
        <f>IF(OR($D19="1 dd",$D19="2 dd",$D19="3 dd",$D19="4 dd",$D19="6 dd",$D19="8 dd",$D19="12 dd",$D19="an",$D19="1 X"),VLOOKUP($D19,PedTblTijden!$A$16:$X$26,PedTblTijden!J$14,FALSE),"")</f>
        <v/>
      </c>
      <c r="Q19" s="12" t="str">
        <f>IF(OR($D19="1 dd",$D19="2 dd",$D19="3 dd",$D19="4 dd",$D19="6 dd",$D19="8 dd",$D19="12 dd",$D19="an",$D19="1 X"),VLOOKUP($D19,PedTblTijden!$A$16:$X$26,PedTblTijden!K$14,FALSE),"")</f>
        <v/>
      </c>
      <c r="R19" s="93" t="str">
        <f>IF(OR($D19="1 dd",$D19="2 dd",$D19="3 dd",$D19="4 dd",$D19="6 dd",$D19="8 dd",$D19="12 dd",$D19="an",$D19="1 X"),VLOOKUP($D19,PedTblTijden!$A$16:$X$26,PedTblTijden!L$14,FALSE),"")</f>
        <v/>
      </c>
      <c r="S19" s="12" t="str">
        <f>IF(OR($D19="1 dd",$D19="2 dd",$D19="3 dd",$D19="4 dd",$D19="6 dd",$D19="8 dd",$D19="12 dd",$D19="an",$D19="1 X"),VLOOKUP($D19,PedTblTijden!$A$16:$X$26,PedTblTijden!M$14,FALSE),"")</f>
        <v/>
      </c>
      <c r="T19" s="93" t="str">
        <f>IF(OR($D19="1 dd",$D19="2 dd",$D19="3 dd",$D19="4 dd",$D19="6 dd",$D19="8 dd",$D19="12 dd",$D19="an",$D19="1 X"),VLOOKUP($D19,PedTblTijden!$A$16:$X$26,PedTblTijden!N$14,FALSE),"")</f>
        <v/>
      </c>
      <c r="U19" s="12" t="str">
        <f>IF(OR($D19="1 dd",$D19="2 dd",$D19="3 dd",$D19="4 dd",$D19="6 dd",$D19="8 dd",$D19="12 dd",$D19="an",$D19="1 X"),VLOOKUP($D19,PedTblTijden!$A$16:$X$26,PedTblTijden!O$14,FALSE),"")</f>
        <v/>
      </c>
      <c r="V19" s="93" t="str">
        <f>IF(OR($D19="1 dd",$D19="2 dd",$D19="3 dd",$D19="4 dd",$D19="6 dd",$D19="8 dd",$D19="12 dd",$D19="an",$D19="1 X"),VLOOKUP($D19,PedTblTijden!$A$16:$X$26,PedTblTijden!P$14,FALSE),"")</f>
        <v/>
      </c>
      <c r="W19" s="12" t="str">
        <f>IF(OR($D19="1 dd",$D19="2 dd",$D19="3 dd",$D19="4 dd",$D19="6 dd",$D19="8 dd",$D19="12 dd",$D19="an",$D19="1 X"),VLOOKUP($D19,PedTblTijden!$A$16:$X$26,PedTblTijden!Q$14,FALSE),"")</f>
        <v/>
      </c>
      <c r="X19" s="93" t="str">
        <f>IF(OR($D19="1 dd",$D19="2 dd",$D19="3 dd",$D19="4 dd",$D19="6 dd",$D19="8 dd",$D19="12 dd",$D19="an",$D19="1 X"),VLOOKUP($D19,PedTblTijden!$A$16:$X$26,PedTblTijden!R$14,FALSE),"")</f>
        <v/>
      </c>
      <c r="Y19" s="12" t="str">
        <f>IF(OR($D19="1 dd",$D19="2 dd",$D19="3 dd",$D19="4 dd",$D19="6 dd",$D19="8 dd",$D19="12 dd",$D19="an",$D19="1 X"),VLOOKUP($D19,PedTblTijden!$A$16:$X$26,PedTblTijden!S$14,FALSE),"")</f>
        <v/>
      </c>
      <c r="Z19" s="93" t="str">
        <f>IF(OR($D19="1 dd",$D19="2 dd",$D19="3 dd",$D19="4 dd",$D19="6 dd",$D19="8 dd",$D19="12 dd",$D19="an",$D19="1 X"),VLOOKUP($D19,PedTblTijden!$A$16:$X$26,PedTblTijden!T$14,FALSE),"")</f>
        <v/>
      </c>
      <c r="AA19" s="12" t="str">
        <f>IF(OR($D19="1 dd",$D19="2 dd",$D19="3 dd",$D19="4 dd",$D19="6 dd",$D19="8 dd",$D19="12 dd",$D19="an",$D19="1 X"),VLOOKUP($D19,PedTblTijden!$A$16:$X$26,PedTblTijden!U$14,FALSE),"")</f>
        <v/>
      </c>
      <c r="AB19" s="93" t="str">
        <f>IF(OR($D19="1 dd",$D19="2 dd",$D19="3 dd",$D19="4 dd",$D19="6 dd",$D19="8 dd",$D19="12 dd",$D19="an",$D19="1 X"),VLOOKUP($D19,PedTblTijden!$A$16:$X$26,PedTblTijden!V$14,FALSE),"")</f>
        <v/>
      </c>
      <c r="AC19" s="12" t="str">
        <f>IF(OR($D19="1 dd",$D19="2 dd",$D19="3 dd",$D19="4 dd",$D19="6 dd",$D19="8 dd",$D19="12 dd",$D19="an",$D19="1 X"),VLOOKUP($D19,PedTblTijden!$A$16:$X$26,PedTblTijden!W$14,FALSE),"")</f>
        <v/>
      </c>
      <c r="AD19" s="93" t="str">
        <f>IF(OR($D19="1 dd",$D19="2 dd",$D19="3 dd",$D19="4 dd",$D19="6 dd",$D19="8 dd",$D19="12 dd",$D19="an",$D19="1 X"),VLOOKUP($D19,PedTblTijden!$A$16:$X$26,PedTblTijden!X$14,FALSE),"")</f>
        <v/>
      </c>
      <c r="AE19" s="14"/>
      <c r="AF19" s="92"/>
      <c r="AG19" s="14"/>
    </row>
    <row r="20" spans="2:33" ht="26.1" customHeight="1" x14ac:dyDescent="0.2">
      <c r="B20" s="94"/>
      <c r="C20" s="125" t="str">
        <f>IF(GlobBerMedDisc!C19&lt;&gt;"",IF(GlobBerMedDisc!C19&gt;1,TRIM(GlobBerMedDisc!C19)&amp;", "&amp;GlobBerOpm!#REF!&amp;" ("&amp;GlobBerMedDisc!M19&amp;" "&amp;GlobBerMedDisc!F19&amp;"/kg/dag)",TRIM(GlobBerMedDisc!C19)&amp;", "&amp;GlobBerOpm!#REF!),"")</f>
        <v/>
      </c>
      <c r="D20" s="126" t="str">
        <f>IF(GlobGuiMedDisc!I26&lt;&gt;"",GlobGuiMedDisc!I26,"")</f>
        <v/>
      </c>
      <c r="E20" s="127" t="str">
        <f>IF(AND(D20&lt;&gt;"",D20&lt;&gt;"STOP"),GlobBerMedDisc!H19&amp;" "&amp;GlobBerMedDisc!F19,"")</f>
        <v/>
      </c>
      <c r="F20" s="127" t="str">
        <f>IF(AND(D20&lt;&gt;"",D20&lt;&gt;"STOP"),GlobBerMedDisc!L19," ")</f>
        <v xml:space="preserve"> </v>
      </c>
      <c r="G20" s="127" t="str">
        <f>IF(GlobGuiMedDisc!N26&lt;&gt;"",GlobGuiMedDisc!N26&amp;" "&amp;GlobGuiMedDisc!O26&amp;" "&amp;INDEX(GlobBerMedDisc!$B$27:$B$30,GlobBerMedDisc!O19,1)&amp;" in "&amp;GlobGuiMedDisc!$R$26,"")</f>
        <v/>
      </c>
      <c r="H20" s="93" t="str">
        <f>IF(OR($D20="1 dd",$D20="2 dd",$D20="3 dd",$D20="4 dd",$D20="6 dd",$D20="8 dd",$D20="12 dd",$D20="an",$D20="1 X"),VLOOKUP($D20,PedTblTijden!$A$16:$X$26,PedTblTijden!B$14,FALSE),"")</f>
        <v/>
      </c>
      <c r="I20" s="12" t="str">
        <f>IF(OR($D20="1 dd",$D20="2 dd",$D20="3 dd",$D20="4 dd",$D20="6 dd",$D20="8 dd",$D20="12 dd",$D20="an",$D20="1 X"),VLOOKUP($D20,PedTblTijden!$A$16:$X$26,PedTblTijden!C$14,FALSE),"")</f>
        <v/>
      </c>
      <c r="J20" s="93" t="str">
        <f>IF(OR($D20="1 dd",$D20="2 dd",$D20="3 dd",$D20="4 dd",$D20="6 dd",$D20="8 dd",$D20="12 dd",$D20="an",$D20="1 X"),VLOOKUP($D20,PedTblTijden!$A$16:$X$26,PedTblTijden!D$14,FALSE),"")</f>
        <v/>
      </c>
      <c r="K20" s="12" t="str">
        <f>IF(OR($D20="1 dd",$D20="2 dd",$D20="3 dd",$D20="4 dd",$D20="6 dd",$D20="8 dd",$D20="12 dd",$D20="an",$D20="1 X"),VLOOKUP($D20,PedTblTijden!$A$16:$X$26,PedTblTijden!E$14,FALSE),"")</f>
        <v/>
      </c>
      <c r="L20" s="93" t="str">
        <f>IF(OR($D20="1 dd",$D20="2 dd",$D20="3 dd",$D20="4 dd",$D20="6 dd",$D20="8 dd",$D20="12 dd",$D20="an",$D20="1 X"),VLOOKUP($D20,PedTblTijden!$A$16:$X$26,PedTblTijden!F$14,FALSE),"")</f>
        <v/>
      </c>
      <c r="M20" s="12" t="str">
        <f>IF(OR($D20="1 dd",$D20="2 dd",$D20="3 dd",$D20="4 dd",$D20="6 dd",$D20="8 dd",$D20="12 dd",$D20="an",$D20="1 X"),VLOOKUP($D20,PedTblTijden!$A$16:$X$26,PedTblTijden!G$14,FALSE),"")</f>
        <v/>
      </c>
      <c r="N20" s="93" t="str">
        <f>IF(OR($D20="1 dd",$D20="2 dd",$D20="3 dd",$D20="4 dd",$D20="6 dd",$D20="8 dd",$D20="12 dd",$D20="an",$D20="1 X"),VLOOKUP($D20,PedTblTijden!$A$16:$X$26,PedTblTijden!H$14,FALSE),"")</f>
        <v/>
      </c>
      <c r="O20" s="12" t="str">
        <f>IF(OR($D20="1 dd",$D20="2 dd",$D20="3 dd",$D20="4 dd",$D20="6 dd",$D20="8 dd",$D20="12 dd",$D20="an",$D20="1 X"),VLOOKUP($D20,PedTblTijden!$A$16:$X$26,PedTblTijden!I$14,FALSE),"")</f>
        <v/>
      </c>
      <c r="P20" s="93" t="str">
        <f>IF(OR($D20="1 dd",$D20="2 dd",$D20="3 dd",$D20="4 dd",$D20="6 dd",$D20="8 dd",$D20="12 dd",$D20="an",$D20="1 X"),VLOOKUP($D20,PedTblTijden!$A$16:$X$26,PedTblTijden!J$14,FALSE),"")</f>
        <v/>
      </c>
      <c r="Q20" s="12" t="str">
        <f>IF(OR($D20="1 dd",$D20="2 dd",$D20="3 dd",$D20="4 dd",$D20="6 dd",$D20="8 dd",$D20="12 dd",$D20="an",$D20="1 X"),VLOOKUP($D20,PedTblTijden!$A$16:$X$26,PedTblTijden!K$14,FALSE),"")</f>
        <v/>
      </c>
      <c r="R20" s="93" t="str">
        <f>IF(OR($D20="1 dd",$D20="2 dd",$D20="3 dd",$D20="4 dd",$D20="6 dd",$D20="8 dd",$D20="12 dd",$D20="an",$D20="1 X"),VLOOKUP($D20,PedTblTijden!$A$16:$X$26,PedTblTijden!L$14,FALSE),"")</f>
        <v/>
      </c>
      <c r="S20" s="12" t="str">
        <f>IF(OR($D20="1 dd",$D20="2 dd",$D20="3 dd",$D20="4 dd",$D20="6 dd",$D20="8 dd",$D20="12 dd",$D20="an",$D20="1 X"),VLOOKUP($D20,PedTblTijden!$A$16:$X$26,PedTblTijden!M$14,FALSE),"")</f>
        <v/>
      </c>
      <c r="T20" s="93" t="str">
        <f>IF(OR($D20="1 dd",$D20="2 dd",$D20="3 dd",$D20="4 dd",$D20="6 dd",$D20="8 dd",$D20="12 dd",$D20="an",$D20="1 X"),VLOOKUP($D20,PedTblTijden!$A$16:$X$26,PedTblTijden!N$14,FALSE),"")</f>
        <v/>
      </c>
      <c r="U20" s="12" t="str">
        <f>IF(OR($D20="1 dd",$D20="2 dd",$D20="3 dd",$D20="4 dd",$D20="6 dd",$D20="8 dd",$D20="12 dd",$D20="an",$D20="1 X"),VLOOKUP($D20,PedTblTijden!$A$16:$X$26,PedTblTijden!O$14,FALSE),"")</f>
        <v/>
      </c>
      <c r="V20" s="93" t="str">
        <f>IF(OR($D20="1 dd",$D20="2 dd",$D20="3 dd",$D20="4 dd",$D20="6 dd",$D20="8 dd",$D20="12 dd",$D20="an",$D20="1 X"),VLOOKUP($D20,PedTblTijden!$A$16:$X$26,PedTblTijden!P$14,FALSE),"")</f>
        <v/>
      </c>
      <c r="W20" s="12" t="str">
        <f>IF(OR($D20="1 dd",$D20="2 dd",$D20="3 dd",$D20="4 dd",$D20="6 dd",$D20="8 dd",$D20="12 dd",$D20="an",$D20="1 X"),VLOOKUP($D20,PedTblTijden!$A$16:$X$26,PedTblTijden!Q$14,FALSE),"")</f>
        <v/>
      </c>
      <c r="X20" s="93" t="str">
        <f>IF(OR($D20="1 dd",$D20="2 dd",$D20="3 dd",$D20="4 dd",$D20="6 dd",$D20="8 dd",$D20="12 dd",$D20="an",$D20="1 X"),VLOOKUP($D20,PedTblTijden!$A$16:$X$26,PedTblTijden!R$14,FALSE),"")</f>
        <v/>
      </c>
      <c r="Y20" s="12" t="str">
        <f>IF(OR($D20="1 dd",$D20="2 dd",$D20="3 dd",$D20="4 dd",$D20="6 dd",$D20="8 dd",$D20="12 dd",$D20="an",$D20="1 X"),VLOOKUP($D20,PedTblTijden!$A$16:$X$26,PedTblTijden!S$14,FALSE),"")</f>
        <v/>
      </c>
      <c r="Z20" s="93" t="str">
        <f>IF(OR($D20="1 dd",$D20="2 dd",$D20="3 dd",$D20="4 dd",$D20="6 dd",$D20="8 dd",$D20="12 dd",$D20="an",$D20="1 X"),VLOOKUP($D20,PedTblTijden!$A$16:$X$26,PedTblTijden!T$14,FALSE),"")</f>
        <v/>
      </c>
      <c r="AA20" s="12" t="str">
        <f>IF(OR($D20="1 dd",$D20="2 dd",$D20="3 dd",$D20="4 dd",$D20="6 dd",$D20="8 dd",$D20="12 dd",$D20="an",$D20="1 X"),VLOOKUP($D20,PedTblTijden!$A$16:$X$26,PedTblTijden!U$14,FALSE),"")</f>
        <v/>
      </c>
      <c r="AB20" s="93" t="str">
        <f>IF(OR($D20="1 dd",$D20="2 dd",$D20="3 dd",$D20="4 dd",$D20="6 dd",$D20="8 dd",$D20="12 dd",$D20="an",$D20="1 X"),VLOOKUP($D20,PedTblTijden!$A$16:$X$26,PedTblTijden!V$14,FALSE),"")</f>
        <v/>
      </c>
      <c r="AC20" s="12" t="str">
        <f>IF(OR($D20="1 dd",$D20="2 dd",$D20="3 dd",$D20="4 dd",$D20="6 dd",$D20="8 dd",$D20="12 dd",$D20="an",$D20="1 X"),VLOOKUP($D20,PedTblTijden!$A$16:$X$26,PedTblTijden!W$14,FALSE),"")</f>
        <v/>
      </c>
      <c r="AD20" s="93" t="str">
        <f>IF(OR($D20="1 dd",$D20="2 dd",$D20="3 dd",$D20="4 dd",$D20="6 dd",$D20="8 dd",$D20="12 dd",$D20="an",$D20="1 X"),VLOOKUP($D20,PedTblTijden!$A$16:$X$26,PedTblTijden!X$14,FALSE),"")</f>
        <v/>
      </c>
      <c r="AE20" s="14"/>
      <c r="AF20" s="92"/>
      <c r="AG20" s="14"/>
    </row>
    <row r="21" spans="2:33" ht="26.1" customHeight="1" x14ac:dyDescent="0.2">
      <c r="B21" s="94"/>
      <c r="C21" s="125" t="str">
        <f>IF(GlobBerMedDisc!C20&lt;&gt;"",IF(GlobBerMedDisc!C20&gt;1,TRIM(GlobBerMedDisc!C20)&amp;", "&amp;GlobBerOpm!#REF!&amp;" ("&amp;GlobBerMedDisc!M20&amp;" "&amp;GlobBerMedDisc!F20&amp;"/kg/dag)",TRIM(GlobBerMedDisc!C20)&amp;", "&amp;GlobBerOpm!#REF!),"")</f>
        <v/>
      </c>
      <c r="D21" s="126" t="str">
        <f>IF(GlobGuiMedDisc!I27&lt;&gt;"",GlobGuiMedDisc!I27,"")</f>
        <v/>
      </c>
      <c r="E21" s="127" t="str">
        <f>IF(AND(D21&lt;&gt;"",D21&lt;&gt;"STOP"),GlobBerMedDisc!H20&amp;" "&amp;GlobBerMedDisc!F20,"")</f>
        <v/>
      </c>
      <c r="F21" s="127" t="str">
        <f>IF(AND(D21&lt;&gt;"",D21&lt;&gt;"STOP"),GlobBerMedDisc!L20," ")</f>
        <v xml:space="preserve"> </v>
      </c>
      <c r="G21" s="127" t="str">
        <f>IF(GlobGuiMedDisc!N27&lt;&gt;"",GlobGuiMedDisc!N27&amp;" "&amp;GlobGuiMedDisc!O27&amp;" "&amp;INDEX(GlobBerMedDisc!$B$27:$B$30,GlobBerMedDisc!O20,1)&amp;" in "&amp;GlobGuiMedDisc!$R$27,"")</f>
        <v/>
      </c>
      <c r="H21" s="93" t="str">
        <f>IF(OR($D21="1 dd",$D21="2 dd",$D21="3 dd",$D21="4 dd",$D21="6 dd",$D21="8 dd",$D21="12 dd",$D21="an",$D21="1 X"),VLOOKUP($D21,PedTblTijden!$A$16:$X$26,PedTblTijden!B$14,FALSE),"")</f>
        <v/>
      </c>
      <c r="I21" s="12" t="str">
        <f>IF(OR($D21="1 dd",$D21="2 dd",$D21="3 dd",$D21="4 dd",$D21="6 dd",$D21="8 dd",$D21="12 dd",$D21="an",$D21="1 X"),VLOOKUP($D21,PedTblTijden!$A$16:$X$26,PedTblTijden!C$14,FALSE),"")</f>
        <v/>
      </c>
      <c r="J21" s="93" t="str">
        <f>IF(OR($D21="1 dd",$D21="2 dd",$D21="3 dd",$D21="4 dd",$D21="6 dd",$D21="8 dd",$D21="12 dd",$D21="an",$D21="1 X"),VLOOKUP($D21,PedTblTijden!$A$16:$X$26,PedTblTijden!D$14,FALSE),"")</f>
        <v/>
      </c>
      <c r="K21" s="12" t="str">
        <f>IF(OR($D21="1 dd",$D21="2 dd",$D21="3 dd",$D21="4 dd",$D21="6 dd",$D21="8 dd",$D21="12 dd",$D21="an",$D21="1 X"),VLOOKUP($D21,PedTblTijden!$A$16:$X$26,PedTblTijden!E$14,FALSE),"")</f>
        <v/>
      </c>
      <c r="L21" s="93" t="str">
        <f>IF(OR($D21="1 dd",$D21="2 dd",$D21="3 dd",$D21="4 dd",$D21="6 dd",$D21="8 dd",$D21="12 dd",$D21="an",$D21="1 X"),VLOOKUP($D21,PedTblTijden!$A$16:$X$26,PedTblTijden!F$14,FALSE),"")</f>
        <v/>
      </c>
      <c r="M21" s="12" t="str">
        <f>IF(OR($D21="1 dd",$D21="2 dd",$D21="3 dd",$D21="4 dd",$D21="6 dd",$D21="8 dd",$D21="12 dd",$D21="an",$D21="1 X"),VLOOKUP($D21,PedTblTijden!$A$16:$X$26,PedTblTijden!G$14,FALSE),"")</f>
        <v/>
      </c>
      <c r="N21" s="93" t="str">
        <f>IF(OR($D21="1 dd",$D21="2 dd",$D21="3 dd",$D21="4 dd",$D21="6 dd",$D21="8 dd",$D21="12 dd",$D21="an",$D21="1 X"),VLOOKUP($D21,PedTblTijden!$A$16:$X$26,PedTblTijden!H$14,FALSE),"")</f>
        <v/>
      </c>
      <c r="O21" s="12" t="str">
        <f>IF(OR($D21="1 dd",$D21="2 dd",$D21="3 dd",$D21="4 dd",$D21="6 dd",$D21="8 dd",$D21="12 dd",$D21="an",$D21="1 X"),VLOOKUP($D21,PedTblTijden!$A$16:$X$26,PedTblTijden!I$14,FALSE),"")</f>
        <v/>
      </c>
      <c r="P21" s="93" t="str">
        <f>IF(OR($D21="1 dd",$D21="2 dd",$D21="3 dd",$D21="4 dd",$D21="6 dd",$D21="8 dd",$D21="12 dd",$D21="an",$D21="1 X"),VLOOKUP($D21,PedTblTijden!$A$16:$X$26,PedTblTijden!J$14,FALSE),"")</f>
        <v/>
      </c>
      <c r="Q21" s="12" t="str">
        <f>IF(OR($D21="1 dd",$D21="2 dd",$D21="3 dd",$D21="4 dd",$D21="6 dd",$D21="8 dd",$D21="12 dd",$D21="an",$D21="1 X"),VLOOKUP($D21,PedTblTijden!$A$16:$X$26,PedTblTijden!K$14,FALSE),"")</f>
        <v/>
      </c>
      <c r="R21" s="93" t="str">
        <f>IF(OR($D21="1 dd",$D21="2 dd",$D21="3 dd",$D21="4 dd",$D21="6 dd",$D21="8 dd",$D21="12 dd",$D21="an",$D21="1 X"),VLOOKUP($D21,PedTblTijden!$A$16:$X$26,PedTblTijden!L$14,FALSE),"")</f>
        <v/>
      </c>
      <c r="S21" s="12" t="str">
        <f>IF(OR($D21="1 dd",$D21="2 dd",$D21="3 dd",$D21="4 dd",$D21="6 dd",$D21="8 dd",$D21="12 dd",$D21="an",$D21="1 X"),VLOOKUP($D21,PedTblTijden!$A$16:$X$26,PedTblTijden!M$14,FALSE),"")</f>
        <v/>
      </c>
      <c r="T21" s="93" t="str">
        <f>IF(OR($D21="1 dd",$D21="2 dd",$D21="3 dd",$D21="4 dd",$D21="6 dd",$D21="8 dd",$D21="12 dd",$D21="an",$D21="1 X"),VLOOKUP($D21,PedTblTijden!$A$16:$X$26,PedTblTijden!N$14,FALSE),"")</f>
        <v/>
      </c>
      <c r="U21" s="12" t="str">
        <f>IF(OR($D21="1 dd",$D21="2 dd",$D21="3 dd",$D21="4 dd",$D21="6 dd",$D21="8 dd",$D21="12 dd",$D21="an",$D21="1 X"),VLOOKUP($D21,PedTblTijden!$A$16:$X$26,PedTblTijden!O$14,FALSE),"")</f>
        <v/>
      </c>
      <c r="V21" s="93" t="str">
        <f>IF(OR($D21="1 dd",$D21="2 dd",$D21="3 dd",$D21="4 dd",$D21="6 dd",$D21="8 dd",$D21="12 dd",$D21="an",$D21="1 X"),VLOOKUP($D21,PedTblTijden!$A$16:$X$26,PedTblTijden!P$14,FALSE),"")</f>
        <v/>
      </c>
      <c r="W21" s="12" t="str">
        <f>IF(OR($D21="1 dd",$D21="2 dd",$D21="3 dd",$D21="4 dd",$D21="6 dd",$D21="8 dd",$D21="12 dd",$D21="an",$D21="1 X"),VLOOKUP($D21,PedTblTijden!$A$16:$X$26,PedTblTijden!Q$14,FALSE),"")</f>
        <v/>
      </c>
      <c r="X21" s="93" t="str">
        <f>IF(OR($D21="1 dd",$D21="2 dd",$D21="3 dd",$D21="4 dd",$D21="6 dd",$D21="8 dd",$D21="12 dd",$D21="an",$D21="1 X"),VLOOKUP($D21,PedTblTijden!$A$16:$X$26,PedTblTijden!R$14,FALSE),"")</f>
        <v/>
      </c>
      <c r="Y21" s="12" t="str">
        <f>IF(OR($D21="1 dd",$D21="2 dd",$D21="3 dd",$D21="4 dd",$D21="6 dd",$D21="8 dd",$D21="12 dd",$D21="an",$D21="1 X"),VLOOKUP($D21,PedTblTijden!$A$16:$X$26,PedTblTijden!S$14,FALSE),"")</f>
        <v/>
      </c>
      <c r="Z21" s="93" t="str">
        <f>IF(OR($D21="1 dd",$D21="2 dd",$D21="3 dd",$D21="4 dd",$D21="6 dd",$D21="8 dd",$D21="12 dd",$D21="an",$D21="1 X"),VLOOKUP($D21,PedTblTijden!$A$16:$X$26,PedTblTijden!T$14,FALSE),"")</f>
        <v/>
      </c>
      <c r="AA21" s="12" t="str">
        <f>IF(OR($D21="1 dd",$D21="2 dd",$D21="3 dd",$D21="4 dd",$D21="6 dd",$D21="8 dd",$D21="12 dd",$D21="an",$D21="1 X"),VLOOKUP($D21,PedTblTijden!$A$16:$X$26,PedTblTijden!U$14,FALSE),"")</f>
        <v/>
      </c>
      <c r="AB21" s="93" t="str">
        <f>IF(OR($D21="1 dd",$D21="2 dd",$D21="3 dd",$D21="4 dd",$D21="6 dd",$D21="8 dd",$D21="12 dd",$D21="an",$D21="1 X"),VLOOKUP($D21,PedTblTijden!$A$16:$X$26,PedTblTijden!V$14,FALSE),"")</f>
        <v/>
      </c>
      <c r="AC21" s="12" t="str">
        <f>IF(OR($D21="1 dd",$D21="2 dd",$D21="3 dd",$D21="4 dd",$D21="6 dd",$D21="8 dd",$D21="12 dd",$D21="an",$D21="1 X"),VLOOKUP($D21,PedTblTijden!$A$16:$X$26,PedTblTijden!W$14,FALSE),"")</f>
        <v/>
      </c>
      <c r="AD21" s="93" t="str">
        <f>IF(OR($D21="1 dd",$D21="2 dd",$D21="3 dd",$D21="4 dd",$D21="6 dd",$D21="8 dd",$D21="12 dd",$D21="an",$D21="1 X"),VLOOKUP($D21,PedTblTijden!$A$16:$X$26,PedTblTijden!X$14,FALSE),"")</f>
        <v/>
      </c>
      <c r="AE21" s="14"/>
      <c r="AF21" s="92"/>
      <c r="AG21" s="14"/>
    </row>
    <row r="22" spans="2:33" ht="26.1" customHeight="1" x14ac:dyDescent="0.2">
      <c r="B22" s="94"/>
      <c r="C22" s="125" t="str">
        <f>IF(GlobBerMedDisc!C21&lt;&gt;"",IF(GlobBerMedDisc!C21&gt;1,TRIM(GlobBerMedDisc!C21)&amp;", "&amp;GlobBerOpm!#REF!&amp;" ("&amp;GlobBerMedDisc!M21&amp;" "&amp;GlobBerMedDisc!F21&amp;"/kg/dag)",TRIM(GlobBerMedDisc!C21)&amp;", "&amp;GlobBerOpm!#REF!),"")</f>
        <v/>
      </c>
      <c r="D22" s="126" t="str">
        <f>IF(GlobGuiMedDisc!I28&lt;&gt;"",GlobGuiMedDisc!I28,"")</f>
        <v/>
      </c>
      <c r="E22" s="127" t="str">
        <f>IF(AND(D22&lt;&gt;"",D22&lt;&gt;"STOP"),GlobBerMedDisc!H21&amp;" "&amp;GlobBerMedDisc!F21,"")</f>
        <v/>
      </c>
      <c r="F22" s="127" t="str">
        <f>IF(AND(D22&lt;&gt;"",D22&lt;&gt;"STOP"),GlobBerMedDisc!L21," ")</f>
        <v xml:space="preserve"> </v>
      </c>
      <c r="G22" s="127" t="str">
        <f>IF(GlobGuiMedDisc!N28&lt;&gt;"",GlobGuiMedDisc!N28&amp;" "&amp;GlobGuiMedDisc!O28&amp;" "&amp;INDEX(GlobBerMedDisc!$B$27:$B$30,GlobBerMedDisc!O21,1)&amp;" in "&amp;GlobGuiMedDisc!$R$28,"")</f>
        <v/>
      </c>
      <c r="H22" s="93" t="str">
        <f>IF(OR($D22="1 dd",$D22="2 dd",$D22="3 dd",$D22="4 dd",$D22="6 dd",$D22="8 dd",$D22="12 dd",$D22="an",$D22="1 X"),VLOOKUP($D22,PedTblTijden!$A$16:$X$26,PedTblTijden!B$14,FALSE),"")</f>
        <v/>
      </c>
      <c r="I22" s="12" t="str">
        <f>IF(OR($D22="1 dd",$D22="2 dd",$D22="3 dd",$D22="4 dd",$D22="6 dd",$D22="8 dd",$D22="12 dd",$D22="an",$D22="1 X"),VLOOKUP($D22,PedTblTijden!$A$16:$X$26,PedTblTijden!C$14,FALSE),"")</f>
        <v/>
      </c>
      <c r="J22" s="93" t="str">
        <f>IF(OR($D22="1 dd",$D22="2 dd",$D22="3 dd",$D22="4 dd",$D22="6 dd",$D22="8 dd",$D22="12 dd",$D22="an",$D22="1 X"),VLOOKUP($D22,PedTblTijden!$A$16:$X$26,PedTblTijden!D$14,FALSE),"")</f>
        <v/>
      </c>
      <c r="K22" s="12" t="str">
        <f>IF(OR($D22="1 dd",$D22="2 dd",$D22="3 dd",$D22="4 dd",$D22="6 dd",$D22="8 dd",$D22="12 dd",$D22="an",$D22="1 X"),VLOOKUP($D22,PedTblTijden!$A$16:$X$26,PedTblTijden!E$14,FALSE),"")</f>
        <v/>
      </c>
      <c r="L22" s="93" t="str">
        <f>IF(OR($D22="1 dd",$D22="2 dd",$D22="3 dd",$D22="4 dd",$D22="6 dd",$D22="8 dd",$D22="12 dd",$D22="an",$D22="1 X"),VLOOKUP($D22,PedTblTijden!$A$16:$X$26,PedTblTijden!F$14,FALSE),"")</f>
        <v/>
      </c>
      <c r="M22" s="12" t="str">
        <f>IF(OR($D22="1 dd",$D22="2 dd",$D22="3 dd",$D22="4 dd",$D22="6 dd",$D22="8 dd",$D22="12 dd",$D22="an",$D22="1 X"),VLOOKUP($D22,PedTblTijden!$A$16:$X$26,PedTblTijden!G$14,FALSE),"")</f>
        <v/>
      </c>
      <c r="N22" s="93" t="str">
        <f>IF(OR($D22="1 dd",$D22="2 dd",$D22="3 dd",$D22="4 dd",$D22="6 dd",$D22="8 dd",$D22="12 dd",$D22="an",$D22="1 X"),VLOOKUP($D22,PedTblTijden!$A$16:$X$26,PedTblTijden!H$14,FALSE),"")</f>
        <v/>
      </c>
      <c r="O22" s="12" t="str">
        <f>IF(OR($D22="1 dd",$D22="2 dd",$D22="3 dd",$D22="4 dd",$D22="6 dd",$D22="8 dd",$D22="12 dd",$D22="an",$D22="1 X"),VLOOKUP($D22,PedTblTijden!$A$16:$X$26,PedTblTijden!I$14,FALSE),"")</f>
        <v/>
      </c>
      <c r="P22" s="93" t="str">
        <f>IF(OR($D22="1 dd",$D22="2 dd",$D22="3 dd",$D22="4 dd",$D22="6 dd",$D22="8 dd",$D22="12 dd",$D22="an",$D22="1 X"),VLOOKUP($D22,PedTblTijden!$A$16:$X$26,PedTblTijden!J$14,FALSE),"")</f>
        <v/>
      </c>
      <c r="Q22" s="12" t="str">
        <f>IF(OR($D22="1 dd",$D22="2 dd",$D22="3 dd",$D22="4 dd",$D22="6 dd",$D22="8 dd",$D22="12 dd",$D22="an",$D22="1 X"),VLOOKUP($D22,PedTblTijden!$A$16:$X$26,PedTblTijden!K$14,FALSE),"")</f>
        <v/>
      </c>
      <c r="R22" s="93" t="str">
        <f>IF(OR($D22="1 dd",$D22="2 dd",$D22="3 dd",$D22="4 dd",$D22="6 dd",$D22="8 dd",$D22="12 dd",$D22="an",$D22="1 X"),VLOOKUP($D22,PedTblTijden!$A$16:$X$26,PedTblTijden!L$14,FALSE),"")</f>
        <v/>
      </c>
      <c r="S22" s="12" t="str">
        <f>IF(OR($D22="1 dd",$D22="2 dd",$D22="3 dd",$D22="4 dd",$D22="6 dd",$D22="8 dd",$D22="12 dd",$D22="an",$D22="1 X"),VLOOKUP($D22,PedTblTijden!$A$16:$X$26,PedTblTijden!M$14,FALSE),"")</f>
        <v/>
      </c>
      <c r="T22" s="93" t="str">
        <f>IF(OR($D22="1 dd",$D22="2 dd",$D22="3 dd",$D22="4 dd",$D22="6 dd",$D22="8 dd",$D22="12 dd",$D22="an",$D22="1 X"),VLOOKUP($D22,PedTblTijden!$A$16:$X$26,PedTblTijden!N$14,FALSE),"")</f>
        <v/>
      </c>
      <c r="U22" s="12" t="str">
        <f>IF(OR($D22="1 dd",$D22="2 dd",$D22="3 dd",$D22="4 dd",$D22="6 dd",$D22="8 dd",$D22="12 dd",$D22="an",$D22="1 X"),VLOOKUP($D22,PedTblTijden!$A$16:$X$26,PedTblTijden!O$14,FALSE),"")</f>
        <v/>
      </c>
      <c r="V22" s="93" t="str">
        <f>IF(OR($D22="1 dd",$D22="2 dd",$D22="3 dd",$D22="4 dd",$D22="6 dd",$D22="8 dd",$D22="12 dd",$D22="an",$D22="1 X"),VLOOKUP($D22,PedTblTijden!$A$16:$X$26,PedTblTijden!P$14,FALSE),"")</f>
        <v/>
      </c>
      <c r="W22" s="12" t="str">
        <f>IF(OR($D22="1 dd",$D22="2 dd",$D22="3 dd",$D22="4 dd",$D22="6 dd",$D22="8 dd",$D22="12 dd",$D22="an",$D22="1 X"),VLOOKUP($D22,PedTblTijden!$A$16:$X$26,PedTblTijden!Q$14,FALSE),"")</f>
        <v/>
      </c>
      <c r="X22" s="93" t="str">
        <f>IF(OR($D22="1 dd",$D22="2 dd",$D22="3 dd",$D22="4 dd",$D22="6 dd",$D22="8 dd",$D22="12 dd",$D22="an",$D22="1 X"),VLOOKUP($D22,PedTblTijden!$A$16:$X$26,PedTblTijden!R$14,FALSE),"")</f>
        <v/>
      </c>
      <c r="Y22" s="12" t="str">
        <f>IF(OR($D22="1 dd",$D22="2 dd",$D22="3 dd",$D22="4 dd",$D22="6 dd",$D22="8 dd",$D22="12 dd",$D22="an",$D22="1 X"),VLOOKUP($D22,PedTblTijden!$A$16:$X$26,PedTblTijden!S$14,FALSE),"")</f>
        <v/>
      </c>
      <c r="Z22" s="93" t="str">
        <f>IF(OR($D22="1 dd",$D22="2 dd",$D22="3 dd",$D22="4 dd",$D22="6 dd",$D22="8 dd",$D22="12 dd",$D22="an",$D22="1 X"),VLOOKUP($D22,PedTblTijden!$A$16:$X$26,PedTblTijden!T$14,FALSE),"")</f>
        <v/>
      </c>
      <c r="AA22" s="12" t="str">
        <f>IF(OR($D22="1 dd",$D22="2 dd",$D22="3 dd",$D22="4 dd",$D22="6 dd",$D22="8 dd",$D22="12 dd",$D22="an",$D22="1 X"),VLOOKUP($D22,PedTblTijden!$A$16:$X$26,PedTblTijden!U$14,FALSE),"")</f>
        <v/>
      </c>
      <c r="AB22" s="93" t="str">
        <f>IF(OR($D22="1 dd",$D22="2 dd",$D22="3 dd",$D22="4 dd",$D22="6 dd",$D22="8 dd",$D22="12 dd",$D22="an",$D22="1 X"),VLOOKUP($D22,PedTblTijden!$A$16:$X$26,PedTblTijden!V$14,FALSE),"")</f>
        <v/>
      </c>
      <c r="AC22" s="12" t="str">
        <f>IF(OR($D22="1 dd",$D22="2 dd",$D22="3 dd",$D22="4 dd",$D22="6 dd",$D22="8 dd",$D22="12 dd",$D22="an",$D22="1 X"),VLOOKUP($D22,PedTblTijden!$A$16:$X$26,PedTblTijden!W$14,FALSE),"")</f>
        <v/>
      </c>
      <c r="AD22" s="93" t="str">
        <f>IF(OR($D22="1 dd",$D22="2 dd",$D22="3 dd",$D22="4 dd",$D22="6 dd",$D22="8 dd",$D22="12 dd",$D22="an",$D22="1 X"),VLOOKUP($D22,PedTblTijden!$A$16:$X$26,PedTblTijden!X$14,FALSE),"")</f>
        <v/>
      </c>
      <c r="AE22" s="14"/>
      <c r="AF22" s="92"/>
      <c r="AG22" s="14"/>
    </row>
    <row r="23" spans="2:33" s="315" customFormat="1" ht="26.1" customHeight="1" x14ac:dyDescent="0.2">
      <c r="B23" s="94"/>
      <c r="C23" s="125" t="str">
        <f>IF(GlobBerMedDisc!C22&lt;&gt;"",IF(GlobBerMedDisc!C22&gt;1,TRIM(GlobBerMedDisc!C22)&amp;", "&amp;GlobBerOpm!#REF!&amp;" ("&amp;GlobBerMedDisc!M22&amp;" "&amp;GlobBerMedDisc!F22&amp;"/kg/dag)",TRIM(GlobBerMedDisc!C22)&amp;", "&amp;GlobBerOpm!#REF!),"")</f>
        <v/>
      </c>
      <c r="D23" s="126" t="str">
        <f>IF(GlobGuiMedDisc!I29&lt;&gt;"",GlobGuiMedDisc!I29,"")</f>
        <v/>
      </c>
      <c r="E23" s="127" t="str">
        <f>IF(AND(D23&lt;&gt;"",D23&lt;&gt;"STOP"),GlobBerMedDisc!H22&amp;" "&amp;GlobBerMedDisc!F22,"")</f>
        <v/>
      </c>
      <c r="F23" s="127" t="str">
        <f>IF(AND(D23&lt;&gt;"",D23&lt;&gt;"STOP"),GlobBerMedDisc!L22," ")</f>
        <v xml:space="preserve"> </v>
      </c>
      <c r="G23" s="127" t="e">
        <f>IF(GlobGuiMedDisc!#REF!&lt;&gt;"",GlobGuiMedDisc!#REF!&amp;" "&amp;GlobGuiMedDisc!#REF!&amp;" "&amp;INDEX(GlobBerMedDisc!$B$27:$B$30,GlobBerMedDisc!O22,1)&amp;" in "&amp;GlobGuiMedDisc!$R$28,"")</f>
        <v>#REF!</v>
      </c>
      <c r="H23" s="93" t="str">
        <f>IF(OR($D23="1 dd",$D23="2 dd",$D23="3 dd",$D23="4 dd",$D23="6 dd",$D23="8 dd",$D23="12 dd",$D23="an",$D23="1 X"),VLOOKUP($D23,PedTblTijden!$A$16:$X$26,PedTblTijden!B$14,FALSE),"")</f>
        <v/>
      </c>
      <c r="I23" s="12" t="str">
        <f>IF(OR($D23="1 dd",$D23="2 dd",$D23="3 dd",$D23="4 dd",$D23="6 dd",$D23="8 dd",$D23="12 dd",$D23="an",$D23="1 X"),VLOOKUP($D23,PedTblTijden!$A$16:$X$26,PedTblTijden!C$14,FALSE),"")</f>
        <v/>
      </c>
      <c r="J23" s="93" t="str">
        <f>IF(OR($D23="1 dd",$D23="2 dd",$D23="3 dd",$D23="4 dd",$D23="6 dd",$D23="8 dd",$D23="12 dd",$D23="an",$D23="1 X"),VLOOKUP($D23,PedTblTijden!$A$16:$X$26,PedTblTijden!D$14,FALSE),"")</f>
        <v/>
      </c>
      <c r="K23" s="12" t="str">
        <f>IF(OR($D23="1 dd",$D23="2 dd",$D23="3 dd",$D23="4 dd",$D23="6 dd",$D23="8 dd",$D23="12 dd",$D23="an",$D23="1 X"),VLOOKUP($D23,PedTblTijden!$A$16:$X$26,PedTblTijden!E$14,FALSE),"")</f>
        <v/>
      </c>
      <c r="L23" s="93" t="str">
        <f>IF(OR($D23="1 dd",$D23="2 dd",$D23="3 dd",$D23="4 dd",$D23="6 dd",$D23="8 dd",$D23="12 dd",$D23="an",$D23="1 X"),VLOOKUP($D23,PedTblTijden!$A$16:$X$26,PedTblTijden!F$14,FALSE),"")</f>
        <v/>
      </c>
      <c r="M23" s="12" t="str">
        <f>IF(OR($D23="1 dd",$D23="2 dd",$D23="3 dd",$D23="4 dd",$D23="6 dd",$D23="8 dd",$D23="12 dd",$D23="an",$D23="1 X"),VLOOKUP($D23,PedTblTijden!$A$16:$X$26,PedTblTijden!G$14,FALSE),"")</f>
        <v/>
      </c>
      <c r="N23" s="93" t="str">
        <f>IF(OR($D23="1 dd",$D23="2 dd",$D23="3 dd",$D23="4 dd",$D23="6 dd",$D23="8 dd",$D23="12 dd",$D23="an",$D23="1 X"),VLOOKUP($D23,PedTblTijden!$A$16:$X$26,PedTblTijden!H$14,FALSE),"")</f>
        <v/>
      </c>
      <c r="O23" s="12" t="str">
        <f>IF(OR($D23="1 dd",$D23="2 dd",$D23="3 dd",$D23="4 dd",$D23="6 dd",$D23="8 dd",$D23="12 dd",$D23="an",$D23="1 X"),VLOOKUP($D23,PedTblTijden!$A$16:$X$26,PedTblTijden!I$14,FALSE),"")</f>
        <v/>
      </c>
      <c r="P23" s="93" t="str">
        <f>IF(OR($D23="1 dd",$D23="2 dd",$D23="3 dd",$D23="4 dd",$D23="6 dd",$D23="8 dd",$D23="12 dd",$D23="an",$D23="1 X"),VLOOKUP($D23,PedTblTijden!$A$16:$X$26,PedTblTijden!J$14,FALSE),"")</f>
        <v/>
      </c>
      <c r="Q23" s="12" t="str">
        <f>IF(OR($D23="1 dd",$D23="2 dd",$D23="3 dd",$D23="4 dd",$D23="6 dd",$D23="8 dd",$D23="12 dd",$D23="an",$D23="1 X"),VLOOKUP($D23,PedTblTijden!$A$16:$X$26,PedTblTijden!K$14,FALSE),"")</f>
        <v/>
      </c>
      <c r="R23" s="93" t="str">
        <f>IF(OR($D23="1 dd",$D23="2 dd",$D23="3 dd",$D23="4 dd",$D23="6 dd",$D23="8 dd",$D23="12 dd",$D23="an",$D23="1 X"),VLOOKUP($D23,PedTblTijden!$A$16:$X$26,PedTblTijden!L$14,FALSE),"")</f>
        <v/>
      </c>
      <c r="S23" s="12" t="str">
        <f>IF(OR($D23="1 dd",$D23="2 dd",$D23="3 dd",$D23="4 dd",$D23="6 dd",$D23="8 dd",$D23="12 dd",$D23="an",$D23="1 X"),VLOOKUP($D23,PedTblTijden!$A$16:$X$26,PedTblTijden!M$14,FALSE),"")</f>
        <v/>
      </c>
      <c r="T23" s="93" t="str">
        <f>IF(OR($D23="1 dd",$D23="2 dd",$D23="3 dd",$D23="4 dd",$D23="6 dd",$D23="8 dd",$D23="12 dd",$D23="an",$D23="1 X"),VLOOKUP($D23,PedTblTijden!$A$16:$X$26,PedTblTijden!N$14,FALSE),"")</f>
        <v/>
      </c>
      <c r="U23" s="12" t="str">
        <f>IF(OR($D23="1 dd",$D23="2 dd",$D23="3 dd",$D23="4 dd",$D23="6 dd",$D23="8 dd",$D23="12 dd",$D23="an",$D23="1 X"),VLOOKUP($D23,PedTblTijden!$A$16:$X$26,PedTblTijden!O$14,FALSE),"")</f>
        <v/>
      </c>
      <c r="V23" s="93" t="str">
        <f>IF(OR($D23="1 dd",$D23="2 dd",$D23="3 dd",$D23="4 dd",$D23="6 dd",$D23="8 dd",$D23="12 dd",$D23="an",$D23="1 X"),VLOOKUP($D23,PedTblTijden!$A$16:$X$26,PedTblTijden!P$14,FALSE),"")</f>
        <v/>
      </c>
      <c r="W23" s="12" t="str">
        <f>IF(OR($D23="1 dd",$D23="2 dd",$D23="3 dd",$D23="4 dd",$D23="6 dd",$D23="8 dd",$D23="12 dd",$D23="an",$D23="1 X"),VLOOKUP($D23,PedTblTijden!$A$16:$X$26,PedTblTijden!Q$14,FALSE),"")</f>
        <v/>
      </c>
      <c r="X23" s="93" t="str">
        <f>IF(OR($D23="1 dd",$D23="2 dd",$D23="3 dd",$D23="4 dd",$D23="6 dd",$D23="8 dd",$D23="12 dd",$D23="an",$D23="1 X"),VLOOKUP($D23,PedTblTijden!$A$16:$X$26,PedTblTijden!R$14,FALSE),"")</f>
        <v/>
      </c>
      <c r="Y23" s="12" t="str">
        <f>IF(OR($D23="1 dd",$D23="2 dd",$D23="3 dd",$D23="4 dd",$D23="6 dd",$D23="8 dd",$D23="12 dd",$D23="an",$D23="1 X"),VLOOKUP($D23,PedTblTijden!$A$16:$X$26,PedTblTijden!S$14,FALSE),"")</f>
        <v/>
      </c>
      <c r="Z23" s="93" t="str">
        <f>IF(OR($D23="1 dd",$D23="2 dd",$D23="3 dd",$D23="4 dd",$D23="6 dd",$D23="8 dd",$D23="12 dd",$D23="an",$D23="1 X"),VLOOKUP($D23,PedTblTijden!$A$16:$X$26,PedTblTijden!T$14,FALSE),"")</f>
        <v/>
      </c>
      <c r="AA23" s="12" t="str">
        <f>IF(OR($D23="1 dd",$D23="2 dd",$D23="3 dd",$D23="4 dd",$D23="6 dd",$D23="8 dd",$D23="12 dd",$D23="an",$D23="1 X"),VLOOKUP($D23,PedTblTijden!$A$16:$X$26,PedTblTijden!U$14,FALSE),"")</f>
        <v/>
      </c>
      <c r="AB23" s="93" t="str">
        <f>IF(OR($D23="1 dd",$D23="2 dd",$D23="3 dd",$D23="4 dd",$D23="6 dd",$D23="8 dd",$D23="12 dd",$D23="an",$D23="1 X"),VLOOKUP($D23,PedTblTijden!$A$16:$X$26,PedTblTijden!V$14,FALSE),"")</f>
        <v/>
      </c>
      <c r="AC23" s="12" t="str">
        <f>IF(OR($D23="1 dd",$D23="2 dd",$D23="3 dd",$D23="4 dd",$D23="6 dd",$D23="8 dd",$D23="12 dd",$D23="an",$D23="1 X"),VLOOKUP($D23,PedTblTijden!$A$16:$X$26,PedTblTijden!W$14,FALSE),"")</f>
        <v/>
      </c>
      <c r="AD23" s="93" t="str">
        <f>IF(OR($D23="1 dd",$D23="2 dd",$D23="3 dd",$D23="4 dd",$D23="6 dd",$D23="8 dd",$D23="12 dd",$D23="an",$D23="1 X"),VLOOKUP($D23,PedTblTijden!$A$16:$X$26,PedTblTijden!X$14,FALSE),"")</f>
        <v/>
      </c>
      <c r="AE23" s="14"/>
      <c r="AF23" s="92"/>
      <c r="AG23" s="14"/>
    </row>
    <row r="24" spans="2:33" s="315" customFormat="1" ht="26.1" customHeight="1" x14ac:dyDescent="0.2">
      <c r="B24" s="94"/>
      <c r="C24" s="125" t="str">
        <f>IF(GlobBerMedDisc!C23&lt;&gt;"",IF(GlobBerMedDisc!C23&gt;1,TRIM(GlobBerMedDisc!C23)&amp;", "&amp;GlobBerOpm!#REF!&amp;" ("&amp;GlobBerMedDisc!M23&amp;" "&amp;GlobBerMedDisc!F23&amp;"/kg/dag)",TRIM(GlobBerMedDisc!C23)&amp;", "&amp;GlobBerOpm!#REF!),"")</f>
        <v/>
      </c>
      <c r="D24" s="126" t="str">
        <f>IF(GlobGuiMedDisc!I30&lt;&gt;"",GlobGuiMedDisc!I30,"")</f>
        <v/>
      </c>
      <c r="E24" s="127" t="str">
        <f>IF(AND(D24&lt;&gt;"",D24&lt;&gt;"STOP"),GlobBerMedDisc!H23&amp;" "&amp;GlobBerMedDisc!F23,"")</f>
        <v/>
      </c>
      <c r="F24" s="127" t="str">
        <f>IF(AND(D24&lt;&gt;"",D24&lt;&gt;"STOP"),GlobBerMedDisc!L23," ")</f>
        <v xml:space="preserve"> </v>
      </c>
      <c r="G24" s="127" t="str">
        <f>IF(GlobGuiMedDisc!N29&lt;&gt;"",GlobGuiMedDisc!N29&amp;" "&amp;GlobGuiMedDisc!O29&amp;" "&amp;INDEX(GlobBerMedDisc!$B$27:$B$30,GlobBerMedDisc!O23,1)&amp;" in "&amp;GlobGuiMedDisc!$R$28,"")</f>
        <v/>
      </c>
      <c r="H24" s="93" t="str">
        <f>IF(OR($D24="1 dd",$D24="2 dd",$D24="3 dd",$D24="4 dd",$D24="6 dd",$D24="8 dd",$D24="12 dd",$D24="an",$D24="1 X"),VLOOKUP($D24,PedTblTijden!$A$16:$X$26,PedTblTijden!B$14,FALSE),"")</f>
        <v/>
      </c>
      <c r="I24" s="12" t="str">
        <f>IF(OR($D24="1 dd",$D24="2 dd",$D24="3 dd",$D24="4 dd",$D24="6 dd",$D24="8 dd",$D24="12 dd",$D24="an",$D24="1 X"),VLOOKUP($D24,PedTblTijden!$A$16:$X$26,PedTblTijden!C$14,FALSE),"")</f>
        <v/>
      </c>
      <c r="J24" s="93" t="str">
        <f>IF(OR($D24="1 dd",$D24="2 dd",$D24="3 dd",$D24="4 dd",$D24="6 dd",$D24="8 dd",$D24="12 dd",$D24="an",$D24="1 X"),VLOOKUP($D24,PedTblTijden!$A$16:$X$26,PedTblTijden!D$14,FALSE),"")</f>
        <v/>
      </c>
      <c r="K24" s="12" t="str">
        <f>IF(OR($D24="1 dd",$D24="2 dd",$D24="3 dd",$D24="4 dd",$D24="6 dd",$D24="8 dd",$D24="12 dd",$D24="an",$D24="1 X"),VLOOKUP($D24,PedTblTijden!$A$16:$X$26,PedTblTijden!E$14,FALSE),"")</f>
        <v/>
      </c>
      <c r="L24" s="93" t="str">
        <f>IF(OR($D24="1 dd",$D24="2 dd",$D24="3 dd",$D24="4 dd",$D24="6 dd",$D24="8 dd",$D24="12 dd",$D24="an",$D24="1 X"),VLOOKUP($D24,PedTblTijden!$A$16:$X$26,PedTblTijden!F$14,FALSE),"")</f>
        <v/>
      </c>
      <c r="M24" s="12" t="str">
        <f>IF(OR($D24="1 dd",$D24="2 dd",$D24="3 dd",$D24="4 dd",$D24="6 dd",$D24="8 dd",$D24="12 dd",$D24="an",$D24="1 X"),VLOOKUP($D24,PedTblTijden!$A$16:$X$26,PedTblTijden!G$14,FALSE),"")</f>
        <v/>
      </c>
      <c r="N24" s="93" t="str">
        <f>IF(OR($D24="1 dd",$D24="2 dd",$D24="3 dd",$D24="4 dd",$D24="6 dd",$D24="8 dd",$D24="12 dd",$D24="an",$D24="1 X"),VLOOKUP($D24,PedTblTijden!$A$16:$X$26,PedTblTijden!H$14,FALSE),"")</f>
        <v/>
      </c>
      <c r="O24" s="12" t="str">
        <f>IF(OR($D24="1 dd",$D24="2 dd",$D24="3 dd",$D24="4 dd",$D24="6 dd",$D24="8 dd",$D24="12 dd",$D24="an",$D24="1 X"),VLOOKUP($D24,PedTblTijden!$A$16:$X$26,PedTblTijden!I$14,FALSE),"")</f>
        <v/>
      </c>
      <c r="P24" s="93" t="str">
        <f>IF(OR($D24="1 dd",$D24="2 dd",$D24="3 dd",$D24="4 dd",$D24="6 dd",$D24="8 dd",$D24="12 dd",$D24="an",$D24="1 X"),VLOOKUP($D24,PedTblTijden!$A$16:$X$26,PedTblTijden!J$14,FALSE),"")</f>
        <v/>
      </c>
      <c r="Q24" s="12" t="str">
        <f>IF(OR($D24="1 dd",$D24="2 dd",$D24="3 dd",$D24="4 dd",$D24="6 dd",$D24="8 dd",$D24="12 dd",$D24="an",$D24="1 X"),VLOOKUP($D24,PedTblTijden!$A$16:$X$26,PedTblTijden!K$14,FALSE),"")</f>
        <v/>
      </c>
      <c r="R24" s="93" t="str">
        <f>IF(OR($D24="1 dd",$D24="2 dd",$D24="3 dd",$D24="4 dd",$D24="6 dd",$D24="8 dd",$D24="12 dd",$D24="an",$D24="1 X"),VLOOKUP($D24,PedTblTijden!$A$16:$X$26,PedTblTijden!L$14,FALSE),"")</f>
        <v/>
      </c>
      <c r="S24" s="12" t="str">
        <f>IF(OR($D24="1 dd",$D24="2 dd",$D24="3 dd",$D24="4 dd",$D24="6 dd",$D24="8 dd",$D24="12 dd",$D24="an",$D24="1 X"),VLOOKUP($D24,PedTblTijden!$A$16:$X$26,PedTblTijden!M$14,FALSE),"")</f>
        <v/>
      </c>
      <c r="T24" s="93" t="str">
        <f>IF(OR($D24="1 dd",$D24="2 dd",$D24="3 dd",$D24="4 dd",$D24="6 dd",$D24="8 dd",$D24="12 dd",$D24="an",$D24="1 X"),VLOOKUP($D24,PedTblTijden!$A$16:$X$26,PedTblTijden!N$14,FALSE),"")</f>
        <v/>
      </c>
      <c r="U24" s="12" t="str">
        <f>IF(OR($D24="1 dd",$D24="2 dd",$D24="3 dd",$D24="4 dd",$D24="6 dd",$D24="8 dd",$D24="12 dd",$D24="an",$D24="1 X"),VLOOKUP($D24,PedTblTijden!$A$16:$X$26,PedTblTijden!O$14,FALSE),"")</f>
        <v/>
      </c>
      <c r="V24" s="93" t="str">
        <f>IF(OR($D24="1 dd",$D24="2 dd",$D24="3 dd",$D24="4 dd",$D24="6 dd",$D24="8 dd",$D24="12 dd",$D24="an",$D24="1 X"),VLOOKUP($D24,PedTblTijden!$A$16:$X$26,PedTblTijden!P$14,FALSE),"")</f>
        <v/>
      </c>
      <c r="W24" s="12" t="str">
        <f>IF(OR($D24="1 dd",$D24="2 dd",$D24="3 dd",$D24="4 dd",$D24="6 dd",$D24="8 dd",$D24="12 dd",$D24="an",$D24="1 X"),VLOOKUP($D24,PedTblTijden!$A$16:$X$26,PedTblTijden!Q$14,FALSE),"")</f>
        <v/>
      </c>
      <c r="X24" s="93" t="str">
        <f>IF(OR($D24="1 dd",$D24="2 dd",$D24="3 dd",$D24="4 dd",$D24="6 dd",$D24="8 dd",$D24="12 dd",$D24="an",$D24="1 X"),VLOOKUP($D24,PedTblTijden!$A$16:$X$26,PedTblTijden!R$14,FALSE),"")</f>
        <v/>
      </c>
      <c r="Y24" s="12" t="str">
        <f>IF(OR($D24="1 dd",$D24="2 dd",$D24="3 dd",$D24="4 dd",$D24="6 dd",$D24="8 dd",$D24="12 dd",$D24="an",$D24="1 X"),VLOOKUP($D24,PedTblTijden!$A$16:$X$26,PedTblTijden!S$14,FALSE),"")</f>
        <v/>
      </c>
      <c r="Z24" s="93" t="str">
        <f>IF(OR($D24="1 dd",$D24="2 dd",$D24="3 dd",$D24="4 dd",$D24="6 dd",$D24="8 dd",$D24="12 dd",$D24="an",$D24="1 X"),VLOOKUP($D24,PedTblTijden!$A$16:$X$26,PedTblTijden!T$14,FALSE),"")</f>
        <v/>
      </c>
      <c r="AA24" s="12" t="str">
        <f>IF(OR($D24="1 dd",$D24="2 dd",$D24="3 dd",$D24="4 dd",$D24="6 dd",$D24="8 dd",$D24="12 dd",$D24="an",$D24="1 X"),VLOOKUP($D24,PedTblTijden!$A$16:$X$26,PedTblTijden!U$14,FALSE),"")</f>
        <v/>
      </c>
      <c r="AB24" s="93" t="str">
        <f>IF(OR($D24="1 dd",$D24="2 dd",$D24="3 dd",$D24="4 dd",$D24="6 dd",$D24="8 dd",$D24="12 dd",$D24="an",$D24="1 X"),VLOOKUP($D24,PedTblTijden!$A$16:$X$26,PedTblTijden!V$14,FALSE),"")</f>
        <v/>
      </c>
      <c r="AC24" s="12" t="str">
        <f>IF(OR($D24="1 dd",$D24="2 dd",$D24="3 dd",$D24="4 dd",$D24="6 dd",$D24="8 dd",$D24="12 dd",$D24="an",$D24="1 X"),VLOOKUP($D24,PedTblTijden!$A$16:$X$26,PedTblTijden!W$14,FALSE),"")</f>
        <v/>
      </c>
      <c r="AD24" s="93" t="str">
        <f>IF(OR($D24="1 dd",$D24="2 dd",$D24="3 dd",$D24="4 dd",$D24="6 dd",$D24="8 dd",$D24="12 dd",$D24="an",$D24="1 X"),VLOOKUP($D24,PedTblTijden!$A$16:$X$26,PedTblTijden!X$14,FALSE),"")</f>
        <v/>
      </c>
      <c r="AE24" s="14"/>
      <c r="AF24" s="92"/>
      <c r="AG24" s="14"/>
    </row>
    <row r="25" spans="2:33" s="315" customFormat="1" ht="26.1" customHeight="1" x14ac:dyDescent="0.2">
      <c r="B25" s="94"/>
      <c r="C25" s="125" t="str">
        <f>IF(GlobBerMedDisc!C24&lt;&gt;"",IF(GlobBerMedDisc!C24&gt;1,TRIM(GlobBerMedDisc!C24)&amp;", "&amp;GlobBerOpm!#REF!&amp;" ("&amp;GlobBerMedDisc!M24&amp;" "&amp;GlobBerMedDisc!F24&amp;"/kg/dag)",TRIM(GlobBerMedDisc!C24)&amp;", "&amp;GlobBerOpm!#REF!),"")</f>
        <v/>
      </c>
      <c r="D25" s="126" t="str">
        <f>IF(GlobGuiMedDisc!I31&lt;&gt;"",GlobGuiMedDisc!I31,"")</f>
        <v/>
      </c>
      <c r="E25" s="127" t="str">
        <f>IF(AND(D25&lt;&gt;"",D25&lt;&gt;"STOP"),GlobBerMedDisc!H24&amp;" "&amp;GlobBerMedDisc!F24,"")</f>
        <v/>
      </c>
      <c r="F25" s="127" t="str">
        <f>IF(AND(D25&lt;&gt;"",D25&lt;&gt;"STOP"),GlobBerMedDisc!L24," ")</f>
        <v xml:space="preserve"> </v>
      </c>
      <c r="G25" s="127" t="e">
        <f>IF(GlobGuiMedDisc!#REF!&lt;&gt;"",GlobGuiMedDisc!#REF!&amp;" "&amp;GlobGuiMedDisc!#REF!&amp;" "&amp;INDEX(GlobBerMedDisc!$B$27:$B$30,GlobBerMedDisc!O24,1)&amp;" in "&amp;GlobGuiMedDisc!$R$28,"")</f>
        <v>#REF!</v>
      </c>
      <c r="H25" s="93" t="str">
        <f>IF(OR($D25="1 dd",$D25="2 dd",$D25="3 dd",$D25="4 dd",$D25="6 dd",$D25="8 dd",$D25="12 dd",$D25="an",$D25="1 X"),VLOOKUP($D25,PedTblTijden!$A$16:$X$26,PedTblTijden!B$14,FALSE),"")</f>
        <v/>
      </c>
      <c r="I25" s="12" t="str">
        <f>IF(OR($D25="1 dd",$D25="2 dd",$D25="3 dd",$D25="4 dd",$D25="6 dd",$D25="8 dd",$D25="12 dd",$D25="an",$D25="1 X"),VLOOKUP($D25,PedTblTijden!$A$16:$X$26,PedTblTijden!C$14,FALSE),"")</f>
        <v/>
      </c>
      <c r="J25" s="93" t="str">
        <f>IF(OR($D25="1 dd",$D25="2 dd",$D25="3 dd",$D25="4 dd",$D25="6 dd",$D25="8 dd",$D25="12 dd",$D25="an",$D25="1 X"),VLOOKUP($D25,PedTblTijden!$A$16:$X$26,PedTblTijden!D$14,FALSE),"")</f>
        <v/>
      </c>
      <c r="K25" s="12" t="str">
        <f>IF(OR($D25="1 dd",$D25="2 dd",$D25="3 dd",$D25="4 dd",$D25="6 dd",$D25="8 dd",$D25="12 dd",$D25="an",$D25="1 X"),VLOOKUP($D25,PedTblTijden!$A$16:$X$26,PedTblTijden!E$14,FALSE),"")</f>
        <v/>
      </c>
      <c r="L25" s="93" t="str">
        <f>IF(OR($D25="1 dd",$D25="2 dd",$D25="3 dd",$D25="4 dd",$D25="6 dd",$D25="8 dd",$D25="12 dd",$D25="an",$D25="1 X"),VLOOKUP($D25,PedTblTijden!$A$16:$X$26,PedTblTijden!F$14,FALSE),"")</f>
        <v/>
      </c>
      <c r="M25" s="12" t="str">
        <f>IF(OR($D25="1 dd",$D25="2 dd",$D25="3 dd",$D25="4 dd",$D25="6 dd",$D25="8 dd",$D25="12 dd",$D25="an",$D25="1 X"),VLOOKUP($D25,PedTblTijden!$A$16:$X$26,PedTblTijden!G$14,FALSE),"")</f>
        <v/>
      </c>
      <c r="N25" s="93" t="str">
        <f>IF(OR($D25="1 dd",$D25="2 dd",$D25="3 dd",$D25="4 dd",$D25="6 dd",$D25="8 dd",$D25="12 dd",$D25="an",$D25="1 X"),VLOOKUP($D25,PedTblTijden!$A$16:$X$26,PedTblTijden!H$14,FALSE),"")</f>
        <v/>
      </c>
      <c r="O25" s="12" t="str">
        <f>IF(OR($D25="1 dd",$D25="2 dd",$D25="3 dd",$D25="4 dd",$D25="6 dd",$D25="8 dd",$D25="12 dd",$D25="an",$D25="1 X"),VLOOKUP($D25,PedTblTijden!$A$16:$X$26,PedTblTijden!I$14,FALSE),"")</f>
        <v/>
      </c>
      <c r="P25" s="93" t="str">
        <f>IF(OR($D25="1 dd",$D25="2 dd",$D25="3 dd",$D25="4 dd",$D25="6 dd",$D25="8 dd",$D25="12 dd",$D25="an",$D25="1 X"),VLOOKUP($D25,PedTblTijden!$A$16:$X$26,PedTblTijden!J$14,FALSE),"")</f>
        <v/>
      </c>
      <c r="Q25" s="12" t="str">
        <f>IF(OR($D25="1 dd",$D25="2 dd",$D25="3 dd",$D25="4 dd",$D25="6 dd",$D25="8 dd",$D25="12 dd",$D25="an",$D25="1 X"),VLOOKUP($D25,PedTblTijden!$A$16:$X$26,PedTblTijden!K$14,FALSE),"")</f>
        <v/>
      </c>
      <c r="R25" s="93" t="str">
        <f>IF(OR($D25="1 dd",$D25="2 dd",$D25="3 dd",$D25="4 dd",$D25="6 dd",$D25="8 dd",$D25="12 dd",$D25="an",$D25="1 X"),VLOOKUP($D25,PedTblTijden!$A$16:$X$26,PedTblTijden!L$14,FALSE),"")</f>
        <v/>
      </c>
      <c r="S25" s="12" t="str">
        <f>IF(OR($D25="1 dd",$D25="2 dd",$D25="3 dd",$D25="4 dd",$D25="6 dd",$D25="8 dd",$D25="12 dd",$D25="an",$D25="1 X"),VLOOKUP($D25,PedTblTijden!$A$16:$X$26,PedTblTijden!M$14,FALSE),"")</f>
        <v/>
      </c>
      <c r="T25" s="93" t="str">
        <f>IF(OR($D25="1 dd",$D25="2 dd",$D25="3 dd",$D25="4 dd",$D25="6 dd",$D25="8 dd",$D25="12 dd",$D25="an",$D25="1 X"),VLOOKUP($D25,PedTblTijden!$A$16:$X$26,PedTblTijden!N$14,FALSE),"")</f>
        <v/>
      </c>
      <c r="U25" s="12" t="str">
        <f>IF(OR($D25="1 dd",$D25="2 dd",$D25="3 dd",$D25="4 dd",$D25="6 dd",$D25="8 dd",$D25="12 dd",$D25="an",$D25="1 X"),VLOOKUP($D25,PedTblTijden!$A$16:$X$26,PedTblTijden!O$14,FALSE),"")</f>
        <v/>
      </c>
      <c r="V25" s="93" t="str">
        <f>IF(OR($D25="1 dd",$D25="2 dd",$D25="3 dd",$D25="4 dd",$D25="6 dd",$D25="8 dd",$D25="12 dd",$D25="an",$D25="1 X"),VLOOKUP($D25,PedTblTijden!$A$16:$X$26,PedTblTijden!P$14,FALSE),"")</f>
        <v/>
      </c>
      <c r="W25" s="12" t="str">
        <f>IF(OR($D25="1 dd",$D25="2 dd",$D25="3 dd",$D25="4 dd",$D25="6 dd",$D25="8 dd",$D25="12 dd",$D25="an",$D25="1 X"),VLOOKUP($D25,PedTblTijden!$A$16:$X$26,PedTblTijden!Q$14,FALSE),"")</f>
        <v/>
      </c>
      <c r="X25" s="93" t="str">
        <f>IF(OR($D25="1 dd",$D25="2 dd",$D25="3 dd",$D25="4 dd",$D25="6 dd",$D25="8 dd",$D25="12 dd",$D25="an",$D25="1 X"),VLOOKUP($D25,PedTblTijden!$A$16:$X$26,PedTblTijden!R$14,FALSE),"")</f>
        <v/>
      </c>
      <c r="Y25" s="12" t="str">
        <f>IF(OR($D25="1 dd",$D25="2 dd",$D25="3 dd",$D25="4 dd",$D25="6 dd",$D25="8 dd",$D25="12 dd",$D25="an",$D25="1 X"),VLOOKUP($D25,PedTblTijden!$A$16:$X$26,PedTblTijden!S$14,FALSE),"")</f>
        <v/>
      </c>
      <c r="Z25" s="93" t="str">
        <f>IF(OR($D25="1 dd",$D25="2 dd",$D25="3 dd",$D25="4 dd",$D25="6 dd",$D25="8 dd",$D25="12 dd",$D25="an",$D25="1 X"),VLOOKUP($D25,PedTblTijden!$A$16:$X$26,PedTblTijden!T$14,FALSE),"")</f>
        <v/>
      </c>
      <c r="AA25" s="12" t="str">
        <f>IF(OR($D25="1 dd",$D25="2 dd",$D25="3 dd",$D25="4 dd",$D25="6 dd",$D25="8 dd",$D25="12 dd",$D25="an",$D25="1 X"),VLOOKUP($D25,PedTblTijden!$A$16:$X$26,PedTblTijden!U$14,FALSE),"")</f>
        <v/>
      </c>
      <c r="AB25" s="93" t="str">
        <f>IF(OR($D25="1 dd",$D25="2 dd",$D25="3 dd",$D25="4 dd",$D25="6 dd",$D25="8 dd",$D25="12 dd",$D25="an",$D25="1 X"),VLOOKUP($D25,PedTblTijden!$A$16:$X$26,PedTblTijden!V$14,FALSE),"")</f>
        <v/>
      </c>
      <c r="AC25" s="12" t="str">
        <f>IF(OR($D25="1 dd",$D25="2 dd",$D25="3 dd",$D25="4 dd",$D25="6 dd",$D25="8 dd",$D25="12 dd",$D25="an",$D25="1 X"),VLOOKUP($D25,PedTblTijden!$A$16:$X$26,PedTblTijden!W$14,FALSE),"")</f>
        <v/>
      </c>
      <c r="AD25" s="93" t="str">
        <f>IF(OR($D25="1 dd",$D25="2 dd",$D25="3 dd",$D25="4 dd",$D25="6 dd",$D25="8 dd",$D25="12 dd",$D25="an",$D25="1 X"),VLOOKUP($D25,PedTblTijden!$A$16:$X$26,PedTblTijden!X$14,FALSE),"")</f>
        <v/>
      </c>
      <c r="AE25" s="14"/>
      <c r="AF25" s="92"/>
      <c r="AG25" s="14"/>
    </row>
    <row r="26" spans="2:33" s="315" customFormat="1" ht="26.1" customHeight="1" x14ac:dyDescent="0.2">
      <c r="B26" s="94"/>
      <c r="C26" s="125" t="str">
        <f>IF(GlobBerMedDisc!C25&lt;&gt;"",IF(GlobBerMedDisc!C25&gt;1,TRIM(GlobBerMedDisc!C25)&amp;", "&amp;GlobBerOpm!#REF!&amp;" ("&amp;GlobBerMedDisc!M25&amp;" "&amp;GlobBerMedDisc!F25&amp;"/kg/dag)",TRIM(GlobBerMedDisc!C25)&amp;", "&amp;GlobBerOpm!#REF!),"")</f>
        <v/>
      </c>
      <c r="D26" s="126" t="str">
        <f>IF(GlobGuiMedDisc!I32&lt;&gt;"",GlobGuiMedDisc!I32,"")</f>
        <v/>
      </c>
      <c r="E26" s="127" t="str">
        <f>IF(AND(D26&lt;&gt;"",D26&lt;&gt;"STOP"),GlobBerMedDisc!H25&amp;" "&amp;GlobBerMedDisc!F25,"")</f>
        <v/>
      </c>
      <c r="F26" s="127" t="str">
        <f>IF(AND(D26&lt;&gt;"",D26&lt;&gt;"STOP"),GlobBerMedDisc!L25," ")</f>
        <v xml:space="preserve"> </v>
      </c>
      <c r="G26" s="127" t="str">
        <f>IF(GlobGuiMedDisc!N30&lt;&gt;"",GlobGuiMedDisc!N30&amp;" "&amp;GlobGuiMedDisc!O30&amp;" "&amp;INDEX(GlobBerMedDisc!$B$27:$B$30,GlobBerMedDisc!O25,1)&amp;" in "&amp;GlobGuiMedDisc!$R$28,"")</f>
        <v/>
      </c>
      <c r="H26" s="93" t="str">
        <f>IF(OR($D26="1 dd",$D26="2 dd",$D26="3 dd",$D26="4 dd",$D26="6 dd",$D26="8 dd",$D26="12 dd",$D26="an",$D26="1 X"),VLOOKUP($D26,PedTblTijden!$A$16:$X$26,PedTblTijden!B$14,FALSE),"")</f>
        <v/>
      </c>
      <c r="I26" s="12" t="str">
        <f>IF(OR($D26="1 dd",$D26="2 dd",$D26="3 dd",$D26="4 dd",$D26="6 dd",$D26="8 dd",$D26="12 dd",$D26="an",$D26="1 X"),VLOOKUP($D26,PedTblTijden!$A$16:$X$26,PedTblTijden!C$14,FALSE),"")</f>
        <v/>
      </c>
      <c r="J26" s="93" t="str">
        <f>IF(OR($D26="1 dd",$D26="2 dd",$D26="3 dd",$D26="4 dd",$D26="6 dd",$D26="8 dd",$D26="12 dd",$D26="an",$D26="1 X"),VLOOKUP($D26,PedTblTijden!$A$16:$X$26,PedTblTijden!D$14,FALSE),"")</f>
        <v/>
      </c>
      <c r="K26" s="12" t="str">
        <f>IF(OR($D26="1 dd",$D26="2 dd",$D26="3 dd",$D26="4 dd",$D26="6 dd",$D26="8 dd",$D26="12 dd",$D26="an",$D26="1 X"),VLOOKUP($D26,PedTblTijden!$A$16:$X$26,PedTblTijden!E$14,FALSE),"")</f>
        <v/>
      </c>
      <c r="L26" s="93" t="str">
        <f>IF(OR($D26="1 dd",$D26="2 dd",$D26="3 dd",$D26="4 dd",$D26="6 dd",$D26="8 dd",$D26="12 dd",$D26="an",$D26="1 X"),VLOOKUP($D26,PedTblTijden!$A$16:$X$26,PedTblTijden!F$14,FALSE),"")</f>
        <v/>
      </c>
      <c r="M26" s="12" t="str">
        <f>IF(OR($D26="1 dd",$D26="2 dd",$D26="3 dd",$D26="4 dd",$D26="6 dd",$D26="8 dd",$D26="12 dd",$D26="an",$D26="1 X"),VLOOKUP($D26,PedTblTijden!$A$16:$X$26,PedTblTijden!G$14,FALSE),"")</f>
        <v/>
      </c>
      <c r="N26" s="93" t="str">
        <f>IF(OR($D26="1 dd",$D26="2 dd",$D26="3 dd",$D26="4 dd",$D26="6 dd",$D26="8 dd",$D26="12 dd",$D26="an",$D26="1 X"),VLOOKUP($D26,PedTblTijden!$A$16:$X$26,PedTblTijden!H$14,FALSE),"")</f>
        <v/>
      </c>
      <c r="O26" s="12" t="str">
        <f>IF(OR($D26="1 dd",$D26="2 dd",$D26="3 dd",$D26="4 dd",$D26="6 dd",$D26="8 dd",$D26="12 dd",$D26="an",$D26="1 X"),VLOOKUP($D26,PedTblTijden!$A$16:$X$26,PedTblTijden!I$14,FALSE),"")</f>
        <v/>
      </c>
      <c r="P26" s="93" t="str">
        <f>IF(OR($D26="1 dd",$D26="2 dd",$D26="3 dd",$D26="4 dd",$D26="6 dd",$D26="8 dd",$D26="12 dd",$D26="an",$D26="1 X"),VLOOKUP($D26,PedTblTijden!$A$16:$X$26,PedTblTijden!J$14,FALSE),"")</f>
        <v/>
      </c>
      <c r="Q26" s="12" t="str">
        <f>IF(OR($D26="1 dd",$D26="2 dd",$D26="3 dd",$D26="4 dd",$D26="6 dd",$D26="8 dd",$D26="12 dd",$D26="an",$D26="1 X"),VLOOKUP($D26,PedTblTijden!$A$16:$X$26,PedTblTijden!K$14,FALSE),"")</f>
        <v/>
      </c>
      <c r="R26" s="93" t="str">
        <f>IF(OR($D26="1 dd",$D26="2 dd",$D26="3 dd",$D26="4 dd",$D26="6 dd",$D26="8 dd",$D26="12 dd",$D26="an",$D26="1 X"),VLOOKUP($D26,PedTblTijden!$A$16:$X$26,PedTblTijden!L$14,FALSE),"")</f>
        <v/>
      </c>
      <c r="S26" s="12" t="str">
        <f>IF(OR($D26="1 dd",$D26="2 dd",$D26="3 dd",$D26="4 dd",$D26="6 dd",$D26="8 dd",$D26="12 dd",$D26="an",$D26="1 X"),VLOOKUP($D26,PedTblTijden!$A$16:$X$26,PedTblTijden!M$14,FALSE),"")</f>
        <v/>
      </c>
      <c r="T26" s="93" t="str">
        <f>IF(OR($D26="1 dd",$D26="2 dd",$D26="3 dd",$D26="4 dd",$D26="6 dd",$D26="8 dd",$D26="12 dd",$D26="an",$D26="1 X"),VLOOKUP($D26,PedTblTijden!$A$16:$X$26,PedTblTijden!N$14,FALSE),"")</f>
        <v/>
      </c>
      <c r="U26" s="12" t="str">
        <f>IF(OR($D26="1 dd",$D26="2 dd",$D26="3 dd",$D26="4 dd",$D26="6 dd",$D26="8 dd",$D26="12 dd",$D26="an",$D26="1 X"),VLOOKUP($D26,PedTblTijden!$A$16:$X$26,PedTblTijden!O$14,FALSE),"")</f>
        <v/>
      </c>
      <c r="V26" s="93" t="str">
        <f>IF(OR($D26="1 dd",$D26="2 dd",$D26="3 dd",$D26="4 dd",$D26="6 dd",$D26="8 dd",$D26="12 dd",$D26="an",$D26="1 X"),VLOOKUP($D26,PedTblTijden!$A$16:$X$26,PedTblTijden!P$14,FALSE),"")</f>
        <v/>
      </c>
      <c r="W26" s="12" t="str">
        <f>IF(OR($D26="1 dd",$D26="2 dd",$D26="3 dd",$D26="4 dd",$D26="6 dd",$D26="8 dd",$D26="12 dd",$D26="an",$D26="1 X"),VLOOKUP($D26,PedTblTijden!$A$16:$X$26,PedTblTijden!Q$14,FALSE),"")</f>
        <v/>
      </c>
      <c r="X26" s="93" t="str">
        <f>IF(OR($D26="1 dd",$D26="2 dd",$D26="3 dd",$D26="4 dd",$D26="6 dd",$D26="8 dd",$D26="12 dd",$D26="an",$D26="1 X"),VLOOKUP($D26,PedTblTijden!$A$16:$X$26,PedTblTijden!R$14,FALSE),"")</f>
        <v/>
      </c>
      <c r="Y26" s="12" t="str">
        <f>IF(OR($D26="1 dd",$D26="2 dd",$D26="3 dd",$D26="4 dd",$D26="6 dd",$D26="8 dd",$D26="12 dd",$D26="an",$D26="1 X"),VLOOKUP($D26,PedTblTijden!$A$16:$X$26,PedTblTijden!S$14,FALSE),"")</f>
        <v/>
      </c>
      <c r="Z26" s="93" t="str">
        <f>IF(OR($D26="1 dd",$D26="2 dd",$D26="3 dd",$D26="4 dd",$D26="6 dd",$D26="8 dd",$D26="12 dd",$D26="an",$D26="1 X"),VLOOKUP($D26,PedTblTijden!$A$16:$X$26,PedTblTijden!T$14,FALSE),"")</f>
        <v/>
      </c>
      <c r="AA26" s="12" t="str">
        <f>IF(OR($D26="1 dd",$D26="2 dd",$D26="3 dd",$D26="4 dd",$D26="6 dd",$D26="8 dd",$D26="12 dd",$D26="an",$D26="1 X"),VLOOKUP($D26,PedTblTijden!$A$16:$X$26,PedTblTijden!U$14,FALSE),"")</f>
        <v/>
      </c>
      <c r="AB26" s="93" t="str">
        <f>IF(OR($D26="1 dd",$D26="2 dd",$D26="3 dd",$D26="4 dd",$D26="6 dd",$D26="8 dd",$D26="12 dd",$D26="an",$D26="1 X"),VLOOKUP($D26,PedTblTijden!$A$16:$X$26,PedTblTijden!V$14,FALSE),"")</f>
        <v/>
      </c>
      <c r="AC26" s="12" t="str">
        <f>IF(OR($D26="1 dd",$D26="2 dd",$D26="3 dd",$D26="4 dd",$D26="6 dd",$D26="8 dd",$D26="12 dd",$D26="an",$D26="1 X"),VLOOKUP($D26,PedTblTijden!$A$16:$X$26,PedTblTijden!W$14,FALSE),"")</f>
        <v/>
      </c>
      <c r="AD26" s="93" t="str">
        <f>IF(OR($D26="1 dd",$D26="2 dd",$D26="3 dd",$D26="4 dd",$D26="6 dd",$D26="8 dd",$D26="12 dd",$D26="an",$D26="1 X"),VLOOKUP($D26,PedTblTijden!$A$16:$X$26,PedTblTijden!X$14,FALSE),"")</f>
        <v/>
      </c>
      <c r="AE26" s="14"/>
      <c r="AF26" s="92"/>
      <c r="AG26" s="14"/>
    </row>
    <row r="27" spans="2:33" s="315" customFormat="1" ht="26.1" customHeight="1" x14ac:dyDescent="0.2">
      <c r="B27" s="94"/>
      <c r="C27" s="125" t="str">
        <f>IF(GlobBerMedDisc!C26&lt;&gt;"",IF(GlobBerMedDisc!C26&gt;1,TRIM(GlobBerMedDisc!C26)&amp;", "&amp;GlobBerOpm!#REF!&amp;" ("&amp;GlobBerMedDisc!M26&amp;" "&amp;GlobBerMedDisc!F26&amp;"/kg/dag)",TRIM(GlobBerMedDisc!C26)&amp;", "&amp;GlobBerOpm!#REF!),"")</f>
        <v/>
      </c>
      <c r="D27" s="126" t="str">
        <f>IF(GlobGuiMedDisc!I33&lt;&gt;"",GlobGuiMedDisc!I33,"")</f>
        <v/>
      </c>
      <c r="E27" s="127" t="str">
        <f>IF(AND(D27&lt;&gt;"",D27&lt;&gt;"STOP"),GlobBerMedDisc!H26&amp;" "&amp;GlobBerMedDisc!F26,"")</f>
        <v/>
      </c>
      <c r="F27" s="127" t="str">
        <f>IF(AND(D27&lt;&gt;"",D27&lt;&gt;"STOP"),GlobBerMedDisc!L26," ")</f>
        <v xml:space="preserve"> </v>
      </c>
      <c r="G27" s="127" t="e">
        <f>IF(GlobGuiMedDisc!#REF!&lt;&gt;"",GlobGuiMedDisc!#REF!&amp;" "&amp;GlobGuiMedDisc!#REF!&amp;" "&amp;INDEX(GlobBerMedDisc!$B$27:$B$30,GlobBerMedDisc!O26,1)&amp;" in "&amp;GlobGuiMedDisc!$R$28,"")</f>
        <v>#REF!</v>
      </c>
      <c r="H27" s="93" t="str">
        <f>IF(OR($D27="1 dd",$D27="2 dd",$D27="3 dd",$D27="4 dd",$D27="6 dd",$D27="8 dd",$D27="12 dd",$D27="an",$D27="1 X"),VLOOKUP($D27,PedTblTijden!$A$16:$X$26,PedTblTijden!B$14,FALSE),"")</f>
        <v/>
      </c>
      <c r="I27" s="12" t="str">
        <f>IF(OR($D27="1 dd",$D27="2 dd",$D27="3 dd",$D27="4 dd",$D27="6 dd",$D27="8 dd",$D27="12 dd",$D27="an",$D27="1 X"),VLOOKUP($D27,PedTblTijden!$A$16:$X$26,PedTblTijden!C$14,FALSE),"")</f>
        <v/>
      </c>
      <c r="J27" s="93" t="str">
        <f>IF(OR($D27="1 dd",$D27="2 dd",$D27="3 dd",$D27="4 dd",$D27="6 dd",$D27="8 dd",$D27="12 dd",$D27="an",$D27="1 X"),VLOOKUP($D27,PedTblTijden!$A$16:$X$26,PedTblTijden!D$14,FALSE),"")</f>
        <v/>
      </c>
      <c r="K27" s="12" t="str">
        <f>IF(OR($D27="1 dd",$D27="2 dd",$D27="3 dd",$D27="4 dd",$D27="6 dd",$D27="8 dd",$D27="12 dd",$D27="an",$D27="1 X"),VLOOKUP($D27,PedTblTijden!$A$16:$X$26,PedTblTijden!E$14,FALSE),"")</f>
        <v/>
      </c>
      <c r="L27" s="93" t="str">
        <f>IF(OR($D27="1 dd",$D27="2 dd",$D27="3 dd",$D27="4 dd",$D27="6 dd",$D27="8 dd",$D27="12 dd",$D27="an",$D27="1 X"),VLOOKUP($D27,PedTblTijden!$A$16:$X$26,PedTblTijden!F$14,FALSE),"")</f>
        <v/>
      </c>
      <c r="M27" s="12" t="str">
        <f>IF(OR($D27="1 dd",$D27="2 dd",$D27="3 dd",$D27="4 dd",$D27="6 dd",$D27="8 dd",$D27="12 dd",$D27="an",$D27="1 X"),VLOOKUP($D27,PedTblTijden!$A$16:$X$26,PedTblTijden!G$14,FALSE),"")</f>
        <v/>
      </c>
      <c r="N27" s="93" t="str">
        <f>IF(OR($D27="1 dd",$D27="2 dd",$D27="3 dd",$D27="4 dd",$D27="6 dd",$D27="8 dd",$D27="12 dd",$D27="an",$D27="1 X"),VLOOKUP($D27,PedTblTijden!$A$16:$X$26,PedTblTijden!H$14,FALSE),"")</f>
        <v/>
      </c>
      <c r="O27" s="12" t="str">
        <f>IF(OR($D27="1 dd",$D27="2 dd",$D27="3 dd",$D27="4 dd",$D27="6 dd",$D27="8 dd",$D27="12 dd",$D27="an",$D27="1 X"),VLOOKUP($D27,PedTblTijden!$A$16:$X$26,PedTblTijden!I$14,FALSE),"")</f>
        <v/>
      </c>
      <c r="P27" s="93" t="str">
        <f>IF(OR($D27="1 dd",$D27="2 dd",$D27="3 dd",$D27="4 dd",$D27="6 dd",$D27="8 dd",$D27="12 dd",$D27="an",$D27="1 X"),VLOOKUP($D27,PedTblTijden!$A$16:$X$26,PedTblTijden!J$14,FALSE),"")</f>
        <v/>
      </c>
      <c r="Q27" s="12" t="str">
        <f>IF(OR($D27="1 dd",$D27="2 dd",$D27="3 dd",$D27="4 dd",$D27="6 dd",$D27="8 dd",$D27="12 dd",$D27="an",$D27="1 X"),VLOOKUP($D27,PedTblTijden!$A$16:$X$26,PedTblTijden!K$14,FALSE),"")</f>
        <v/>
      </c>
      <c r="R27" s="93" t="str">
        <f>IF(OR($D27="1 dd",$D27="2 dd",$D27="3 dd",$D27="4 dd",$D27="6 dd",$D27="8 dd",$D27="12 dd",$D27="an",$D27="1 X"),VLOOKUP($D27,PedTblTijden!$A$16:$X$26,PedTblTijden!L$14,FALSE),"")</f>
        <v/>
      </c>
      <c r="S27" s="12" t="str">
        <f>IF(OR($D27="1 dd",$D27="2 dd",$D27="3 dd",$D27="4 dd",$D27="6 dd",$D27="8 dd",$D27="12 dd",$D27="an",$D27="1 X"),VLOOKUP($D27,PedTblTijden!$A$16:$X$26,PedTblTijden!M$14,FALSE),"")</f>
        <v/>
      </c>
      <c r="T27" s="93" t="str">
        <f>IF(OR($D27="1 dd",$D27="2 dd",$D27="3 dd",$D27="4 dd",$D27="6 dd",$D27="8 dd",$D27="12 dd",$D27="an",$D27="1 X"),VLOOKUP($D27,PedTblTijden!$A$16:$X$26,PedTblTijden!N$14,FALSE),"")</f>
        <v/>
      </c>
      <c r="U27" s="12" t="str">
        <f>IF(OR($D27="1 dd",$D27="2 dd",$D27="3 dd",$D27="4 dd",$D27="6 dd",$D27="8 dd",$D27="12 dd",$D27="an",$D27="1 X"),VLOOKUP($D27,PedTblTijden!$A$16:$X$26,PedTblTijden!O$14,FALSE),"")</f>
        <v/>
      </c>
      <c r="V27" s="93" t="str">
        <f>IF(OR($D27="1 dd",$D27="2 dd",$D27="3 dd",$D27="4 dd",$D27="6 dd",$D27="8 dd",$D27="12 dd",$D27="an",$D27="1 X"),VLOOKUP($D27,PedTblTijden!$A$16:$X$26,PedTblTijden!P$14,FALSE),"")</f>
        <v/>
      </c>
      <c r="W27" s="12" t="str">
        <f>IF(OR($D27="1 dd",$D27="2 dd",$D27="3 dd",$D27="4 dd",$D27="6 dd",$D27="8 dd",$D27="12 dd",$D27="an",$D27="1 X"),VLOOKUP($D27,PedTblTijden!$A$16:$X$26,PedTblTijden!Q$14,FALSE),"")</f>
        <v/>
      </c>
      <c r="X27" s="93" t="str">
        <f>IF(OR($D27="1 dd",$D27="2 dd",$D27="3 dd",$D27="4 dd",$D27="6 dd",$D27="8 dd",$D27="12 dd",$D27="an",$D27="1 X"),VLOOKUP($D27,PedTblTijden!$A$16:$X$26,PedTblTijden!R$14,FALSE),"")</f>
        <v/>
      </c>
      <c r="Y27" s="12" t="str">
        <f>IF(OR($D27="1 dd",$D27="2 dd",$D27="3 dd",$D27="4 dd",$D27="6 dd",$D27="8 dd",$D27="12 dd",$D27="an",$D27="1 X"),VLOOKUP($D27,PedTblTijden!$A$16:$X$26,PedTblTijden!S$14,FALSE),"")</f>
        <v/>
      </c>
      <c r="Z27" s="93" t="str">
        <f>IF(OR($D27="1 dd",$D27="2 dd",$D27="3 dd",$D27="4 dd",$D27="6 dd",$D27="8 dd",$D27="12 dd",$D27="an",$D27="1 X"),VLOOKUP($D27,PedTblTijden!$A$16:$X$26,PedTblTijden!T$14,FALSE),"")</f>
        <v/>
      </c>
      <c r="AA27" s="12" t="str">
        <f>IF(OR($D27="1 dd",$D27="2 dd",$D27="3 dd",$D27="4 dd",$D27="6 dd",$D27="8 dd",$D27="12 dd",$D27="an",$D27="1 X"),VLOOKUP($D27,PedTblTijden!$A$16:$X$26,PedTblTijden!U$14,FALSE),"")</f>
        <v/>
      </c>
      <c r="AB27" s="93" t="str">
        <f>IF(OR($D27="1 dd",$D27="2 dd",$D27="3 dd",$D27="4 dd",$D27="6 dd",$D27="8 dd",$D27="12 dd",$D27="an",$D27="1 X"),VLOOKUP($D27,PedTblTijden!$A$16:$X$26,PedTblTijden!V$14,FALSE),"")</f>
        <v/>
      </c>
      <c r="AC27" s="12" t="str">
        <f>IF(OR($D27="1 dd",$D27="2 dd",$D27="3 dd",$D27="4 dd",$D27="6 dd",$D27="8 dd",$D27="12 dd",$D27="an",$D27="1 X"),VLOOKUP($D27,PedTblTijden!$A$16:$X$26,PedTblTijden!W$14,FALSE),"")</f>
        <v/>
      </c>
      <c r="AD27" s="93" t="str">
        <f>IF(OR($D27="1 dd",$D27="2 dd",$D27="3 dd",$D27="4 dd",$D27="6 dd",$D27="8 dd",$D27="12 dd",$D27="an",$D27="1 X"),VLOOKUP($D27,PedTblTijden!$A$16:$X$26,PedTblTijden!X$14,FALSE),"")</f>
        <v/>
      </c>
      <c r="AE27" s="14"/>
      <c r="AF27" s="92"/>
      <c r="AG27" s="14"/>
    </row>
    <row r="28" spans="2:33" s="315" customFormat="1" ht="26.1" customHeight="1" x14ac:dyDescent="0.2">
      <c r="B28" s="94"/>
      <c r="C28" s="125" t="str">
        <f>IF(GlobBerMedDisc!C27&lt;&gt;"",IF(GlobBerMedDisc!C27&gt;1,TRIM(GlobBerMedDisc!C27)&amp;", "&amp;GlobBerOpm!#REF!&amp;" ("&amp;GlobBerMedDisc!M27&amp;" "&amp;GlobBerMedDisc!F27&amp;"/kg/dag)",TRIM(GlobBerMedDisc!C27)&amp;", "&amp;GlobBerOpm!#REF!),"")</f>
        <v/>
      </c>
      <c r="D28" s="126" t="str">
        <f>IF(GlobGuiMedDisc!I34&lt;&gt;"",GlobGuiMedDisc!I34,"")</f>
        <v/>
      </c>
      <c r="E28" s="127" t="str">
        <f>IF(AND(D28&lt;&gt;"",D28&lt;&gt;"STOP"),GlobBerMedDisc!H27&amp;" "&amp;GlobBerMedDisc!F27,"")</f>
        <v/>
      </c>
      <c r="F28" s="127" t="str">
        <f>IF(AND(D28&lt;&gt;"",D28&lt;&gt;"STOP"),GlobBerMedDisc!L27," ")</f>
        <v xml:space="preserve"> </v>
      </c>
      <c r="G28" s="127" t="str">
        <f>IF(GlobGuiMedDisc!N31&lt;&gt;"",GlobGuiMedDisc!N31&amp;" "&amp;GlobGuiMedDisc!O31&amp;" "&amp;INDEX(GlobBerMedDisc!$B$27:$B$30,GlobBerMedDisc!O27,1)&amp;" in "&amp;GlobGuiMedDisc!$R$28,"")</f>
        <v/>
      </c>
      <c r="H28" s="93" t="str">
        <f>IF(OR($D28="1 dd",$D28="2 dd",$D28="3 dd",$D28="4 dd",$D28="6 dd",$D28="8 dd",$D28="12 dd",$D28="an",$D28="1 X"),VLOOKUP($D28,PedTblTijden!$A$16:$X$26,PedTblTijden!B$14,FALSE),"")</f>
        <v/>
      </c>
      <c r="I28" s="12" t="str">
        <f>IF(OR($D28="1 dd",$D28="2 dd",$D28="3 dd",$D28="4 dd",$D28="6 dd",$D28="8 dd",$D28="12 dd",$D28="an",$D28="1 X"),VLOOKUP($D28,PedTblTijden!$A$16:$X$26,PedTblTijden!C$14,FALSE),"")</f>
        <v/>
      </c>
      <c r="J28" s="93" t="str">
        <f>IF(OR($D28="1 dd",$D28="2 dd",$D28="3 dd",$D28="4 dd",$D28="6 dd",$D28="8 dd",$D28="12 dd",$D28="an",$D28="1 X"),VLOOKUP($D28,PedTblTijden!$A$16:$X$26,PedTblTijden!D$14,FALSE),"")</f>
        <v/>
      </c>
      <c r="K28" s="12" t="str">
        <f>IF(OR($D28="1 dd",$D28="2 dd",$D28="3 dd",$D28="4 dd",$D28="6 dd",$D28="8 dd",$D28="12 dd",$D28="an",$D28="1 X"),VLOOKUP($D28,PedTblTijden!$A$16:$X$26,PedTblTijden!E$14,FALSE),"")</f>
        <v/>
      </c>
      <c r="L28" s="93" t="str">
        <f>IF(OR($D28="1 dd",$D28="2 dd",$D28="3 dd",$D28="4 dd",$D28="6 dd",$D28="8 dd",$D28="12 dd",$D28="an",$D28="1 X"),VLOOKUP($D28,PedTblTijden!$A$16:$X$26,PedTblTijden!F$14,FALSE),"")</f>
        <v/>
      </c>
      <c r="M28" s="12" t="str">
        <f>IF(OR($D28="1 dd",$D28="2 dd",$D28="3 dd",$D28="4 dd",$D28="6 dd",$D28="8 dd",$D28="12 dd",$D28="an",$D28="1 X"),VLOOKUP($D28,PedTblTijden!$A$16:$X$26,PedTblTijden!G$14,FALSE),"")</f>
        <v/>
      </c>
      <c r="N28" s="93" t="str">
        <f>IF(OR($D28="1 dd",$D28="2 dd",$D28="3 dd",$D28="4 dd",$D28="6 dd",$D28="8 dd",$D28="12 dd",$D28="an",$D28="1 X"),VLOOKUP($D28,PedTblTijden!$A$16:$X$26,PedTblTijden!H$14,FALSE),"")</f>
        <v/>
      </c>
      <c r="O28" s="12" t="str">
        <f>IF(OR($D28="1 dd",$D28="2 dd",$D28="3 dd",$D28="4 dd",$D28="6 dd",$D28="8 dd",$D28="12 dd",$D28="an",$D28="1 X"),VLOOKUP($D28,PedTblTijden!$A$16:$X$26,PedTblTijden!I$14,FALSE),"")</f>
        <v/>
      </c>
      <c r="P28" s="93" t="str">
        <f>IF(OR($D28="1 dd",$D28="2 dd",$D28="3 dd",$D28="4 dd",$D28="6 dd",$D28="8 dd",$D28="12 dd",$D28="an",$D28="1 X"),VLOOKUP($D28,PedTblTijden!$A$16:$X$26,PedTblTijden!J$14,FALSE),"")</f>
        <v/>
      </c>
      <c r="Q28" s="12" t="str">
        <f>IF(OR($D28="1 dd",$D28="2 dd",$D28="3 dd",$D28="4 dd",$D28="6 dd",$D28="8 dd",$D28="12 dd",$D28="an",$D28="1 X"),VLOOKUP($D28,PedTblTijden!$A$16:$X$26,PedTblTijden!K$14,FALSE),"")</f>
        <v/>
      </c>
      <c r="R28" s="93" t="str">
        <f>IF(OR($D28="1 dd",$D28="2 dd",$D28="3 dd",$D28="4 dd",$D28="6 dd",$D28="8 dd",$D28="12 dd",$D28="an",$D28="1 X"),VLOOKUP($D28,PedTblTijden!$A$16:$X$26,PedTblTijden!L$14,FALSE),"")</f>
        <v/>
      </c>
      <c r="S28" s="12" t="str">
        <f>IF(OR($D28="1 dd",$D28="2 dd",$D28="3 dd",$D28="4 dd",$D28="6 dd",$D28="8 dd",$D28="12 dd",$D28="an",$D28="1 X"),VLOOKUP($D28,PedTblTijden!$A$16:$X$26,PedTblTijden!M$14,FALSE),"")</f>
        <v/>
      </c>
      <c r="T28" s="93" t="str">
        <f>IF(OR($D28="1 dd",$D28="2 dd",$D28="3 dd",$D28="4 dd",$D28="6 dd",$D28="8 dd",$D28="12 dd",$D28="an",$D28="1 X"),VLOOKUP($D28,PedTblTijden!$A$16:$X$26,PedTblTijden!N$14,FALSE),"")</f>
        <v/>
      </c>
      <c r="U28" s="12" t="str">
        <f>IF(OR($D28="1 dd",$D28="2 dd",$D28="3 dd",$D28="4 dd",$D28="6 dd",$D28="8 dd",$D28="12 dd",$D28="an",$D28="1 X"),VLOOKUP($D28,PedTblTijden!$A$16:$X$26,PedTblTijden!O$14,FALSE),"")</f>
        <v/>
      </c>
      <c r="V28" s="93" t="str">
        <f>IF(OR($D28="1 dd",$D28="2 dd",$D28="3 dd",$D28="4 dd",$D28="6 dd",$D28="8 dd",$D28="12 dd",$D28="an",$D28="1 X"),VLOOKUP($D28,PedTblTijden!$A$16:$X$26,PedTblTijden!P$14,FALSE),"")</f>
        <v/>
      </c>
      <c r="W28" s="12" t="str">
        <f>IF(OR($D28="1 dd",$D28="2 dd",$D28="3 dd",$D28="4 dd",$D28="6 dd",$D28="8 dd",$D28="12 dd",$D28="an",$D28="1 X"),VLOOKUP($D28,PedTblTijden!$A$16:$X$26,PedTblTijden!Q$14,FALSE),"")</f>
        <v/>
      </c>
      <c r="X28" s="93" t="str">
        <f>IF(OR($D28="1 dd",$D28="2 dd",$D28="3 dd",$D28="4 dd",$D28="6 dd",$D28="8 dd",$D28="12 dd",$D28="an",$D28="1 X"),VLOOKUP($D28,PedTblTijden!$A$16:$X$26,PedTblTijden!R$14,FALSE),"")</f>
        <v/>
      </c>
      <c r="Y28" s="12" t="str">
        <f>IF(OR($D28="1 dd",$D28="2 dd",$D28="3 dd",$D28="4 dd",$D28="6 dd",$D28="8 dd",$D28="12 dd",$D28="an",$D28="1 X"),VLOOKUP($D28,PedTblTijden!$A$16:$X$26,PedTblTijden!S$14,FALSE),"")</f>
        <v/>
      </c>
      <c r="Z28" s="93" t="str">
        <f>IF(OR($D28="1 dd",$D28="2 dd",$D28="3 dd",$D28="4 dd",$D28="6 dd",$D28="8 dd",$D28="12 dd",$D28="an",$D28="1 X"),VLOOKUP($D28,PedTblTijden!$A$16:$X$26,PedTblTijden!T$14,FALSE),"")</f>
        <v/>
      </c>
      <c r="AA28" s="12" t="str">
        <f>IF(OR($D28="1 dd",$D28="2 dd",$D28="3 dd",$D28="4 dd",$D28="6 dd",$D28="8 dd",$D28="12 dd",$D28="an",$D28="1 X"),VLOOKUP($D28,PedTblTijden!$A$16:$X$26,PedTblTijden!U$14,FALSE),"")</f>
        <v/>
      </c>
      <c r="AB28" s="93" t="str">
        <f>IF(OR($D28="1 dd",$D28="2 dd",$D28="3 dd",$D28="4 dd",$D28="6 dd",$D28="8 dd",$D28="12 dd",$D28="an",$D28="1 X"),VLOOKUP($D28,PedTblTijden!$A$16:$X$26,PedTblTijden!V$14,FALSE),"")</f>
        <v/>
      </c>
      <c r="AC28" s="12" t="str">
        <f>IF(OR($D28="1 dd",$D28="2 dd",$D28="3 dd",$D28="4 dd",$D28="6 dd",$D28="8 dd",$D28="12 dd",$D28="an",$D28="1 X"),VLOOKUP($D28,PedTblTijden!$A$16:$X$26,PedTblTijden!W$14,FALSE),"")</f>
        <v/>
      </c>
      <c r="AD28" s="93" t="str">
        <f>IF(OR($D28="1 dd",$D28="2 dd",$D28="3 dd",$D28="4 dd",$D28="6 dd",$D28="8 dd",$D28="12 dd",$D28="an",$D28="1 X"),VLOOKUP($D28,PedTblTijden!$A$16:$X$26,PedTblTijden!X$14,FALSE),"")</f>
        <v/>
      </c>
      <c r="AE28" s="14"/>
      <c r="AF28" s="92"/>
      <c r="AG28" s="14"/>
    </row>
    <row r="29" spans="2:33" s="315" customFormat="1" ht="26.1" customHeight="1" x14ac:dyDescent="0.2">
      <c r="B29" s="94"/>
      <c r="C29" s="125" t="str">
        <f>IF(GlobBerMedDisc!C28&lt;&gt;"",IF(GlobBerMedDisc!C28&gt;1,TRIM(GlobBerMedDisc!C28)&amp;", "&amp;GlobBerOpm!#REF!&amp;" ("&amp;GlobBerMedDisc!M28&amp;" "&amp;GlobBerMedDisc!F28&amp;"/kg/dag)",TRIM(GlobBerMedDisc!C28)&amp;", "&amp;GlobBerOpm!#REF!),"")</f>
        <v/>
      </c>
      <c r="D29" s="126" t="str">
        <f>IF(GlobGuiMedDisc!I35&lt;&gt;"",GlobGuiMedDisc!I35,"")</f>
        <v/>
      </c>
      <c r="E29" s="127" t="str">
        <f>IF(AND(D29&lt;&gt;"",D29&lt;&gt;"STOP"),GlobBerMedDisc!H28&amp;" "&amp;GlobBerMedDisc!F28,"")</f>
        <v/>
      </c>
      <c r="F29" s="127" t="str">
        <f>IF(AND(D29&lt;&gt;"",D29&lt;&gt;"STOP"),GlobBerMedDisc!L28," ")</f>
        <v xml:space="preserve"> </v>
      </c>
      <c r="G29" s="127" t="e">
        <f>IF(GlobGuiMedDisc!#REF!&lt;&gt;"",GlobGuiMedDisc!#REF!&amp;" "&amp;GlobGuiMedDisc!#REF!&amp;" "&amp;INDEX(GlobBerMedDisc!$B$27:$B$30,GlobBerMedDisc!O28,1)&amp;" in "&amp;GlobGuiMedDisc!$R$28,"")</f>
        <v>#REF!</v>
      </c>
      <c r="H29" s="93" t="str">
        <f>IF(OR($D29="1 dd",$D29="2 dd",$D29="3 dd",$D29="4 dd",$D29="6 dd",$D29="8 dd",$D29="12 dd",$D29="an",$D29="1 X"),VLOOKUP($D29,PedTblTijden!$A$16:$X$26,PedTblTijden!B$14,FALSE),"")</f>
        <v/>
      </c>
      <c r="I29" s="12" t="str">
        <f>IF(OR($D29="1 dd",$D29="2 dd",$D29="3 dd",$D29="4 dd",$D29="6 dd",$D29="8 dd",$D29="12 dd",$D29="an",$D29="1 X"),VLOOKUP($D29,PedTblTijden!$A$16:$X$26,PedTblTijden!C$14,FALSE),"")</f>
        <v/>
      </c>
      <c r="J29" s="93" t="str">
        <f>IF(OR($D29="1 dd",$D29="2 dd",$D29="3 dd",$D29="4 dd",$D29="6 dd",$D29="8 dd",$D29="12 dd",$D29="an",$D29="1 X"),VLOOKUP($D29,PedTblTijden!$A$16:$X$26,PedTblTijden!D$14,FALSE),"")</f>
        <v/>
      </c>
      <c r="K29" s="12" t="str">
        <f>IF(OR($D29="1 dd",$D29="2 dd",$D29="3 dd",$D29="4 dd",$D29="6 dd",$D29="8 dd",$D29="12 dd",$D29="an",$D29="1 X"),VLOOKUP($D29,PedTblTijden!$A$16:$X$26,PedTblTijden!E$14,FALSE),"")</f>
        <v/>
      </c>
      <c r="L29" s="93" t="str">
        <f>IF(OR($D29="1 dd",$D29="2 dd",$D29="3 dd",$D29="4 dd",$D29="6 dd",$D29="8 dd",$D29="12 dd",$D29="an",$D29="1 X"),VLOOKUP($D29,PedTblTijden!$A$16:$X$26,PedTblTijden!F$14,FALSE),"")</f>
        <v/>
      </c>
      <c r="M29" s="12" t="str">
        <f>IF(OR($D29="1 dd",$D29="2 dd",$D29="3 dd",$D29="4 dd",$D29="6 dd",$D29="8 dd",$D29="12 dd",$D29="an",$D29="1 X"),VLOOKUP($D29,PedTblTijden!$A$16:$X$26,PedTblTijden!G$14,FALSE),"")</f>
        <v/>
      </c>
      <c r="N29" s="93" t="str">
        <f>IF(OR($D29="1 dd",$D29="2 dd",$D29="3 dd",$D29="4 dd",$D29="6 dd",$D29="8 dd",$D29="12 dd",$D29="an",$D29="1 X"),VLOOKUP($D29,PedTblTijden!$A$16:$X$26,PedTblTijden!H$14,FALSE),"")</f>
        <v/>
      </c>
      <c r="O29" s="12" t="str">
        <f>IF(OR($D29="1 dd",$D29="2 dd",$D29="3 dd",$D29="4 dd",$D29="6 dd",$D29="8 dd",$D29="12 dd",$D29="an",$D29="1 X"),VLOOKUP($D29,PedTblTijden!$A$16:$X$26,PedTblTijden!I$14,FALSE),"")</f>
        <v/>
      </c>
      <c r="P29" s="93" t="str">
        <f>IF(OR($D29="1 dd",$D29="2 dd",$D29="3 dd",$D29="4 dd",$D29="6 dd",$D29="8 dd",$D29="12 dd",$D29="an",$D29="1 X"),VLOOKUP($D29,PedTblTijden!$A$16:$X$26,PedTblTijden!J$14,FALSE),"")</f>
        <v/>
      </c>
      <c r="Q29" s="12" t="str">
        <f>IF(OR($D29="1 dd",$D29="2 dd",$D29="3 dd",$D29="4 dd",$D29="6 dd",$D29="8 dd",$D29="12 dd",$D29="an",$D29="1 X"),VLOOKUP($D29,PedTblTijden!$A$16:$X$26,PedTblTijden!K$14,FALSE),"")</f>
        <v/>
      </c>
      <c r="R29" s="93" t="str">
        <f>IF(OR($D29="1 dd",$D29="2 dd",$D29="3 dd",$D29="4 dd",$D29="6 dd",$D29="8 dd",$D29="12 dd",$D29="an",$D29="1 X"),VLOOKUP($D29,PedTblTijden!$A$16:$X$26,PedTblTijden!L$14,FALSE),"")</f>
        <v/>
      </c>
      <c r="S29" s="12" t="str">
        <f>IF(OR($D29="1 dd",$D29="2 dd",$D29="3 dd",$D29="4 dd",$D29="6 dd",$D29="8 dd",$D29="12 dd",$D29="an",$D29="1 X"),VLOOKUP($D29,PedTblTijden!$A$16:$X$26,PedTblTijden!M$14,FALSE),"")</f>
        <v/>
      </c>
      <c r="T29" s="93" t="str">
        <f>IF(OR($D29="1 dd",$D29="2 dd",$D29="3 dd",$D29="4 dd",$D29="6 dd",$D29="8 dd",$D29="12 dd",$D29="an",$D29="1 X"),VLOOKUP($D29,PedTblTijden!$A$16:$X$26,PedTblTijden!N$14,FALSE),"")</f>
        <v/>
      </c>
      <c r="U29" s="12" t="str">
        <f>IF(OR($D29="1 dd",$D29="2 dd",$D29="3 dd",$D29="4 dd",$D29="6 dd",$D29="8 dd",$D29="12 dd",$D29="an",$D29="1 X"),VLOOKUP($D29,PedTblTijden!$A$16:$X$26,PedTblTijden!O$14,FALSE),"")</f>
        <v/>
      </c>
      <c r="V29" s="93" t="str">
        <f>IF(OR($D29="1 dd",$D29="2 dd",$D29="3 dd",$D29="4 dd",$D29="6 dd",$D29="8 dd",$D29="12 dd",$D29="an",$D29="1 X"),VLOOKUP($D29,PedTblTijden!$A$16:$X$26,PedTblTijden!P$14,FALSE),"")</f>
        <v/>
      </c>
      <c r="W29" s="12" t="str">
        <f>IF(OR($D29="1 dd",$D29="2 dd",$D29="3 dd",$D29="4 dd",$D29="6 dd",$D29="8 dd",$D29="12 dd",$D29="an",$D29="1 X"),VLOOKUP($D29,PedTblTijden!$A$16:$X$26,PedTblTijden!Q$14,FALSE),"")</f>
        <v/>
      </c>
      <c r="X29" s="93" t="str">
        <f>IF(OR($D29="1 dd",$D29="2 dd",$D29="3 dd",$D29="4 dd",$D29="6 dd",$D29="8 dd",$D29="12 dd",$D29="an",$D29="1 X"),VLOOKUP($D29,PedTblTijden!$A$16:$X$26,PedTblTijden!R$14,FALSE),"")</f>
        <v/>
      </c>
      <c r="Y29" s="12" t="str">
        <f>IF(OR($D29="1 dd",$D29="2 dd",$D29="3 dd",$D29="4 dd",$D29="6 dd",$D29="8 dd",$D29="12 dd",$D29="an",$D29="1 X"),VLOOKUP($D29,PedTblTijden!$A$16:$X$26,PedTblTijden!S$14,FALSE),"")</f>
        <v/>
      </c>
      <c r="Z29" s="93" t="str">
        <f>IF(OR($D29="1 dd",$D29="2 dd",$D29="3 dd",$D29="4 dd",$D29="6 dd",$D29="8 dd",$D29="12 dd",$D29="an",$D29="1 X"),VLOOKUP($D29,PedTblTijden!$A$16:$X$26,PedTblTijden!T$14,FALSE),"")</f>
        <v/>
      </c>
      <c r="AA29" s="12" t="str">
        <f>IF(OR($D29="1 dd",$D29="2 dd",$D29="3 dd",$D29="4 dd",$D29="6 dd",$D29="8 dd",$D29="12 dd",$D29="an",$D29="1 X"),VLOOKUP($D29,PedTblTijden!$A$16:$X$26,PedTblTijden!U$14,FALSE),"")</f>
        <v/>
      </c>
      <c r="AB29" s="93" t="str">
        <f>IF(OR($D29="1 dd",$D29="2 dd",$D29="3 dd",$D29="4 dd",$D29="6 dd",$D29="8 dd",$D29="12 dd",$D29="an",$D29="1 X"),VLOOKUP($D29,PedTblTijden!$A$16:$X$26,PedTblTijden!V$14,FALSE),"")</f>
        <v/>
      </c>
      <c r="AC29" s="12" t="str">
        <f>IF(OR($D29="1 dd",$D29="2 dd",$D29="3 dd",$D29="4 dd",$D29="6 dd",$D29="8 dd",$D29="12 dd",$D29="an",$D29="1 X"),VLOOKUP($D29,PedTblTijden!$A$16:$X$26,PedTblTijden!W$14,FALSE),"")</f>
        <v/>
      </c>
      <c r="AD29" s="93" t="str">
        <f>IF(OR($D29="1 dd",$D29="2 dd",$D29="3 dd",$D29="4 dd",$D29="6 dd",$D29="8 dd",$D29="12 dd",$D29="an",$D29="1 X"),VLOOKUP($D29,PedTblTijden!$A$16:$X$26,PedTblTijden!X$14,FALSE),"")</f>
        <v/>
      </c>
      <c r="AE29" s="14"/>
      <c r="AF29" s="92"/>
      <c r="AG29" s="14"/>
    </row>
    <row r="30" spans="2:33" s="315" customFormat="1" ht="26.1" customHeight="1" x14ac:dyDescent="0.2">
      <c r="B30" s="94"/>
      <c r="C30" s="125" t="str">
        <f>IF(GlobBerMedDisc!C29&lt;&gt;"",IF(GlobBerMedDisc!C29&gt;1,TRIM(GlobBerMedDisc!C29)&amp;", "&amp;GlobBerOpm!#REF!&amp;" ("&amp;GlobBerMedDisc!M29&amp;" "&amp;GlobBerMedDisc!F29&amp;"/kg/dag)",TRIM(GlobBerMedDisc!C29)&amp;", "&amp;GlobBerOpm!#REF!),"")</f>
        <v/>
      </c>
      <c r="D30" s="126" t="str">
        <f>IF(GlobGuiMedDisc!I36&lt;&gt;"",GlobGuiMedDisc!I36,"")</f>
        <v/>
      </c>
      <c r="E30" s="127" t="str">
        <f>IF(AND(D30&lt;&gt;"",D30&lt;&gt;"STOP"),GlobBerMedDisc!H29&amp;" "&amp;GlobBerMedDisc!F29,"")</f>
        <v/>
      </c>
      <c r="F30" s="127" t="str">
        <f>IF(AND(D30&lt;&gt;"",D30&lt;&gt;"STOP"),GlobBerMedDisc!L29," ")</f>
        <v xml:space="preserve"> </v>
      </c>
      <c r="G30" s="127" t="str">
        <f>IF(GlobGuiMedDisc!N32&lt;&gt;"",GlobGuiMedDisc!N32&amp;" "&amp;GlobGuiMedDisc!O32&amp;" "&amp;INDEX(GlobBerMedDisc!$B$27:$B$30,GlobBerMedDisc!O29,1)&amp;" in "&amp;GlobGuiMedDisc!$R$28,"")</f>
        <v/>
      </c>
      <c r="H30" s="93" t="str">
        <f>IF(OR($D30="1 dd",$D30="2 dd",$D30="3 dd",$D30="4 dd",$D30="6 dd",$D30="8 dd",$D30="12 dd",$D30="an",$D30="1 X"),VLOOKUP($D30,PedTblTijden!$A$16:$X$26,PedTblTijden!B$14,FALSE),"")</f>
        <v/>
      </c>
      <c r="I30" s="12" t="str">
        <f>IF(OR($D30="1 dd",$D30="2 dd",$D30="3 dd",$D30="4 dd",$D30="6 dd",$D30="8 dd",$D30="12 dd",$D30="an",$D30="1 X"),VLOOKUP($D30,PedTblTijden!$A$16:$X$26,PedTblTijden!C$14,FALSE),"")</f>
        <v/>
      </c>
      <c r="J30" s="93" t="str">
        <f>IF(OR($D30="1 dd",$D30="2 dd",$D30="3 dd",$D30="4 dd",$D30="6 dd",$D30="8 dd",$D30="12 dd",$D30="an",$D30="1 X"),VLOOKUP($D30,PedTblTijden!$A$16:$X$26,PedTblTijden!D$14,FALSE),"")</f>
        <v/>
      </c>
      <c r="K30" s="12" t="str">
        <f>IF(OR($D30="1 dd",$D30="2 dd",$D30="3 dd",$D30="4 dd",$D30="6 dd",$D30="8 dd",$D30="12 dd",$D30="an",$D30="1 X"),VLOOKUP($D30,PedTblTijden!$A$16:$X$26,PedTblTijden!E$14,FALSE),"")</f>
        <v/>
      </c>
      <c r="L30" s="93" t="str">
        <f>IF(OR($D30="1 dd",$D30="2 dd",$D30="3 dd",$D30="4 dd",$D30="6 dd",$D30="8 dd",$D30="12 dd",$D30="an",$D30="1 X"),VLOOKUP($D30,PedTblTijden!$A$16:$X$26,PedTblTijden!F$14,FALSE),"")</f>
        <v/>
      </c>
      <c r="M30" s="12" t="str">
        <f>IF(OR($D30="1 dd",$D30="2 dd",$D30="3 dd",$D30="4 dd",$D30="6 dd",$D30="8 dd",$D30="12 dd",$D30="an",$D30="1 X"),VLOOKUP($D30,PedTblTijden!$A$16:$X$26,PedTblTijden!G$14,FALSE),"")</f>
        <v/>
      </c>
      <c r="N30" s="93" t="str">
        <f>IF(OR($D30="1 dd",$D30="2 dd",$D30="3 dd",$D30="4 dd",$D30="6 dd",$D30="8 dd",$D30="12 dd",$D30="an",$D30="1 X"),VLOOKUP($D30,PedTblTijden!$A$16:$X$26,PedTblTijden!H$14,FALSE),"")</f>
        <v/>
      </c>
      <c r="O30" s="12" t="str">
        <f>IF(OR($D30="1 dd",$D30="2 dd",$D30="3 dd",$D30="4 dd",$D30="6 dd",$D30="8 dd",$D30="12 dd",$D30="an",$D30="1 X"),VLOOKUP($D30,PedTblTijden!$A$16:$X$26,PedTblTijden!I$14,FALSE),"")</f>
        <v/>
      </c>
      <c r="P30" s="93" t="str">
        <f>IF(OR($D30="1 dd",$D30="2 dd",$D30="3 dd",$D30="4 dd",$D30="6 dd",$D30="8 dd",$D30="12 dd",$D30="an",$D30="1 X"),VLOOKUP($D30,PedTblTijden!$A$16:$X$26,PedTblTijden!J$14,FALSE),"")</f>
        <v/>
      </c>
      <c r="Q30" s="12" t="str">
        <f>IF(OR($D30="1 dd",$D30="2 dd",$D30="3 dd",$D30="4 dd",$D30="6 dd",$D30="8 dd",$D30="12 dd",$D30="an",$D30="1 X"),VLOOKUP($D30,PedTblTijden!$A$16:$X$26,PedTblTijden!K$14,FALSE),"")</f>
        <v/>
      </c>
      <c r="R30" s="93" t="str">
        <f>IF(OR($D30="1 dd",$D30="2 dd",$D30="3 dd",$D30="4 dd",$D30="6 dd",$D30="8 dd",$D30="12 dd",$D30="an",$D30="1 X"),VLOOKUP($D30,PedTblTijden!$A$16:$X$26,PedTblTijden!L$14,FALSE),"")</f>
        <v/>
      </c>
      <c r="S30" s="12" t="str">
        <f>IF(OR($D30="1 dd",$D30="2 dd",$D30="3 dd",$D30="4 dd",$D30="6 dd",$D30="8 dd",$D30="12 dd",$D30="an",$D30="1 X"),VLOOKUP($D30,PedTblTijden!$A$16:$X$26,PedTblTijden!M$14,FALSE),"")</f>
        <v/>
      </c>
      <c r="T30" s="93" t="str">
        <f>IF(OR($D30="1 dd",$D30="2 dd",$D30="3 dd",$D30="4 dd",$D30="6 dd",$D30="8 dd",$D30="12 dd",$D30="an",$D30="1 X"),VLOOKUP($D30,PedTblTijden!$A$16:$X$26,PedTblTijden!N$14,FALSE),"")</f>
        <v/>
      </c>
      <c r="U30" s="12" t="str">
        <f>IF(OR($D30="1 dd",$D30="2 dd",$D30="3 dd",$D30="4 dd",$D30="6 dd",$D30="8 dd",$D30="12 dd",$D30="an",$D30="1 X"),VLOOKUP($D30,PedTblTijden!$A$16:$X$26,PedTblTijden!O$14,FALSE),"")</f>
        <v/>
      </c>
      <c r="V30" s="93" t="str">
        <f>IF(OR($D30="1 dd",$D30="2 dd",$D30="3 dd",$D30="4 dd",$D30="6 dd",$D30="8 dd",$D30="12 dd",$D30="an",$D30="1 X"),VLOOKUP($D30,PedTblTijden!$A$16:$X$26,PedTblTijden!P$14,FALSE),"")</f>
        <v/>
      </c>
      <c r="W30" s="12" t="str">
        <f>IF(OR($D30="1 dd",$D30="2 dd",$D30="3 dd",$D30="4 dd",$D30="6 dd",$D30="8 dd",$D30="12 dd",$D30="an",$D30="1 X"),VLOOKUP($D30,PedTblTijden!$A$16:$X$26,PedTblTijden!Q$14,FALSE),"")</f>
        <v/>
      </c>
      <c r="X30" s="93" t="str">
        <f>IF(OR($D30="1 dd",$D30="2 dd",$D30="3 dd",$D30="4 dd",$D30="6 dd",$D30="8 dd",$D30="12 dd",$D30="an",$D30="1 X"),VLOOKUP($D30,PedTblTijden!$A$16:$X$26,PedTblTijden!R$14,FALSE),"")</f>
        <v/>
      </c>
      <c r="Y30" s="12" t="str">
        <f>IF(OR($D30="1 dd",$D30="2 dd",$D30="3 dd",$D30="4 dd",$D30="6 dd",$D30="8 dd",$D30="12 dd",$D30="an",$D30="1 X"),VLOOKUP($D30,PedTblTijden!$A$16:$X$26,PedTblTijden!S$14,FALSE),"")</f>
        <v/>
      </c>
      <c r="Z30" s="93" t="str">
        <f>IF(OR($D30="1 dd",$D30="2 dd",$D30="3 dd",$D30="4 dd",$D30="6 dd",$D30="8 dd",$D30="12 dd",$D30="an",$D30="1 X"),VLOOKUP($D30,PedTblTijden!$A$16:$X$26,PedTblTijden!T$14,FALSE),"")</f>
        <v/>
      </c>
      <c r="AA30" s="12" t="str">
        <f>IF(OR($D30="1 dd",$D30="2 dd",$D30="3 dd",$D30="4 dd",$D30="6 dd",$D30="8 dd",$D30="12 dd",$D30="an",$D30="1 X"),VLOOKUP($D30,PedTblTijden!$A$16:$X$26,PedTblTijden!U$14,FALSE),"")</f>
        <v/>
      </c>
      <c r="AB30" s="93" t="str">
        <f>IF(OR($D30="1 dd",$D30="2 dd",$D30="3 dd",$D30="4 dd",$D30="6 dd",$D30="8 dd",$D30="12 dd",$D30="an",$D30="1 X"),VLOOKUP($D30,PedTblTijden!$A$16:$X$26,PedTblTijden!V$14,FALSE),"")</f>
        <v/>
      </c>
      <c r="AC30" s="12" t="str">
        <f>IF(OR($D30="1 dd",$D30="2 dd",$D30="3 dd",$D30="4 dd",$D30="6 dd",$D30="8 dd",$D30="12 dd",$D30="an",$D30="1 X"),VLOOKUP($D30,PedTblTijden!$A$16:$X$26,PedTblTijden!W$14,FALSE),"")</f>
        <v/>
      </c>
      <c r="AD30" s="93" t="str">
        <f>IF(OR($D30="1 dd",$D30="2 dd",$D30="3 dd",$D30="4 dd",$D30="6 dd",$D30="8 dd",$D30="12 dd",$D30="an",$D30="1 X"),VLOOKUP($D30,PedTblTijden!$A$16:$X$26,PedTblTijden!X$14,FALSE),"")</f>
        <v/>
      </c>
      <c r="AE30" s="14"/>
      <c r="AF30" s="92"/>
      <c r="AG30" s="14"/>
    </row>
    <row r="31" spans="2:33" s="315" customFormat="1" ht="26.1" customHeight="1" x14ac:dyDescent="0.2">
      <c r="B31" s="94"/>
      <c r="C31" s="125" t="str">
        <f>IF(GlobBerMedDisc!C30&lt;&gt;"",IF(GlobBerMedDisc!C30&gt;1,TRIM(GlobBerMedDisc!C30)&amp;", "&amp;GlobBerOpm!#REF!&amp;" ("&amp;GlobBerMedDisc!M30&amp;" "&amp;GlobBerMedDisc!F30&amp;"/kg/dag)",TRIM(GlobBerMedDisc!C30)&amp;", "&amp;GlobBerOpm!#REF!),"")</f>
        <v/>
      </c>
      <c r="D31" s="126" t="str">
        <f>IF(GlobGuiMedDisc!I37&lt;&gt;"",GlobGuiMedDisc!I37,"")</f>
        <v/>
      </c>
      <c r="E31" s="127" t="str">
        <f>IF(AND(D31&lt;&gt;"",D31&lt;&gt;"STOP"),GlobBerMedDisc!H30&amp;" "&amp;GlobBerMedDisc!F30,"")</f>
        <v/>
      </c>
      <c r="F31" s="127" t="str">
        <f>IF(AND(D31&lt;&gt;"",D31&lt;&gt;"STOP"),GlobBerMedDisc!L30," ")</f>
        <v xml:space="preserve"> </v>
      </c>
      <c r="G31" s="127" t="e">
        <f>IF(GlobGuiMedDisc!#REF!&lt;&gt;"",GlobGuiMedDisc!#REF!&amp;" "&amp;GlobGuiMedDisc!#REF!&amp;" "&amp;INDEX(GlobBerMedDisc!$B$27:$B$30,GlobBerMedDisc!O30,1)&amp;" in "&amp;GlobGuiMedDisc!$R$28,"")</f>
        <v>#REF!</v>
      </c>
      <c r="H31" s="93" t="str">
        <f>IF(OR($D31="1 dd",$D31="2 dd",$D31="3 dd",$D31="4 dd",$D31="6 dd",$D31="8 dd",$D31="12 dd",$D31="an",$D31="1 X"),VLOOKUP($D31,PedTblTijden!$A$16:$X$26,PedTblTijden!B$14,FALSE),"")</f>
        <v/>
      </c>
      <c r="I31" s="12" t="str">
        <f>IF(OR($D31="1 dd",$D31="2 dd",$D31="3 dd",$D31="4 dd",$D31="6 dd",$D31="8 dd",$D31="12 dd",$D31="an",$D31="1 X"),VLOOKUP($D31,PedTblTijden!$A$16:$X$26,PedTblTijden!C$14,FALSE),"")</f>
        <v/>
      </c>
      <c r="J31" s="93" t="str">
        <f>IF(OR($D31="1 dd",$D31="2 dd",$D31="3 dd",$D31="4 dd",$D31="6 dd",$D31="8 dd",$D31="12 dd",$D31="an",$D31="1 X"),VLOOKUP($D31,PedTblTijden!$A$16:$X$26,PedTblTijden!D$14,FALSE),"")</f>
        <v/>
      </c>
      <c r="K31" s="12" t="str">
        <f>IF(OR($D31="1 dd",$D31="2 dd",$D31="3 dd",$D31="4 dd",$D31="6 dd",$D31="8 dd",$D31="12 dd",$D31="an",$D31="1 X"),VLOOKUP($D31,PedTblTijden!$A$16:$X$26,PedTblTijden!E$14,FALSE),"")</f>
        <v/>
      </c>
      <c r="L31" s="93" t="str">
        <f>IF(OR($D31="1 dd",$D31="2 dd",$D31="3 dd",$D31="4 dd",$D31="6 dd",$D31="8 dd",$D31="12 dd",$D31="an",$D31="1 X"),VLOOKUP($D31,PedTblTijden!$A$16:$X$26,PedTblTijden!F$14,FALSE),"")</f>
        <v/>
      </c>
      <c r="M31" s="12" t="str">
        <f>IF(OR($D31="1 dd",$D31="2 dd",$D31="3 dd",$D31="4 dd",$D31="6 dd",$D31="8 dd",$D31="12 dd",$D31="an",$D31="1 X"),VLOOKUP($D31,PedTblTijden!$A$16:$X$26,PedTblTijden!G$14,FALSE),"")</f>
        <v/>
      </c>
      <c r="N31" s="93" t="str">
        <f>IF(OR($D31="1 dd",$D31="2 dd",$D31="3 dd",$D31="4 dd",$D31="6 dd",$D31="8 dd",$D31="12 dd",$D31="an",$D31="1 X"),VLOOKUP($D31,PedTblTijden!$A$16:$X$26,PedTblTijden!H$14,FALSE),"")</f>
        <v/>
      </c>
      <c r="O31" s="12" t="str">
        <f>IF(OR($D31="1 dd",$D31="2 dd",$D31="3 dd",$D31="4 dd",$D31="6 dd",$D31="8 dd",$D31="12 dd",$D31="an",$D31="1 X"),VLOOKUP($D31,PedTblTijden!$A$16:$X$26,PedTblTijden!I$14,FALSE),"")</f>
        <v/>
      </c>
      <c r="P31" s="93" t="str">
        <f>IF(OR($D31="1 dd",$D31="2 dd",$D31="3 dd",$D31="4 dd",$D31="6 dd",$D31="8 dd",$D31="12 dd",$D31="an",$D31="1 X"),VLOOKUP($D31,PedTblTijden!$A$16:$X$26,PedTblTijden!J$14,FALSE),"")</f>
        <v/>
      </c>
      <c r="Q31" s="12" t="str">
        <f>IF(OR($D31="1 dd",$D31="2 dd",$D31="3 dd",$D31="4 dd",$D31="6 dd",$D31="8 dd",$D31="12 dd",$D31="an",$D31="1 X"),VLOOKUP($D31,PedTblTijden!$A$16:$X$26,PedTblTijden!K$14,FALSE),"")</f>
        <v/>
      </c>
      <c r="R31" s="93" t="str">
        <f>IF(OR($D31="1 dd",$D31="2 dd",$D31="3 dd",$D31="4 dd",$D31="6 dd",$D31="8 dd",$D31="12 dd",$D31="an",$D31="1 X"),VLOOKUP($D31,PedTblTijden!$A$16:$X$26,PedTblTijden!L$14,FALSE),"")</f>
        <v/>
      </c>
      <c r="S31" s="12" t="str">
        <f>IF(OR($D31="1 dd",$D31="2 dd",$D31="3 dd",$D31="4 dd",$D31="6 dd",$D31="8 dd",$D31="12 dd",$D31="an",$D31="1 X"),VLOOKUP($D31,PedTblTijden!$A$16:$X$26,PedTblTijden!M$14,FALSE),"")</f>
        <v/>
      </c>
      <c r="T31" s="93" t="str">
        <f>IF(OR($D31="1 dd",$D31="2 dd",$D31="3 dd",$D31="4 dd",$D31="6 dd",$D31="8 dd",$D31="12 dd",$D31="an",$D31="1 X"),VLOOKUP($D31,PedTblTijden!$A$16:$X$26,PedTblTijden!N$14,FALSE),"")</f>
        <v/>
      </c>
      <c r="U31" s="12" t="str">
        <f>IF(OR($D31="1 dd",$D31="2 dd",$D31="3 dd",$D31="4 dd",$D31="6 dd",$D31="8 dd",$D31="12 dd",$D31="an",$D31="1 X"),VLOOKUP($D31,PedTblTijden!$A$16:$X$26,PedTblTijden!O$14,FALSE),"")</f>
        <v/>
      </c>
      <c r="V31" s="93" t="str">
        <f>IF(OR($D31="1 dd",$D31="2 dd",$D31="3 dd",$D31="4 dd",$D31="6 dd",$D31="8 dd",$D31="12 dd",$D31="an",$D31="1 X"),VLOOKUP($D31,PedTblTijden!$A$16:$X$26,PedTblTijden!P$14,FALSE),"")</f>
        <v/>
      </c>
      <c r="W31" s="12" t="str">
        <f>IF(OR($D31="1 dd",$D31="2 dd",$D31="3 dd",$D31="4 dd",$D31="6 dd",$D31="8 dd",$D31="12 dd",$D31="an",$D31="1 X"),VLOOKUP($D31,PedTblTijden!$A$16:$X$26,PedTblTijden!Q$14,FALSE),"")</f>
        <v/>
      </c>
      <c r="X31" s="93" t="str">
        <f>IF(OR($D31="1 dd",$D31="2 dd",$D31="3 dd",$D31="4 dd",$D31="6 dd",$D31="8 dd",$D31="12 dd",$D31="an",$D31="1 X"),VLOOKUP($D31,PedTblTijden!$A$16:$X$26,PedTblTijden!R$14,FALSE),"")</f>
        <v/>
      </c>
      <c r="Y31" s="12" t="str">
        <f>IF(OR($D31="1 dd",$D31="2 dd",$D31="3 dd",$D31="4 dd",$D31="6 dd",$D31="8 dd",$D31="12 dd",$D31="an",$D31="1 X"),VLOOKUP($D31,PedTblTijden!$A$16:$X$26,PedTblTijden!S$14,FALSE),"")</f>
        <v/>
      </c>
      <c r="Z31" s="93" t="str">
        <f>IF(OR($D31="1 dd",$D31="2 dd",$D31="3 dd",$D31="4 dd",$D31="6 dd",$D31="8 dd",$D31="12 dd",$D31="an",$D31="1 X"),VLOOKUP($D31,PedTblTijden!$A$16:$X$26,PedTblTijden!T$14,FALSE),"")</f>
        <v/>
      </c>
      <c r="AA31" s="12" t="str">
        <f>IF(OR($D31="1 dd",$D31="2 dd",$D31="3 dd",$D31="4 dd",$D31="6 dd",$D31="8 dd",$D31="12 dd",$D31="an",$D31="1 X"),VLOOKUP($D31,PedTblTijden!$A$16:$X$26,PedTblTijden!U$14,FALSE),"")</f>
        <v/>
      </c>
      <c r="AB31" s="93" t="str">
        <f>IF(OR($D31="1 dd",$D31="2 dd",$D31="3 dd",$D31="4 dd",$D31="6 dd",$D31="8 dd",$D31="12 dd",$D31="an",$D31="1 X"),VLOOKUP($D31,PedTblTijden!$A$16:$X$26,PedTblTijden!V$14,FALSE),"")</f>
        <v/>
      </c>
      <c r="AC31" s="12" t="str">
        <f>IF(OR($D31="1 dd",$D31="2 dd",$D31="3 dd",$D31="4 dd",$D31="6 dd",$D31="8 dd",$D31="12 dd",$D31="an",$D31="1 X"),VLOOKUP($D31,PedTblTijden!$A$16:$X$26,PedTblTijden!W$14,FALSE),"")</f>
        <v/>
      </c>
      <c r="AD31" s="93" t="str">
        <f>IF(OR($D31="1 dd",$D31="2 dd",$D31="3 dd",$D31="4 dd",$D31="6 dd",$D31="8 dd",$D31="12 dd",$D31="an",$D31="1 X"),VLOOKUP($D31,PedTblTijden!$A$16:$X$26,PedTblTijden!X$14,FALSE),"")</f>
        <v/>
      </c>
      <c r="AE31" s="14"/>
      <c r="AF31" s="92"/>
      <c r="AG31" s="14"/>
    </row>
    <row r="32" spans="2:33" s="315" customFormat="1" ht="26.1" customHeight="1" x14ac:dyDescent="0.2">
      <c r="B32" s="94"/>
      <c r="C32" s="125" t="str">
        <f>IF(GlobBerMedDisc!C31&lt;&gt;"",IF(GlobBerMedDisc!C31&gt;1,TRIM(GlobBerMedDisc!C31)&amp;", "&amp;GlobBerOpm!#REF!&amp;" ("&amp;GlobBerMedDisc!M31&amp;" "&amp;GlobBerMedDisc!F31&amp;"/kg/dag)",TRIM(GlobBerMedDisc!C31)&amp;", "&amp;GlobBerOpm!#REF!),"")</f>
        <v/>
      </c>
      <c r="D32" s="126" t="str">
        <f>IF(GlobGuiMedDisc!I38&lt;&gt;"",GlobGuiMedDisc!I38,"")</f>
        <v/>
      </c>
      <c r="E32" s="127" t="str">
        <f>IF(AND(D32&lt;&gt;"",D32&lt;&gt;"STOP"),GlobBerMedDisc!H31&amp;" "&amp;GlobBerMedDisc!F31,"")</f>
        <v/>
      </c>
      <c r="F32" s="127" t="str">
        <f>IF(AND(D32&lt;&gt;"",D32&lt;&gt;"STOP"),GlobBerMedDisc!L31," ")</f>
        <v xml:space="preserve"> </v>
      </c>
      <c r="G32" s="127" t="str">
        <f>IF(GlobGuiMedDisc!N33&lt;&gt;"",GlobGuiMedDisc!N33&amp;" "&amp;GlobGuiMedDisc!O33&amp;" "&amp;INDEX(GlobBerMedDisc!$B$27:$B$30,GlobBerMedDisc!O31,1)&amp;" in "&amp;GlobGuiMedDisc!$R$28,"")</f>
        <v/>
      </c>
      <c r="H32" s="93" t="str">
        <f>IF(OR($D32="1 dd",$D32="2 dd",$D32="3 dd",$D32="4 dd",$D32="6 dd",$D32="8 dd",$D32="12 dd",$D32="an",$D32="1 X"),VLOOKUP($D32,PedTblTijden!$A$16:$X$26,PedTblTijden!B$14,FALSE),"")</f>
        <v/>
      </c>
      <c r="I32" s="12" t="str">
        <f>IF(OR($D32="1 dd",$D32="2 dd",$D32="3 dd",$D32="4 dd",$D32="6 dd",$D32="8 dd",$D32="12 dd",$D32="an",$D32="1 X"),VLOOKUP($D32,PedTblTijden!$A$16:$X$26,PedTblTijden!C$14,FALSE),"")</f>
        <v/>
      </c>
      <c r="J32" s="93" t="str">
        <f>IF(OR($D32="1 dd",$D32="2 dd",$D32="3 dd",$D32="4 dd",$D32="6 dd",$D32="8 dd",$D32="12 dd",$D32="an",$D32="1 X"),VLOOKUP($D32,PedTblTijden!$A$16:$X$26,PedTblTijden!D$14,FALSE),"")</f>
        <v/>
      </c>
      <c r="K32" s="12" t="str">
        <f>IF(OR($D32="1 dd",$D32="2 dd",$D32="3 dd",$D32="4 dd",$D32="6 dd",$D32="8 dd",$D32="12 dd",$D32="an",$D32="1 X"),VLOOKUP($D32,PedTblTijden!$A$16:$X$26,PedTblTijden!E$14,FALSE),"")</f>
        <v/>
      </c>
      <c r="L32" s="93" t="str">
        <f>IF(OR($D32="1 dd",$D32="2 dd",$D32="3 dd",$D32="4 dd",$D32="6 dd",$D32="8 dd",$D32="12 dd",$D32="an",$D32="1 X"),VLOOKUP($D32,PedTblTijden!$A$16:$X$26,PedTblTijden!F$14,FALSE),"")</f>
        <v/>
      </c>
      <c r="M32" s="12" t="str">
        <f>IF(OR($D32="1 dd",$D32="2 dd",$D32="3 dd",$D32="4 dd",$D32="6 dd",$D32="8 dd",$D32="12 dd",$D32="an",$D32="1 X"),VLOOKUP($D32,PedTblTijden!$A$16:$X$26,PedTblTijden!G$14,FALSE),"")</f>
        <v/>
      </c>
      <c r="N32" s="93" t="str">
        <f>IF(OR($D32="1 dd",$D32="2 dd",$D32="3 dd",$D32="4 dd",$D32="6 dd",$D32="8 dd",$D32="12 dd",$D32="an",$D32="1 X"),VLOOKUP($D32,PedTblTijden!$A$16:$X$26,PedTblTijden!H$14,FALSE),"")</f>
        <v/>
      </c>
      <c r="O32" s="12" t="str">
        <f>IF(OR($D32="1 dd",$D32="2 dd",$D32="3 dd",$D32="4 dd",$D32="6 dd",$D32="8 dd",$D32="12 dd",$D32="an",$D32="1 X"),VLOOKUP($D32,PedTblTijden!$A$16:$X$26,PedTblTijden!I$14,FALSE),"")</f>
        <v/>
      </c>
      <c r="P32" s="93" t="str">
        <f>IF(OR($D32="1 dd",$D32="2 dd",$D32="3 dd",$D32="4 dd",$D32="6 dd",$D32="8 dd",$D32="12 dd",$D32="an",$D32="1 X"),VLOOKUP($D32,PedTblTijden!$A$16:$X$26,PedTblTijden!J$14,FALSE),"")</f>
        <v/>
      </c>
      <c r="Q32" s="12" t="str">
        <f>IF(OR($D32="1 dd",$D32="2 dd",$D32="3 dd",$D32="4 dd",$D32="6 dd",$D32="8 dd",$D32="12 dd",$D32="an",$D32="1 X"),VLOOKUP($D32,PedTblTijden!$A$16:$X$26,PedTblTijden!K$14,FALSE),"")</f>
        <v/>
      </c>
      <c r="R32" s="93" t="str">
        <f>IF(OR($D32="1 dd",$D32="2 dd",$D32="3 dd",$D32="4 dd",$D32="6 dd",$D32="8 dd",$D32="12 dd",$D32="an",$D32="1 X"),VLOOKUP($D32,PedTblTijden!$A$16:$X$26,PedTblTijden!L$14,FALSE),"")</f>
        <v/>
      </c>
      <c r="S32" s="12" t="str">
        <f>IF(OR($D32="1 dd",$D32="2 dd",$D32="3 dd",$D32="4 dd",$D32="6 dd",$D32="8 dd",$D32="12 dd",$D32="an",$D32="1 X"),VLOOKUP($D32,PedTblTijden!$A$16:$X$26,PedTblTijden!M$14,FALSE),"")</f>
        <v/>
      </c>
      <c r="T32" s="93" t="str">
        <f>IF(OR($D32="1 dd",$D32="2 dd",$D32="3 dd",$D32="4 dd",$D32="6 dd",$D32="8 dd",$D32="12 dd",$D32="an",$D32="1 X"),VLOOKUP($D32,PedTblTijden!$A$16:$X$26,PedTblTijden!N$14,FALSE),"")</f>
        <v/>
      </c>
      <c r="U32" s="12" t="str">
        <f>IF(OR($D32="1 dd",$D32="2 dd",$D32="3 dd",$D32="4 dd",$D32="6 dd",$D32="8 dd",$D32="12 dd",$D32="an",$D32="1 X"),VLOOKUP($D32,PedTblTijden!$A$16:$X$26,PedTblTijden!O$14,FALSE),"")</f>
        <v/>
      </c>
      <c r="V32" s="93" t="str">
        <f>IF(OR($D32="1 dd",$D32="2 dd",$D32="3 dd",$D32="4 dd",$D32="6 dd",$D32="8 dd",$D32="12 dd",$D32="an",$D32="1 X"),VLOOKUP($D32,PedTblTijden!$A$16:$X$26,PedTblTijden!P$14,FALSE),"")</f>
        <v/>
      </c>
      <c r="W32" s="12" t="str">
        <f>IF(OR($D32="1 dd",$D32="2 dd",$D32="3 dd",$D32="4 dd",$D32="6 dd",$D32="8 dd",$D32="12 dd",$D32="an",$D32="1 X"),VLOOKUP($D32,PedTblTijden!$A$16:$X$26,PedTblTijden!Q$14,FALSE),"")</f>
        <v/>
      </c>
      <c r="X32" s="93" t="str">
        <f>IF(OR($D32="1 dd",$D32="2 dd",$D32="3 dd",$D32="4 dd",$D32="6 dd",$D32="8 dd",$D32="12 dd",$D32="an",$D32="1 X"),VLOOKUP($D32,PedTblTijden!$A$16:$X$26,PedTblTijden!R$14,FALSE),"")</f>
        <v/>
      </c>
      <c r="Y32" s="12" t="str">
        <f>IF(OR($D32="1 dd",$D32="2 dd",$D32="3 dd",$D32="4 dd",$D32="6 dd",$D32="8 dd",$D32="12 dd",$D32="an",$D32="1 X"),VLOOKUP($D32,PedTblTijden!$A$16:$X$26,PedTblTijden!S$14,FALSE),"")</f>
        <v/>
      </c>
      <c r="Z32" s="93" t="str">
        <f>IF(OR($D32="1 dd",$D32="2 dd",$D32="3 dd",$D32="4 dd",$D32="6 dd",$D32="8 dd",$D32="12 dd",$D32="an",$D32="1 X"),VLOOKUP($D32,PedTblTijden!$A$16:$X$26,PedTblTijden!T$14,FALSE),"")</f>
        <v/>
      </c>
      <c r="AA32" s="12" t="str">
        <f>IF(OR($D32="1 dd",$D32="2 dd",$D32="3 dd",$D32="4 dd",$D32="6 dd",$D32="8 dd",$D32="12 dd",$D32="an",$D32="1 X"),VLOOKUP($D32,PedTblTijden!$A$16:$X$26,PedTblTijden!U$14,FALSE),"")</f>
        <v/>
      </c>
      <c r="AB32" s="93" t="str">
        <f>IF(OR($D32="1 dd",$D32="2 dd",$D32="3 dd",$D32="4 dd",$D32="6 dd",$D32="8 dd",$D32="12 dd",$D32="an",$D32="1 X"),VLOOKUP($D32,PedTblTijden!$A$16:$X$26,PedTblTijden!V$14,FALSE),"")</f>
        <v/>
      </c>
      <c r="AC32" s="12" t="str">
        <f>IF(OR($D32="1 dd",$D32="2 dd",$D32="3 dd",$D32="4 dd",$D32="6 dd",$D32="8 dd",$D32="12 dd",$D32="an",$D32="1 X"),VLOOKUP($D32,PedTblTijden!$A$16:$X$26,PedTblTijden!W$14,FALSE),"")</f>
        <v/>
      </c>
      <c r="AD32" s="93" t="str">
        <f>IF(OR($D32="1 dd",$D32="2 dd",$D32="3 dd",$D32="4 dd",$D32="6 dd",$D32="8 dd",$D32="12 dd",$D32="an",$D32="1 X"),VLOOKUP($D32,PedTblTijden!$A$16:$X$26,PedTblTijden!X$14,FALSE),"")</f>
        <v/>
      </c>
      <c r="AE32" s="14"/>
      <c r="AF32" s="92"/>
      <c r="AG32" s="14"/>
    </row>
  </sheetData>
  <customSheetViews>
    <customSheetView guid="{33CCADFA-0D48-46A6-8927-2B2144029216}">
      <selection activeCell="C7" sqref="C7"/>
      <pageMargins left="0.31" right="0.69" top="0.19685039370078741" bottom="0.19685039370078741" header="0.19685039370078741" footer="0.19685039370078741"/>
      <printOptions horizontalCentered="1" verticalCentered="1"/>
      <pageSetup paperSize="9" orientation="landscape" r:id="rId1"/>
      <headerFooter alignWithMargins="0">
        <oddHeader>&amp;LBed 1.4</oddHeader>
      </headerFooter>
    </customSheetView>
  </customSheetViews>
  <mergeCells count="3">
    <mergeCell ref="R1:W1"/>
    <mergeCell ref="AB1:AF1"/>
    <mergeCell ref="F1:G1"/>
  </mergeCells>
  <phoneticPr fontId="28" type="noConversion"/>
  <conditionalFormatting sqref="B3:B22">
    <cfRule type="cellIs" dxfId="14" priority="11" stopIfTrue="1" operator="equal">
      <formula>$AB$1</formula>
    </cfRule>
  </conditionalFormatting>
  <conditionalFormatting sqref="B23">
    <cfRule type="cellIs" dxfId="13" priority="10" stopIfTrue="1" operator="equal">
      <formula>$AB$1</formula>
    </cfRule>
  </conditionalFormatting>
  <conditionalFormatting sqref="B24">
    <cfRule type="cellIs" dxfId="12" priority="9" stopIfTrue="1" operator="equal">
      <formula>$AB$1</formula>
    </cfRule>
  </conditionalFormatting>
  <conditionalFormatting sqref="B25">
    <cfRule type="cellIs" dxfId="11" priority="8" stopIfTrue="1" operator="equal">
      <formula>$AB$1</formula>
    </cfRule>
  </conditionalFormatting>
  <conditionalFormatting sqref="B26">
    <cfRule type="cellIs" dxfId="10" priority="7" stopIfTrue="1" operator="equal">
      <formula>$AB$1</formula>
    </cfRule>
  </conditionalFormatting>
  <conditionalFormatting sqref="B27">
    <cfRule type="cellIs" dxfId="9" priority="6" stopIfTrue="1" operator="equal">
      <formula>$AB$1</formula>
    </cfRule>
  </conditionalFormatting>
  <conditionalFormatting sqref="B28">
    <cfRule type="cellIs" dxfId="8" priority="5" stopIfTrue="1" operator="equal">
      <formula>$AB$1</formula>
    </cfRule>
  </conditionalFormatting>
  <conditionalFormatting sqref="B29">
    <cfRule type="cellIs" dxfId="7" priority="4" stopIfTrue="1" operator="equal">
      <formula>$AB$1</formula>
    </cfRule>
  </conditionalFormatting>
  <conditionalFormatting sqref="B30">
    <cfRule type="cellIs" dxfId="6" priority="3" stopIfTrue="1" operator="equal">
      <formula>$AB$1</formula>
    </cfRule>
  </conditionalFormatting>
  <conditionalFormatting sqref="B31">
    <cfRule type="cellIs" dxfId="5" priority="2" stopIfTrue="1" operator="equal">
      <formula>$AB$1</formula>
    </cfRule>
  </conditionalFormatting>
  <conditionalFormatting sqref="B32">
    <cfRule type="cellIs" dxfId="4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2"/>
  <headerFooter alignWithMargins="0">
    <oddHeader>&amp;LBed 1.4</oddHeader>
  </headerFooter>
  <ignoredErrors>
    <ignoredError sqref="D26" formula="1"/>
  </ignoredError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Tijden">
    <tabColor rgb="FFFFC000"/>
  </sheetPr>
  <dimension ref="A1:X29"/>
  <sheetViews>
    <sheetView workbookViewId="0">
      <selection activeCell="N36" sqref="N36"/>
    </sheetView>
  </sheetViews>
  <sheetFormatPr defaultRowHeight="12.75" x14ac:dyDescent="0.2"/>
  <cols>
    <col min="2" max="24" width="4.7109375" customWidth="1"/>
  </cols>
  <sheetData>
    <row r="1" spans="1:24" x14ac:dyDescent="0.2">
      <c r="A1" s="356" t="s">
        <v>393</v>
      </c>
    </row>
    <row r="2" spans="1:24" x14ac:dyDescent="0.2">
      <c r="A2" t="s">
        <v>384</v>
      </c>
      <c r="B2">
        <v>20</v>
      </c>
    </row>
    <row r="3" spans="1:24" x14ac:dyDescent="0.2">
      <c r="A3" t="s">
        <v>394</v>
      </c>
      <c r="B3">
        <v>10</v>
      </c>
    </row>
    <row r="4" spans="1:24" x14ac:dyDescent="0.2">
      <c r="A4" t="s">
        <v>395</v>
      </c>
      <c r="B4">
        <v>10</v>
      </c>
      <c r="C4">
        <v>22</v>
      </c>
    </row>
    <row r="5" spans="1:24" x14ac:dyDescent="0.2">
      <c r="A5" t="s">
        <v>396</v>
      </c>
      <c r="B5">
        <v>10</v>
      </c>
      <c r="C5">
        <v>18</v>
      </c>
      <c r="D5">
        <v>2</v>
      </c>
    </row>
    <row r="6" spans="1:24" x14ac:dyDescent="0.2">
      <c r="A6" s="356" t="s">
        <v>397</v>
      </c>
      <c r="B6">
        <v>10</v>
      </c>
      <c r="C6">
        <v>18</v>
      </c>
      <c r="D6">
        <v>24</v>
      </c>
      <c r="E6">
        <v>6</v>
      </c>
    </row>
    <row r="7" spans="1:24" x14ac:dyDescent="0.2">
      <c r="A7" t="s">
        <v>182</v>
      </c>
      <c r="B7">
        <v>10</v>
      </c>
      <c r="C7">
        <v>14</v>
      </c>
      <c r="D7">
        <v>18</v>
      </c>
      <c r="E7">
        <v>22</v>
      </c>
      <c r="F7">
        <v>2</v>
      </c>
      <c r="G7">
        <v>6</v>
      </c>
    </row>
    <row r="8" spans="1:24" x14ac:dyDescent="0.2">
      <c r="A8" t="s">
        <v>183</v>
      </c>
      <c r="B8">
        <v>11</v>
      </c>
      <c r="C8">
        <v>14</v>
      </c>
      <c r="D8">
        <v>17</v>
      </c>
      <c r="E8">
        <v>20</v>
      </c>
      <c r="F8">
        <v>23</v>
      </c>
      <c r="G8">
        <v>2</v>
      </c>
      <c r="H8">
        <v>5</v>
      </c>
      <c r="I8">
        <v>8</v>
      </c>
    </row>
    <row r="9" spans="1:24" x14ac:dyDescent="0.2">
      <c r="A9" t="s">
        <v>184</v>
      </c>
      <c r="B9">
        <v>10</v>
      </c>
      <c r="C9">
        <v>12</v>
      </c>
      <c r="D9">
        <v>14</v>
      </c>
      <c r="E9">
        <v>16</v>
      </c>
      <c r="F9">
        <v>18</v>
      </c>
      <c r="G9">
        <v>20</v>
      </c>
      <c r="H9">
        <v>22</v>
      </c>
      <c r="I9">
        <v>24</v>
      </c>
      <c r="J9">
        <v>2</v>
      </c>
      <c r="K9">
        <v>4</v>
      </c>
      <c r="L9">
        <v>6</v>
      </c>
      <c r="M9">
        <v>8</v>
      </c>
    </row>
    <row r="10" spans="1:24" x14ac:dyDescent="0.2">
      <c r="A10" t="s">
        <v>26</v>
      </c>
    </row>
    <row r="12" spans="1:24" x14ac:dyDescent="0.2">
      <c r="A12">
        <v>10</v>
      </c>
      <c r="B12" t="s">
        <v>394</v>
      </c>
      <c r="C12" t="s">
        <v>395</v>
      </c>
      <c r="D12" t="s">
        <v>396</v>
      </c>
      <c r="E12" t="s">
        <v>397</v>
      </c>
      <c r="F12" t="s">
        <v>182</v>
      </c>
      <c r="G12" t="s">
        <v>184</v>
      </c>
    </row>
    <row r="14" spans="1:24" x14ac:dyDescent="0.2">
      <c r="B14">
        <v>2</v>
      </c>
      <c r="C14">
        <v>3</v>
      </c>
      <c r="D14">
        <v>4</v>
      </c>
      <c r="E14">
        <v>5</v>
      </c>
      <c r="F14">
        <v>6</v>
      </c>
      <c r="G14">
        <v>7</v>
      </c>
      <c r="H14">
        <v>8</v>
      </c>
      <c r="I14">
        <v>9</v>
      </c>
      <c r="J14">
        <v>10</v>
      </c>
      <c r="K14">
        <v>11</v>
      </c>
      <c r="L14">
        <v>12</v>
      </c>
      <c r="M14">
        <v>13</v>
      </c>
      <c r="N14">
        <v>14</v>
      </c>
      <c r="O14">
        <v>15</v>
      </c>
      <c r="P14">
        <v>16</v>
      </c>
      <c r="Q14">
        <v>17</v>
      </c>
      <c r="R14">
        <v>18</v>
      </c>
      <c r="S14">
        <v>19</v>
      </c>
      <c r="T14">
        <v>20</v>
      </c>
      <c r="U14">
        <v>21</v>
      </c>
      <c r="V14">
        <v>22</v>
      </c>
      <c r="W14">
        <v>23</v>
      </c>
      <c r="X14">
        <v>24</v>
      </c>
    </row>
    <row r="15" spans="1:24" x14ac:dyDescent="0.2">
      <c r="B15" s="11">
        <v>10</v>
      </c>
      <c r="C15" s="11">
        <v>11</v>
      </c>
      <c r="D15" s="11">
        <v>12</v>
      </c>
      <c r="E15" s="11">
        <v>13</v>
      </c>
      <c r="F15" s="11">
        <v>14</v>
      </c>
      <c r="G15" s="11">
        <v>15</v>
      </c>
      <c r="H15" s="11">
        <v>16</v>
      </c>
      <c r="I15" s="11">
        <v>17</v>
      </c>
      <c r="J15" s="11">
        <v>18</v>
      </c>
      <c r="K15" s="11">
        <v>19</v>
      </c>
      <c r="L15" s="11">
        <v>20</v>
      </c>
      <c r="M15" s="11">
        <v>21</v>
      </c>
      <c r="N15" s="11">
        <v>22</v>
      </c>
      <c r="O15" s="11">
        <v>23</v>
      </c>
      <c r="P15" s="11">
        <v>24</v>
      </c>
      <c r="Q15" s="11">
        <v>1</v>
      </c>
      <c r="R15" s="11">
        <v>2</v>
      </c>
      <c r="S15" s="11">
        <v>3</v>
      </c>
      <c r="T15" s="11">
        <v>4</v>
      </c>
      <c r="U15" s="11">
        <v>5</v>
      </c>
      <c r="V15" s="11">
        <v>6</v>
      </c>
      <c r="W15" s="11">
        <v>7</v>
      </c>
      <c r="X15" s="11">
        <v>8</v>
      </c>
    </row>
    <row r="16" spans="1:24" x14ac:dyDescent="0.2">
      <c r="A16" t="s">
        <v>444</v>
      </c>
      <c r="B16" s="21"/>
      <c r="C16" s="21"/>
      <c r="D16" s="23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2"/>
      <c r="S16" s="22"/>
      <c r="T16" s="22"/>
      <c r="U16" s="22"/>
      <c r="V16" s="22"/>
      <c r="W16" s="22"/>
      <c r="X16" s="22"/>
    </row>
    <row r="17" spans="1:24" s="315" customFormat="1" x14ac:dyDescent="0.2">
      <c r="A17" s="315" t="s">
        <v>374</v>
      </c>
      <c r="B17" s="21"/>
      <c r="C17" s="21"/>
      <c r="D17" s="23"/>
      <c r="E17" s="21"/>
      <c r="F17" s="21"/>
      <c r="G17" s="21"/>
      <c r="H17" s="21"/>
      <c r="I17" s="21"/>
      <c r="J17" s="21"/>
      <c r="K17" s="21"/>
      <c r="L17" s="23" t="s">
        <v>185</v>
      </c>
      <c r="M17" s="21"/>
      <c r="N17" s="21"/>
      <c r="O17" s="21"/>
      <c r="P17" s="21"/>
      <c r="Q17" s="21"/>
      <c r="R17" s="22"/>
      <c r="S17" s="22"/>
      <c r="T17" s="22"/>
      <c r="U17" s="22"/>
      <c r="V17" s="22"/>
      <c r="W17" s="22"/>
      <c r="X17" s="22"/>
    </row>
    <row r="18" spans="1:24" x14ac:dyDescent="0.2">
      <c r="A18" t="s">
        <v>1036</v>
      </c>
      <c r="B18" s="21"/>
      <c r="C18" s="21"/>
      <c r="D18" s="21"/>
      <c r="E18" s="21"/>
      <c r="F18" s="21"/>
      <c r="G18" s="21"/>
      <c r="H18" s="21"/>
      <c r="I18" s="21"/>
      <c r="J18" s="21"/>
      <c r="K18" s="21"/>
      <c r="M18" s="21"/>
      <c r="N18" s="23"/>
      <c r="O18" s="21"/>
      <c r="P18" s="21"/>
      <c r="Q18" s="21"/>
      <c r="R18" s="22"/>
      <c r="S18" s="22"/>
      <c r="T18" s="22"/>
      <c r="U18" s="22"/>
      <c r="V18" s="22"/>
      <c r="W18" s="22"/>
      <c r="X18" s="22"/>
    </row>
    <row r="19" spans="1:24" x14ac:dyDescent="0.2">
      <c r="A19" t="s">
        <v>394</v>
      </c>
      <c r="B19" s="12" t="s">
        <v>185</v>
      </c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</row>
    <row r="20" spans="1:24" x14ac:dyDescent="0.2">
      <c r="A20" t="s">
        <v>395</v>
      </c>
      <c r="B20" s="12" t="s">
        <v>185</v>
      </c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 t="s">
        <v>185</v>
      </c>
      <c r="O20" s="12"/>
      <c r="P20" s="12"/>
      <c r="Q20" s="12"/>
    </row>
    <row r="21" spans="1:24" x14ac:dyDescent="0.2">
      <c r="A21" t="s">
        <v>396</v>
      </c>
      <c r="B21" s="12" t="s">
        <v>185</v>
      </c>
      <c r="C21" s="12"/>
      <c r="D21" s="12"/>
      <c r="E21" s="12"/>
      <c r="F21" s="12"/>
      <c r="G21" s="12"/>
      <c r="H21" s="12"/>
      <c r="I21" s="12"/>
      <c r="J21" s="12" t="s">
        <v>185</v>
      </c>
      <c r="K21" s="12"/>
      <c r="L21" s="12"/>
      <c r="M21" s="12"/>
      <c r="N21" s="12"/>
      <c r="O21" s="12"/>
      <c r="P21" s="12"/>
      <c r="Q21" s="12"/>
      <c r="R21" t="s">
        <v>185</v>
      </c>
    </row>
    <row r="22" spans="1:24" x14ac:dyDescent="0.2">
      <c r="A22" t="s">
        <v>397</v>
      </c>
      <c r="B22" s="12"/>
      <c r="C22" s="12"/>
      <c r="D22" s="12" t="s">
        <v>185</v>
      </c>
      <c r="E22" s="12"/>
      <c r="F22" s="12"/>
      <c r="G22" s="12"/>
      <c r="H22" s="12"/>
      <c r="I22" s="12"/>
      <c r="J22" s="12" t="s">
        <v>185</v>
      </c>
      <c r="K22" s="12"/>
      <c r="L22" s="12"/>
      <c r="M22" s="12"/>
      <c r="N22" s="12"/>
      <c r="O22" s="12"/>
      <c r="P22" s="12" t="s">
        <v>185</v>
      </c>
      <c r="Q22" s="12"/>
      <c r="V22" t="s">
        <v>185</v>
      </c>
    </row>
    <row r="23" spans="1:24" x14ac:dyDescent="0.2">
      <c r="A23" t="s">
        <v>182</v>
      </c>
      <c r="B23" s="12" t="s">
        <v>185</v>
      </c>
      <c r="C23" s="12"/>
      <c r="D23" s="12"/>
      <c r="E23" s="12"/>
      <c r="F23" s="12" t="s">
        <v>185</v>
      </c>
      <c r="G23" s="12"/>
      <c r="H23" s="12"/>
      <c r="I23" s="12"/>
      <c r="J23" s="12" t="s">
        <v>185</v>
      </c>
      <c r="K23" s="12"/>
      <c r="L23" s="12"/>
      <c r="M23" s="12"/>
      <c r="N23" s="12" t="s">
        <v>185</v>
      </c>
      <c r="O23" s="12"/>
      <c r="P23" s="12"/>
      <c r="Q23" s="12"/>
      <c r="R23" t="s">
        <v>185</v>
      </c>
      <c r="V23" t="s">
        <v>185</v>
      </c>
    </row>
    <row r="24" spans="1:24" x14ac:dyDescent="0.2">
      <c r="A24" t="s">
        <v>183</v>
      </c>
      <c r="B24" s="12"/>
      <c r="C24" s="12" t="s">
        <v>185</v>
      </c>
      <c r="D24" s="12"/>
      <c r="E24" s="12"/>
      <c r="F24" s="12" t="s">
        <v>185</v>
      </c>
      <c r="G24" s="12"/>
      <c r="H24" s="12"/>
      <c r="I24" s="12" t="s">
        <v>185</v>
      </c>
      <c r="J24" s="12"/>
      <c r="K24" s="12"/>
      <c r="L24" s="12" t="s">
        <v>185</v>
      </c>
      <c r="M24" s="12"/>
      <c r="N24" s="12"/>
      <c r="O24" s="12" t="s">
        <v>185</v>
      </c>
      <c r="P24" s="12"/>
      <c r="Q24" s="12"/>
      <c r="R24" t="s">
        <v>185</v>
      </c>
      <c r="U24" t="s">
        <v>185</v>
      </c>
      <c r="X24" t="s">
        <v>185</v>
      </c>
    </row>
    <row r="25" spans="1:24" x14ac:dyDescent="0.2">
      <c r="A25" t="s">
        <v>184</v>
      </c>
      <c r="B25" s="12" t="s">
        <v>185</v>
      </c>
      <c r="C25" s="12"/>
      <c r="D25" s="12" t="s">
        <v>185</v>
      </c>
      <c r="E25" s="12"/>
      <c r="F25" s="12" t="s">
        <v>185</v>
      </c>
      <c r="G25" s="12"/>
      <c r="H25" s="12" t="s">
        <v>185</v>
      </c>
      <c r="I25" s="12"/>
      <c r="J25" s="12" t="s">
        <v>185</v>
      </c>
      <c r="K25" s="12"/>
      <c r="L25" s="12" t="s">
        <v>185</v>
      </c>
      <c r="M25" s="12"/>
      <c r="N25" s="12" t="s">
        <v>185</v>
      </c>
      <c r="O25" s="12"/>
      <c r="P25" s="12" t="s">
        <v>185</v>
      </c>
      <c r="Q25" s="12"/>
      <c r="R25" t="s">
        <v>185</v>
      </c>
      <c r="T25" t="s">
        <v>185</v>
      </c>
      <c r="V25" t="s">
        <v>185</v>
      </c>
      <c r="X25" t="s">
        <v>185</v>
      </c>
    </row>
    <row r="26" spans="1:24" x14ac:dyDescent="0.2">
      <c r="A26" t="s">
        <v>26</v>
      </c>
      <c r="B26" s="12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</row>
    <row r="27" spans="1:24" x14ac:dyDescent="0.2">
      <c r="B27" s="12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</row>
    <row r="28" spans="1:24" x14ac:dyDescent="0.2">
      <c r="B28" s="12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</row>
    <row r="29" spans="1:24" x14ac:dyDescent="0.2"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</row>
  </sheetData>
  <customSheetViews>
    <customSheetView guid="{33CCADFA-0D48-46A6-8927-2B2144029216}" state="veryHidden">
      <selection activeCell="A17" sqref="A17"/>
      <pageMargins left="0.75" right="0.75" top="1" bottom="1" header="0.5" footer="0.5"/>
      <pageSetup paperSize="9" orientation="portrait" r:id="rId1"/>
      <headerFooter alignWithMargins="0"/>
    </customSheetView>
  </customSheetViews>
  <phoneticPr fontId="28" type="noConversion"/>
  <pageMargins left="0.75" right="0.75" top="1" bottom="1" header="0.5" footer="0.5"/>
  <pageSetup paperSize="9" orientation="portrait" r:id="rId2"/>
  <headerFooter alignWithMargins="0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2tot6">
    <tabColor rgb="FF7030A0"/>
  </sheetPr>
  <dimension ref="A1:H49"/>
  <sheetViews>
    <sheetView zoomScaleNormal="100" workbookViewId="0">
      <selection activeCell="B7" sqref="B7"/>
    </sheetView>
  </sheetViews>
  <sheetFormatPr defaultColWidth="9.140625" defaultRowHeight="12.75" x14ac:dyDescent="0.2"/>
  <cols>
    <col min="1" max="1" width="8.7109375" style="6" customWidth="1"/>
    <col min="2" max="2" width="23.85546875" style="6" customWidth="1"/>
    <col min="3" max="3" width="9.28515625" style="6" bestFit="1" customWidth="1"/>
    <col min="4" max="6" width="10.7109375" style="6" customWidth="1"/>
    <col min="7" max="7" width="9.140625" style="6"/>
    <col min="8" max="8" width="14.7109375" style="6" customWidth="1"/>
    <col min="9" max="16384" width="9.140625" style="6"/>
  </cols>
  <sheetData>
    <row r="1" spans="1:8" x14ac:dyDescent="0.2">
      <c r="A1" s="369" t="s">
        <v>252</v>
      </c>
      <c r="F1" s="1" t="s">
        <v>47</v>
      </c>
    </row>
    <row r="3" spans="1:8" x14ac:dyDescent="0.2">
      <c r="A3" s="6" t="s">
        <v>253</v>
      </c>
      <c r="B3" s="36">
        <f ca="1">TODAY()</f>
        <v>42750</v>
      </c>
      <c r="F3" s="41">
        <f>__0_PatNum</f>
        <v>0</v>
      </c>
      <c r="G3" s="42"/>
      <c r="H3" s="43"/>
    </row>
    <row r="4" spans="1:8" x14ac:dyDescent="0.2">
      <c r="F4" s="44" t="str">
        <f>__2_AchterNaam&amp;",  "&amp;__3_VoorNaam</f>
        <v xml:space="preserve">,  </v>
      </c>
      <c r="G4" s="45"/>
      <c r="H4" s="46"/>
    </row>
    <row r="5" spans="1:8" x14ac:dyDescent="0.2">
      <c r="A5" s="6" t="s">
        <v>254</v>
      </c>
      <c r="B5" s="6" t="s">
        <v>379</v>
      </c>
      <c r="F5" s="47">
        <f>__4_GebDatum</f>
        <v>1462</v>
      </c>
      <c r="G5" s="45"/>
      <c r="H5" s="46"/>
    </row>
    <row r="6" spans="1:8" x14ac:dyDescent="0.2">
      <c r="A6" s="360" t="s">
        <v>518</v>
      </c>
      <c r="B6" s="6">
        <f>__1_Bed</f>
        <v>0</v>
      </c>
      <c r="F6" s="44" t="s">
        <v>274</v>
      </c>
      <c r="G6" s="45" t="str">
        <f>_Pat_Gewicht/10&amp;" kg"</f>
        <v>0 kg</v>
      </c>
      <c r="H6" s="46"/>
    </row>
    <row r="7" spans="1:8" x14ac:dyDescent="0.2">
      <c r="A7" s="6" t="s">
        <v>321</v>
      </c>
      <c r="B7" s="6" t="s">
        <v>255</v>
      </c>
      <c r="F7" s="48"/>
      <c r="G7" s="40"/>
      <c r="H7" s="49"/>
    </row>
    <row r="8" spans="1:8" x14ac:dyDescent="0.2">
      <c r="A8" s="6" t="s">
        <v>290</v>
      </c>
      <c r="B8" s="6" t="s">
        <v>255</v>
      </c>
    </row>
    <row r="10" spans="1:8" ht="13.5" thickBot="1" x14ac:dyDescent="0.25">
      <c r="A10" s="6" t="str">
        <f>IF(_Pat_Gewicht/10&lt;7,"Tot. hoev. vocht* (150 ml/kg/24 uur):","Tot. hoev. vocht* (110-90 ml/kg/24 uur):")</f>
        <v>Tot. hoev. vocht* (150 ml/kg/24 uur):</v>
      </c>
      <c r="C10" s="6">
        <f>PedBerTPN!F24</f>
        <v>0</v>
      </c>
      <c r="D10" s="6" t="s">
        <v>322</v>
      </c>
    </row>
    <row r="11" spans="1:8" ht="13.5" thickTop="1" x14ac:dyDescent="0.2">
      <c r="A11" s="920" t="s">
        <v>16</v>
      </c>
      <c r="B11" s="921"/>
      <c r="C11" s="921"/>
      <c r="D11" s="921"/>
      <c r="E11" s="921"/>
      <c r="F11" s="921"/>
      <c r="G11" s="921"/>
      <c r="H11" s="922"/>
    </row>
    <row r="12" spans="1:8" ht="25.5" x14ac:dyDescent="0.2">
      <c r="A12" s="25" t="s">
        <v>308</v>
      </c>
      <c r="B12" s="923" t="s">
        <v>172</v>
      </c>
      <c r="C12" s="925"/>
      <c r="D12" s="927" t="s">
        <v>173</v>
      </c>
      <c r="E12" s="927" t="s">
        <v>174</v>
      </c>
      <c r="F12" s="927" t="s">
        <v>175</v>
      </c>
      <c r="G12" s="26"/>
      <c r="H12" s="26" t="s">
        <v>176</v>
      </c>
    </row>
    <row r="13" spans="1:8" ht="25.5" x14ac:dyDescent="0.2">
      <c r="A13" s="27" t="s">
        <v>177</v>
      </c>
      <c r="B13" s="924"/>
      <c r="C13" s="926"/>
      <c r="D13" s="928"/>
      <c r="E13" s="928"/>
      <c r="F13" s="928"/>
      <c r="G13" s="26" t="s">
        <v>178</v>
      </c>
      <c r="H13" s="28" t="s">
        <v>179</v>
      </c>
    </row>
    <row r="14" spans="1:8" ht="20.100000000000001" customHeight="1" x14ac:dyDescent="0.2">
      <c r="A14" s="909" t="str">
        <f>IF(_Ped_TPN_Keuze&lt;&gt;1,ROUND(G21/24,1)&amp;" ml/u","")</f>
        <v/>
      </c>
      <c r="B14" s="59" t="s">
        <v>34</v>
      </c>
      <c r="C14" s="60"/>
      <c r="D14" s="60" t="s">
        <v>180</v>
      </c>
      <c r="E14" s="60" t="s">
        <v>180</v>
      </c>
      <c r="F14" s="61" t="s">
        <v>180</v>
      </c>
      <c r="G14" s="62" t="str">
        <f>IF(AND(_Ped_TPN_Keuze&lt;&gt;1,G16&lt;&gt;0,_Pat_Gewicht/10&lt;=50),ROUND(PedBerTPN!F7,0),"")</f>
        <v/>
      </c>
      <c r="H14" s="54"/>
    </row>
    <row r="15" spans="1:8" ht="20.100000000000001" customHeight="1" x14ac:dyDescent="0.2">
      <c r="A15" s="910"/>
      <c r="B15" s="63" t="s">
        <v>404</v>
      </c>
      <c r="C15" s="64"/>
      <c r="D15" s="64" t="s">
        <v>43</v>
      </c>
      <c r="E15" s="64" t="s">
        <v>81</v>
      </c>
      <c r="F15" s="65" t="s">
        <v>81</v>
      </c>
      <c r="G15" s="62" t="str">
        <f>IF(AND(_Ped_TPN_Keuze&lt;&gt;1,G16&lt;&gt;0,_Pat_Gewicht/10&lt;=50),ROUND(PedBerTPN!F8,0),"")</f>
        <v/>
      </c>
      <c r="H15" s="54"/>
    </row>
    <row r="16" spans="1:8" ht="20.100000000000001" customHeight="1" x14ac:dyDescent="0.2">
      <c r="A16" s="25"/>
      <c r="B16" s="63" t="s">
        <v>405</v>
      </c>
      <c r="C16" s="64"/>
      <c r="D16" s="64" t="s">
        <v>181</v>
      </c>
      <c r="E16" s="64" t="s">
        <v>44</v>
      </c>
      <c r="F16" s="65" t="s">
        <v>45</v>
      </c>
      <c r="G16" s="66" t="str">
        <f>IF(_Ped_TPN_Keuze&lt;&gt;1,PedBerTPN!F4,"")</f>
        <v/>
      </c>
      <c r="H16" s="54"/>
    </row>
    <row r="17" spans="1:8" ht="20.100000000000001" customHeight="1" x14ac:dyDescent="0.2">
      <c r="A17" s="25"/>
      <c r="B17" s="63" t="s">
        <v>303</v>
      </c>
      <c r="C17" s="64"/>
      <c r="D17" s="64" t="s">
        <v>46</v>
      </c>
      <c r="E17" s="64"/>
      <c r="F17" s="65"/>
      <c r="G17" s="66" t="str">
        <f>IF(AND(_Ped_TPN_SST1Keuze=2,_Ped_TPN_Keuze&lt;&gt;1,_Pat_Gewicht/10&lt;=50),ROUND(PedBerTPN!F6,0),"")</f>
        <v/>
      </c>
      <c r="H17" s="54"/>
    </row>
    <row r="18" spans="1:8" ht="20.100000000000001" customHeight="1" x14ac:dyDescent="0.2">
      <c r="A18" s="25"/>
      <c r="B18" s="63" t="s">
        <v>406</v>
      </c>
      <c r="C18" s="64"/>
      <c r="D18" s="64"/>
      <c r="E18" s="64" t="s">
        <v>48</v>
      </c>
      <c r="F18" s="65"/>
      <c r="G18" s="66" t="str">
        <f>IF(AND(_Ped_TPN_SST1Keuze=3,_Ped_TPN_Keuze&lt;&gt;1,_Pat_Gewicht/10&lt;=50),ROUND(PedBerTPN!F6,0),"")</f>
        <v/>
      </c>
      <c r="H18" s="54"/>
    </row>
    <row r="19" spans="1:8" ht="20.100000000000001" customHeight="1" x14ac:dyDescent="0.2">
      <c r="A19" s="25"/>
      <c r="B19" s="63" t="s">
        <v>84</v>
      </c>
      <c r="C19" s="64"/>
      <c r="D19" s="64"/>
      <c r="E19" s="64"/>
      <c r="F19" s="65" t="s">
        <v>49</v>
      </c>
      <c r="G19" s="66" t="str">
        <f>IF(AND(_Ped_TPN_SST1Keuze=5,_Ped_TPN_Keuze&lt;&gt;1,_Pat_Gewicht/10&lt;=50),ROUND(PedBerTPN!F6,0),"")</f>
        <v/>
      </c>
      <c r="H19" s="54"/>
    </row>
    <row r="20" spans="1:8" ht="20.100000000000001" customHeight="1" x14ac:dyDescent="0.2">
      <c r="A20" s="25"/>
      <c r="B20" s="63" t="str">
        <f>IF(AND(_Ped_TPN_Keuze=2,_Ped_TPN_SST1Keuze&lt;&gt;2,_Ped_TPN_SST1Keuze&lt;&gt;3,_Ped_TPN_SST1Keuze&lt;&gt;5,_Ped_TPN_SST1Keuze&lt;11),INDEX(tblSSTGlucose,_Ped_TPN_SST1Keuze,1),"Glucose       %")</f>
        <v>Glucose       %</v>
      </c>
      <c r="C20" s="64"/>
      <c r="D20" s="64"/>
      <c r="E20" s="64"/>
      <c r="F20" s="65"/>
      <c r="G20" s="66" t="str">
        <f>IF(AND(_Ped_TPN_Keuze&lt;&gt;1,B20&lt;&gt;"",_Pat_Gewicht/10&lt;=50),IF(AND(_Ped_TPN_SST1Keuze&lt;&gt;2,_Ped_TPN_SST1Keuze&lt;&gt;3,_Ped_TPN_SST1Keuze&lt;&gt;5,_Ped_TPN_SST1Keuze&lt;11),ROUND(PedBerTPN!F6,0),""),"")</f>
        <v/>
      </c>
      <c r="H20" s="54"/>
    </row>
    <row r="21" spans="1:8" ht="15.95" customHeight="1" x14ac:dyDescent="0.2">
      <c r="A21" s="25"/>
      <c r="B21" s="35"/>
      <c r="C21" s="35"/>
      <c r="D21" s="35"/>
      <c r="E21" s="913" t="s">
        <v>219</v>
      </c>
      <c r="F21" s="913"/>
      <c r="G21" s="55">
        <f>SUM(G14:G20)+IF(AND(_Pat_Gewicht/10&gt;=16,_Pat_Gewicht/10&lt;=50),PedBerTPN!F5,0)</f>
        <v>0</v>
      </c>
      <c r="H21" s="54"/>
    </row>
    <row r="22" spans="1:8" ht="15.95" customHeight="1" x14ac:dyDescent="0.2">
      <c r="A22" s="25"/>
      <c r="B22" s="30"/>
      <c r="C22" s="30"/>
      <c r="D22" s="30"/>
      <c r="E22" s="30"/>
      <c r="F22" s="30"/>
      <c r="G22" s="30"/>
      <c r="H22" s="26"/>
    </row>
    <row r="23" spans="1:8" ht="20.100000000000001" customHeight="1" x14ac:dyDescent="0.2">
      <c r="A23" s="907" t="str">
        <f>IF(G26&gt;0,ROUND(G26/24,1)&amp;" ml/u","")</f>
        <v/>
      </c>
      <c r="B23" s="59" t="s">
        <v>199</v>
      </c>
      <c r="C23" s="60"/>
      <c r="D23" s="60" t="s">
        <v>386</v>
      </c>
      <c r="E23" s="60" t="s">
        <v>387</v>
      </c>
      <c r="F23" s="61" t="s">
        <v>181</v>
      </c>
      <c r="G23" s="62">
        <f>ROUND(PedBerTPN!F13,0)</f>
        <v>0</v>
      </c>
      <c r="H23" s="31"/>
    </row>
    <row r="24" spans="1:8" ht="20.100000000000001" customHeight="1" x14ac:dyDescent="0.2">
      <c r="A24" s="908"/>
      <c r="B24" s="63" t="s">
        <v>200</v>
      </c>
      <c r="C24" s="64"/>
      <c r="D24" s="64"/>
      <c r="E24" s="914" t="s">
        <v>291</v>
      </c>
      <c r="F24" s="915"/>
      <c r="G24" s="66">
        <f>ROUND(PedBerTPN!F14,0)</f>
        <v>0</v>
      </c>
      <c r="H24" s="26"/>
    </row>
    <row r="25" spans="1:8" ht="20.100000000000001" customHeight="1" x14ac:dyDescent="0.2">
      <c r="A25" s="25"/>
      <c r="B25" s="63"/>
      <c r="C25" s="64"/>
      <c r="D25" s="64"/>
      <c r="E25" s="914"/>
      <c r="F25" s="915"/>
      <c r="G25" s="66"/>
      <c r="H25" s="26"/>
    </row>
    <row r="26" spans="1:8" ht="15.95" customHeight="1" x14ac:dyDescent="0.2">
      <c r="A26" s="25"/>
      <c r="B26" s="52"/>
      <c r="C26" s="52"/>
      <c r="D26" s="52"/>
      <c r="E26" s="916" t="s">
        <v>219</v>
      </c>
      <c r="F26" s="916"/>
      <c r="G26" s="57">
        <f>SUM(G23:G25)</f>
        <v>0</v>
      </c>
      <c r="H26" s="53"/>
    </row>
    <row r="27" spans="1:8" ht="15.95" customHeight="1" thickBot="1" x14ac:dyDescent="0.25">
      <c r="A27" s="25"/>
      <c r="B27" s="52"/>
      <c r="C27" s="52"/>
      <c r="D27" s="52"/>
      <c r="E27" s="52"/>
      <c r="F27" s="52"/>
      <c r="G27" s="30"/>
      <c r="H27" s="26"/>
    </row>
    <row r="28" spans="1:8" ht="15.95" customHeight="1" thickTop="1" x14ac:dyDescent="0.2">
      <c r="A28" s="32"/>
      <c r="B28" s="911" t="s">
        <v>115</v>
      </c>
      <c r="C28" s="912"/>
      <c r="D28" s="912"/>
      <c r="E28" s="912"/>
      <c r="F28" s="912"/>
      <c r="G28" s="50"/>
      <c r="H28" s="33"/>
    </row>
    <row r="29" spans="1:8" ht="20.100000000000001" customHeight="1" x14ac:dyDescent="0.2">
      <c r="A29" s="907" t="str">
        <f>IF(G36&gt;0,ROUND(G36/24,1)&amp;" ml/u","")</f>
        <v/>
      </c>
      <c r="B29" s="70" t="s">
        <v>34</v>
      </c>
      <c r="C29" s="72"/>
      <c r="D29" s="72"/>
      <c r="E29" s="72"/>
      <c r="F29" s="73"/>
      <c r="G29" s="62">
        <f>IF(AND(OR(_Ped_TPN_Keuze=1,AND(_Ped_TPN_Keuze=2,_Ped_TPN_SST1Keuze&gt;10),_Pat_Gewicht/10&gt;50)),ROUND(PedBerTPN!F7,0),0)</f>
        <v>0</v>
      </c>
      <c r="H29" s="26"/>
    </row>
    <row r="30" spans="1:8" ht="20.100000000000001" customHeight="1" x14ac:dyDescent="0.2">
      <c r="A30" s="908"/>
      <c r="B30" s="71" t="s">
        <v>407</v>
      </c>
      <c r="C30" s="74"/>
      <c r="D30" s="74"/>
      <c r="E30" s="74"/>
      <c r="F30" s="75"/>
      <c r="G30" s="66">
        <f>IF(AND(OR(_Ped_TPN_Keuze=1,AND(_Ped_TPN_Keuze=2,_Ped_TPN_SST1Keuze&gt;10),_Pat_Gewicht/10&gt;50)),ROUND(PedBerTPN!F8,0),0)</f>
        <v>0</v>
      </c>
      <c r="H30" s="26"/>
    </row>
    <row r="31" spans="1:8" ht="20.100000000000001" customHeight="1" x14ac:dyDescent="0.2">
      <c r="A31" s="25"/>
      <c r="B31" s="71" t="s">
        <v>427</v>
      </c>
      <c r="C31" s="74"/>
      <c r="D31" s="74"/>
      <c r="E31" s="74"/>
      <c r="F31" s="75"/>
      <c r="G31" s="66">
        <f>PedBerTPN!F9</f>
        <v>0</v>
      </c>
      <c r="H31" s="26"/>
    </row>
    <row r="32" spans="1:8" ht="20.100000000000001" customHeight="1" x14ac:dyDescent="0.2">
      <c r="A32" s="25"/>
      <c r="B32" s="71" t="s">
        <v>428</v>
      </c>
      <c r="C32" s="74"/>
      <c r="D32" s="74"/>
      <c r="E32" s="74"/>
      <c r="F32" s="75"/>
      <c r="G32" s="66">
        <f>PedBerTPN!F10</f>
        <v>0</v>
      </c>
      <c r="H32" s="26"/>
    </row>
    <row r="33" spans="1:8" ht="20.100000000000001" customHeight="1" x14ac:dyDescent="0.2">
      <c r="A33" s="25"/>
      <c r="B33" s="71" t="s">
        <v>303</v>
      </c>
      <c r="C33" s="74"/>
      <c r="D33" s="74"/>
      <c r="E33" s="74"/>
      <c r="F33" s="75"/>
      <c r="G33" s="66">
        <f>IF(_Pat_Gewicht/10&lt;=50,PedBerTPN!F17,0)+IF(AND(_Ped_TPN_SST1Keuze=2,_Ped_TPN_Keuze=1,_Pat_Gewicht/10&lt;=50),ROUND(PedBerTPN!F6,0),0)</f>
        <v>0</v>
      </c>
      <c r="H33" s="26"/>
    </row>
    <row r="34" spans="1:8" ht="20.100000000000001" customHeight="1" x14ac:dyDescent="0.2">
      <c r="A34" s="25"/>
      <c r="B34" s="71">
        <f>IF(AND(OR(_Ped_TPN_Keuze=1,AND(_Ped_TPN_Keuze=2,_Ped_TPN_SST1Keuze&gt;10)),_Ped_TPN_SST1Keuze&lt;&gt;11,_Ped_TPN_SST1Keuze&lt;&gt;2),INDEX(tblSSTGlucose,_Ped_TPN_SST1Keuze,1),"Glucose       %")</f>
        <v>0</v>
      </c>
      <c r="C34" s="74"/>
      <c r="D34" s="74"/>
      <c r="E34" s="74"/>
      <c r="F34" s="75"/>
      <c r="G34" s="66">
        <f>IF(AND(OR(_Ped_TPN_Keuze=1,AND(_Ped_TPN_Keuze=2,_Ped_TPN_SST1Keuze&gt;10),_Pat_Gewicht/10&gt;50),_Ped_TPN_SST1Keuze&lt;&gt;2,_Ped_TPN_SST1Keuze&lt;&gt;11),ROUND(PedBerTPN!F6,0),"")</f>
        <v>0</v>
      </c>
      <c r="H34" s="26"/>
    </row>
    <row r="35" spans="1:8" ht="20.100000000000001" customHeight="1" x14ac:dyDescent="0.2">
      <c r="A35" s="25"/>
      <c r="B35" s="70" t="s">
        <v>408</v>
      </c>
      <c r="C35" s="72"/>
      <c r="D35" s="72"/>
      <c r="E35" s="72"/>
      <c r="F35" s="73"/>
      <c r="G35" s="66" t="str">
        <f>IF(AND(_Ped_TPN_SST1Keuze=11),ROUND(PedBerTPN!F6,0),"")</f>
        <v/>
      </c>
      <c r="H35" s="26"/>
    </row>
    <row r="36" spans="1:8" ht="15.95" customHeight="1" x14ac:dyDescent="0.2">
      <c r="A36" s="25"/>
      <c r="B36" s="52"/>
      <c r="C36" s="52"/>
      <c r="D36" s="52"/>
      <c r="E36" s="916" t="s">
        <v>221</v>
      </c>
      <c r="F36" s="916"/>
      <c r="G36" s="56">
        <f>SUM(G29:G35)</f>
        <v>0</v>
      </c>
      <c r="H36" s="26"/>
    </row>
    <row r="37" spans="1:8" ht="15.95" customHeight="1" thickBot="1" x14ac:dyDescent="0.25">
      <c r="A37" s="25"/>
      <c r="B37" s="52"/>
      <c r="C37" s="52"/>
      <c r="D37" s="52"/>
      <c r="E37" s="52"/>
      <c r="F37" s="52"/>
      <c r="G37" s="30"/>
      <c r="H37" s="26"/>
    </row>
    <row r="38" spans="1:8" ht="15.95" customHeight="1" thickTop="1" x14ac:dyDescent="0.2">
      <c r="A38" s="32"/>
      <c r="B38" s="917" t="s">
        <v>245</v>
      </c>
      <c r="C38" s="918"/>
      <c r="D38" s="918"/>
      <c r="E38" s="918"/>
      <c r="F38" s="919"/>
      <c r="G38" s="33" t="s">
        <v>246</v>
      </c>
      <c r="H38" s="33"/>
    </row>
    <row r="39" spans="1:8" ht="15.95" customHeight="1" x14ac:dyDescent="0.2">
      <c r="A39" s="34"/>
      <c r="B39" s="904" t="s">
        <v>247</v>
      </c>
      <c r="C39" s="905"/>
      <c r="D39" s="905"/>
      <c r="E39" s="905"/>
      <c r="F39" s="906"/>
      <c r="G39" s="28" t="s">
        <v>248</v>
      </c>
      <c r="H39" s="26"/>
    </row>
    <row r="40" spans="1:8" ht="15.95" customHeight="1" x14ac:dyDescent="0.2">
      <c r="A40" s="34"/>
      <c r="B40" s="904" t="s">
        <v>249</v>
      </c>
      <c r="C40" s="905"/>
      <c r="D40" s="905"/>
      <c r="E40" s="905"/>
      <c r="F40" s="906"/>
      <c r="G40" s="28" t="s">
        <v>246</v>
      </c>
      <c r="H40" s="29"/>
    </row>
    <row r="42" spans="1:8" x14ac:dyDescent="0.2">
      <c r="A42" s="6" t="s">
        <v>250</v>
      </c>
    </row>
    <row r="43" spans="1:8" x14ac:dyDescent="0.2">
      <c r="A43" s="6" t="s">
        <v>220</v>
      </c>
    </row>
    <row r="45" spans="1:8" x14ac:dyDescent="0.2">
      <c r="A45" s="6" t="s">
        <v>251</v>
      </c>
    </row>
    <row r="47" spans="1:8" x14ac:dyDescent="0.2">
      <c r="A47" s="6" t="s">
        <v>80</v>
      </c>
    </row>
    <row r="49" spans="6:6" x14ac:dyDescent="0.2">
      <c r="F49" s="1"/>
    </row>
  </sheetData>
  <customSheetViews>
    <customSheetView guid="{33CCADFA-0D48-46A6-8927-2B2144029216}">
      <selection activeCell="B12" sqref="B12:B13"/>
      <rowBreaks count="1" manualBreakCount="1">
        <brk id="48" max="7" man="1"/>
      </rowBreaks>
      <pageMargins left="0.39" right="0.26" top="0.42" bottom="0.49" header="0.22" footer="0.24"/>
      <pageSetup paperSize="9" orientation="portrait" horizontalDpi="300" r:id="rId1"/>
      <headerFooter alignWithMargins="0">
        <oddHeader>&amp;LUitgeprint: &amp;D &amp;T&amp;CBed 1.2</oddHeader>
      </headerFooter>
    </customSheetView>
  </customSheetViews>
  <mergeCells count="18">
    <mergeCell ref="A11:H11"/>
    <mergeCell ref="B12:B13"/>
    <mergeCell ref="C12:C13"/>
    <mergeCell ref="D12:D13"/>
    <mergeCell ref="E12:E13"/>
    <mergeCell ref="F12:F13"/>
    <mergeCell ref="B40:F40"/>
    <mergeCell ref="A29:A30"/>
    <mergeCell ref="A14:A15"/>
    <mergeCell ref="A23:A24"/>
    <mergeCell ref="B28:F28"/>
    <mergeCell ref="E21:F21"/>
    <mergeCell ref="E24:F24"/>
    <mergeCell ref="E25:F25"/>
    <mergeCell ref="E26:F26"/>
    <mergeCell ref="E36:F36"/>
    <mergeCell ref="B38:F38"/>
    <mergeCell ref="B39:F39"/>
  </mergeCells>
  <phoneticPr fontId="28" type="noConversion"/>
  <pageMargins left="0.39" right="0.26" top="0.42" bottom="0.49" header="0.22" footer="0.24"/>
  <pageSetup paperSize="9" orientation="portrait" horizontalDpi="300" r:id="rId2"/>
  <headerFooter alignWithMargins="0">
    <oddHeader>&amp;LUitgeprint: &amp;D &amp;T&amp;CBed 1.2</oddHeader>
  </headerFooter>
  <rowBreaks count="1" manualBreakCount="1">
    <brk id="48" max="7" man="1"/>
  </rowBreak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7tot15">
    <tabColor rgb="FF7030A0"/>
  </sheetPr>
  <dimension ref="A1:H51"/>
  <sheetViews>
    <sheetView zoomScaleNormal="100" workbookViewId="0"/>
  </sheetViews>
  <sheetFormatPr defaultColWidth="9.140625" defaultRowHeight="12.75" x14ac:dyDescent="0.2"/>
  <cols>
    <col min="1" max="1" width="8.7109375" style="6" customWidth="1"/>
    <col min="2" max="2" width="23.85546875" style="6" customWidth="1"/>
    <col min="3" max="3" width="9.28515625" style="6" bestFit="1" customWidth="1"/>
    <col min="4" max="6" width="10.7109375" style="6" customWidth="1"/>
    <col min="7" max="7" width="9.140625" style="6"/>
    <col min="8" max="8" width="14.7109375" style="6" customWidth="1"/>
    <col min="9" max="16384" width="9.140625" style="6"/>
  </cols>
  <sheetData>
    <row r="1" spans="1:8" x14ac:dyDescent="0.2">
      <c r="A1" s="369" t="s">
        <v>252</v>
      </c>
      <c r="F1" s="1" t="s">
        <v>105</v>
      </c>
    </row>
    <row r="3" spans="1:8" x14ac:dyDescent="0.2">
      <c r="A3" s="6" t="s">
        <v>253</v>
      </c>
      <c r="B3" s="36">
        <f ca="1">TODAY()</f>
        <v>42750</v>
      </c>
      <c r="F3" s="41">
        <f>__0_PatNum</f>
        <v>0</v>
      </c>
      <c r="G3" s="42"/>
      <c r="H3" s="43"/>
    </row>
    <row r="4" spans="1:8" x14ac:dyDescent="0.2">
      <c r="F4" s="44" t="str">
        <f>__2_AchterNaam&amp;",  "&amp;__3_VoorNaam</f>
        <v xml:space="preserve">,  </v>
      </c>
      <c r="G4" s="45"/>
      <c r="H4" s="46"/>
    </row>
    <row r="5" spans="1:8" x14ac:dyDescent="0.2">
      <c r="A5" s="6" t="s">
        <v>254</v>
      </c>
      <c r="B5" s="6" t="s">
        <v>379</v>
      </c>
      <c r="F5" s="47">
        <f>__4_GebDatum</f>
        <v>1462</v>
      </c>
      <c r="G5" s="45"/>
      <c r="H5" s="46"/>
    </row>
    <row r="6" spans="1:8" x14ac:dyDescent="0.2">
      <c r="A6" s="360" t="s">
        <v>518</v>
      </c>
      <c r="B6" s="6">
        <f>__1_Bed</f>
        <v>0</v>
      </c>
      <c r="F6" s="44" t="s">
        <v>274</v>
      </c>
      <c r="G6" s="45" t="str">
        <f>_Pat_Gewicht/10&amp;" kg"</f>
        <v>0 kg</v>
      </c>
      <c r="H6" s="46"/>
    </row>
    <row r="7" spans="1:8" x14ac:dyDescent="0.2">
      <c r="A7" s="6" t="s">
        <v>321</v>
      </c>
      <c r="B7" s="6" t="s">
        <v>255</v>
      </c>
      <c r="F7" s="48"/>
      <c r="G7" s="40"/>
      <c r="H7" s="49"/>
    </row>
    <row r="8" spans="1:8" x14ac:dyDescent="0.2">
      <c r="A8" s="6" t="s">
        <v>290</v>
      </c>
      <c r="B8" s="6" t="s">
        <v>255</v>
      </c>
    </row>
    <row r="10" spans="1:8" ht="13.5" thickBot="1" x14ac:dyDescent="0.25">
      <c r="A10" s="6" t="str">
        <f>IF(_Pat_Gewicht/10&lt;7,"Tot. hoev. vocht* (150 ml/kg/24 uur):","Tot. hoev. vocht* (110-90 ml/kg/24 uur):")</f>
        <v>Tot. hoev. vocht* (150 ml/kg/24 uur):</v>
      </c>
      <c r="C10" s="6">
        <f>PedBerTPN!F24</f>
        <v>0</v>
      </c>
      <c r="D10" s="6" t="s">
        <v>322</v>
      </c>
    </row>
    <row r="11" spans="1:8" ht="13.5" thickTop="1" x14ac:dyDescent="0.2">
      <c r="A11" s="920" t="s">
        <v>16</v>
      </c>
      <c r="B11" s="921"/>
      <c r="C11" s="921"/>
      <c r="D11" s="921"/>
      <c r="E11" s="921"/>
      <c r="F11" s="921"/>
      <c r="G11" s="921"/>
      <c r="H11" s="922"/>
    </row>
    <row r="12" spans="1:8" ht="25.5" x14ac:dyDescent="0.2">
      <c r="A12" s="25" t="s">
        <v>308</v>
      </c>
      <c r="B12" s="923" t="s">
        <v>172</v>
      </c>
      <c r="C12" s="925"/>
      <c r="D12" s="927" t="s">
        <v>173</v>
      </c>
      <c r="E12" s="927" t="s">
        <v>174</v>
      </c>
      <c r="F12" s="927" t="s">
        <v>175</v>
      </c>
      <c r="G12" s="26"/>
      <c r="H12" s="26" t="s">
        <v>176</v>
      </c>
    </row>
    <row r="13" spans="1:8" ht="15" customHeight="1" x14ac:dyDescent="0.2">
      <c r="A13" s="27" t="s">
        <v>177</v>
      </c>
      <c r="B13" s="924"/>
      <c r="C13" s="926"/>
      <c r="D13" s="928"/>
      <c r="E13" s="928"/>
      <c r="F13" s="928"/>
      <c r="G13" s="26" t="s">
        <v>178</v>
      </c>
      <c r="H13" s="28" t="s">
        <v>179</v>
      </c>
    </row>
    <row r="14" spans="1:8" ht="20.100000000000001" customHeight="1" x14ac:dyDescent="0.2">
      <c r="A14" s="909" t="str">
        <f>IF(_Ped_TPN_Keuze&lt;&gt;1,ROUND(G22/24,1)&amp;" ml/u","")</f>
        <v/>
      </c>
      <c r="B14" s="59" t="s">
        <v>34</v>
      </c>
      <c r="C14" s="60"/>
      <c r="D14" s="60" t="s">
        <v>180</v>
      </c>
      <c r="E14" s="60" t="s">
        <v>180</v>
      </c>
      <c r="F14" s="61" t="s">
        <v>180</v>
      </c>
      <c r="G14" s="62" t="str">
        <f>IF(AND(_Ped_TPN_Keuze&lt;&gt;1,G16&lt;&gt;0),ROUND(PedBerTPN!F7,0),"")</f>
        <v/>
      </c>
      <c r="H14" s="26"/>
    </row>
    <row r="15" spans="1:8" ht="20.100000000000001" customHeight="1" x14ac:dyDescent="0.2">
      <c r="A15" s="910"/>
      <c r="B15" s="63" t="s">
        <v>404</v>
      </c>
      <c r="C15" s="64"/>
      <c r="D15" s="64" t="s">
        <v>409</v>
      </c>
      <c r="E15" s="64" t="s">
        <v>43</v>
      </c>
      <c r="F15" s="65" t="s">
        <v>43</v>
      </c>
      <c r="G15" s="62" t="str">
        <f>IF(AND(_Ped_TPN_Keuze&lt;&gt;1,G16&lt;&gt;0),ROUND(PedBerTPN!F8,0),"")</f>
        <v/>
      </c>
      <c r="H15" s="26"/>
    </row>
    <row r="16" spans="1:8" ht="20.100000000000001" customHeight="1" x14ac:dyDescent="0.2">
      <c r="A16" s="25"/>
      <c r="B16" s="63" t="s">
        <v>410</v>
      </c>
      <c r="C16" s="64"/>
      <c r="D16" s="64" t="s">
        <v>387</v>
      </c>
      <c r="E16" s="64" t="s">
        <v>411</v>
      </c>
      <c r="F16" s="65" t="s">
        <v>44</v>
      </c>
      <c r="G16" s="66" t="str">
        <f>IF(_Ped_TPN_Keuze&lt;&gt;1,PedBerTPN!F4,"")</f>
        <v/>
      </c>
      <c r="H16" s="26"/>
    </row>
    <row r="17" spans="1:8" ht="20.100000000000001" customHeight="1" x14ac:dyDescent="0.2">
      <c r="A17" s="25"/>
      <c r="B17" s="63" t="s">
        <v>303</v>
      </c>
      <c r="C17" s="64"/>
      <c r="D17" s="64" t="s">
        <v>412</v>
      </c>
      <c r="E17" s="64"/>
      <c r="F17" s="65"/>
      <c r="G17" s="66" t="str">
        <f>IF(AND(_Ped_TPN_SST1Keuze=2,_Ped_TPN_Keuze&lt;&gt;1),ROUND(PedBerTPN!F6,0),"")</f>
        <v/>
      </c>
      <c r="H17" s="26"/>
    </row>
    <row r="18" spans="1:8" ht="20.100000000000001" customHeight="1" x14ac:dyDescent="0.2">
      <c r="A18" s="25"/>
      <c r="B18" s="63" t="s">
        <v>94</v>
      </c>
      <c r="C18" s="64"/>
      <c r="D18" s="64"/>
      <c r="E18" s="64" t="s">
        <v>413</v>
      </c>
      <c r="F18" s="65"/>
      <c r="G18" s="66" t="str">
        <f>IF(AND(_Ped_TPN_SST1Keuze=6,_Ped_TPN_Keuze&lt;&gt;1),ROUND(PedBerTPN!F6,0),"")</f>
        <v/>
      </c>
      <c r="H18" s="26"/>
    </row>
    <row r="19" spans="1:8" ht="20.100000000000001" customHeight="1" x14ac:dyDescent="0.2">
      <c r="A19" s="25"/>
      <c r="B19" s="63" t="s">
        <v>414</v>
      </c>
      <c r="C19" s="64"/>
      <c r="D19" s="64"/>
      <c r="E19" s="64"/>
      <c r="F19" s="65" t="s">
        <v>415</v>
      </c>
      <c r="G19" s="66" t="str">
        <f>IF(AND(_Ped_TPN_SST1Keuze=8,_Ped_TPN_Keuze&lt;&gt;1,_Pat_Gewicht/10&lt;=10),ROUND(PedBerTPN!F6,0),"")</f>
        <v/>
      </c>
      <c r="H19" s="26"/>
    </row>
    <row r="20" spans="1:8" ht="20.100000000000001" customHeight="1" x14ac:dyDescent="0.2">
      <c r="A20" s="25"/>
      <c r="B20" s="63" t="s">
        <v>416</v>
      </c>
      <c r="C20" s="64"/>
      <c r="D20" s="64"/>
      <c r="E20" s="64"/>
      <c r="F20" s="65" t="s">
        <v>417</v>
      </c>
      <c r="G20" s="66" t="str">
        <f>IF(AND(_Ped_TPN_SST1Keuze=8,_Ped_TPN_Keuze&lt;&gt;1,_Pat_Gewicht/10&gt;10),ROUND(PedBerTPN!F6,0),"")</f>
        <v/>
      </c>
      <c r="H20" s="26"/>
    </row>
    <row r="21" spans="1:8" ht="20.100000000000001" customHeight="1" x14ac:dyDescent="0.2">
      <c r="A21" s="25"/>
      <c r="B21" s="63" t="str">
        <f>IF(AND(_Ped_TPN_Keuze=2,_Ped_TPN_SST1Keuze&lt;&gt;2,_Ped_TPN_SST1Keuze&lt;&gt;6,_Ped_TPN_SST1Keuze&lt;&gt;8,_Ped_TPN_SST1Keuze&lt;11),INDEX(tblSSTGlucose,_Ped_TPN_SST1Keuze,1),"Glucose       %")</f>
        <v>Glucose       %</v>
      </c>
      <c r="C21" s="64"/>
      <c r="D21" s="64"/>
      <c r="E21" s="64"/>
      <c r="F21" s="65"/>
      <c r="G21" s="66" t="str">
        <f>IF(AND(_Ped_TPN_Keuze&lt;&gt;1,B20&lt;&gt;""),IF(AND(_Ped_TPN_SST1Keuze&lt;&gt;2,_Ped_TPN_SST1Keuze&lt;&gt;6,_Ped_TPN_SST1Keuze&lt;&gt;8,_Ped_TPN_SST1Keuze&lt;11),ROUND(PedBerTPN!F6,0),""),"")</f>
        <v/>
      </c>
      <c r="H21" s="26"/>
    </row>
    <row r="22" spans="1:8" ht="15.95" customHeight="1" x14ac:dyDescent="0.2">
      <c r="A22" s="25"/>
      <c r="B22" s="35"/>
      <c r="C22" s="35"/>
      <c r="D22" s="35"/>
      <c r="E22" s="913" t="s">
        <v>219</v>
      </c>
      <c r="F22" s="913"/>
      <c r="G22" s="55">
        <f>SUM(G14:G21)</f>
        <v>0</v>
      </c>
      <c r="H22" s="53"/>
    </row>
    <row r="23" spans="1:8" ht="10.5" customHeight="1" x14ac:dyDescent="0.2">
      <c r="A23" s="25"/>
      <c r="B23" s="30"/>
      <c r="C23" s="30"/>
      <c r="D23" s="30"/>
      <c r="E23" s="30"/>
      <c r="F23" s="30"/>
      <c r="G23" s="30"/>
      <c r="H23" s="26"/>
    </row>
    <row r="24" spans="1:8" ht="20.100000000000001" customHeight="1" x14ac:dyDescent="0.2">
      <c r="A24" s="907" t="str">
        <f>IF(G27&gt;0,ROUND(G27/24,1)&amp;" ml/u","")</f>
        <v/>
      </c>
      <c r="B24" s="59" t="s">
        <v>199</v>
      </c>
      <c r="C24" s="60"/>
      <c r="D24" s="60" t="s">
        <v>386</v>
      </c>
      <c r="E24" s="60" t="s">
        <v>387</v>
      </c>
      <c r="F24" s="61" t="s">
        <v>181</v>
      </c>
      <c r="G24" s="62">
        <f>ROUND(PedBerTPN!F13,0)</f>
        <v>0</v>
      </c>
      <c r="H24" s="31"/>
    </row>
    <row r="25" spans="1:8" ht="20.100000000000001" customHeight="1" x14ac:dyDescent="0.2">
      <c r="A25" s="908"/>
      <c r="B25" s="63" t="s">
        <v>200</v>
      </c>
      <c r="C25" s="64"/>
      <c r="D25" s="64"/>
      <c r="E25" s="931" t="s">
        <v>371</v>
      </c>
      <c r="F25" s="932"/>
      <c r="G25" s="62">
        <f>ROUND(PedBerTPN!F14,0)</f>
        <v>0</v>
      </c>
      <c r="H25" s="26"/>
    </row>
    <row r="26" spans="1:8" ht="20.100000000000001" customHeight="1" x14ac:dyDescent="0.2">
      <c r="A26" s="25"/>
      <c r="B26" s="63" t="s">
        <v>216</v>
      </c>
      <c r="C26" s="64"/>
      <c r="D26" s="64"/>
      <c r="E26" s="931" t="s">
        <v>371</v>
      </c>
      <c r="F26" s="932"/>
      <c r="G26" s="62">
        <f>ROUND(PedBerTPN!F15,0)</f>
        <v>0</v>
      </c>
      <c r="H26" s="26"/>
    </row>
    <row r="27" spans="1:8" ht="15.95" customHeight="1" x14ac:dyDescent="0.2">
      <c r="A27" s="25"/>
      <c r="B27" s="30"/>
      <c r="C27" s="30"/>
      <c r="D27" s="30"/>
      <c r="E27" s="913" t="s">
        <v>219</v>
      </c>
      <c r="F27" s="913"/>
      <c r="G27" s="57">
        <f>SUM(G24:G26)</f>
        <v>0</v>
      </c>
      <c r="H27" s="53"/>
    </row>
    <row r="28" spans="1:8" ht="10.5" customHeight="1" thickBot="1" x14ac:dyDescent="0.25">
      <c r="A28" s="25"/>
      <c r="B28" s="30"/>
      <c r="C28" s="30"/>
      <c r="D28" s="30"/>
      <c r="E28" s="30"/>
      <c r="F28" s="30"/>
      <c r="G28" s="30"/>
      <c r="H28" s="26"/>
    </row>
    <row r="29" spans="1:8" ht="15.95" customHeight="1" thickTop="1" x14ac:dyDescent="0.2">
      <c r="A29" s="32"/>
      <c r="B29" s="929" t="s">
        <v>115</v>
      </c>
      <c r="C29" s="930"/>
      <c r="D29" s="930"/>
      <c r="E29" s="930"/>
      <c r="F29" s="930"/>
      <c r="G29" s="50"/>
      <c r="H29" s="33"/>
    </row>
    <row r="30" spans="1:8" ht="20.100000000000001" customHeight="1" x14ac:dyDescent="0.2">
      <c r="A30" s="907" t="str">
        <f>IF(G33&gt;0,ROUND(G39/24,1)&amp;" ml/u","")</f>
        <v/>
      </c>
      <c r="B30" s="70" t="s">
        <v>34</v>
      </c>
      <c r="C30" s="72"/>
      <c r="D30" s="72"/>
      <c r="E30" s="72"/>
      <c r="F30" s="76"/>
      <c r="G30" s="77">
        <f>IF(AND(OR(_Ped_TPN_Keuze=1,AND(_Ped_TPN_Keuze=2,_Ped_TPN_SST1Keuze&gt;10))),ROUND(PedBerTPN!F7,0),0)</f>
        <v>0</v>
      </c>
      <c r="H30" s="26"/>
    </row>
    <row r="31" spans="1:8" ht="20.100000000000001" customHeight="1" x14ac:dyDescent="0.2">
      <c r="A31" s="908"/>
      <c r="B31" s="71" t="s">
        <v>407</v>
      </c>
      <c r="C31" s="74"/>
      <c r="D31" s="74"/>
      <c r="E31" s="74"/>
      <c r="F31" s="78"/>
      <c r="G31" s="79">
        <f>IF(AND(OR(_Ped_TPN_Keuze=1,AND(_Ped_TPN_Keuze=2,_Ped_TPN_SST1Keuze&gt;10))),ROUND(PedBerTPN!F8,0),0)</f>
        <v>0</v>
      </c>
      <c r="H31" s="26"/>
    </row>
    <row r="32" spans="1:8" ht="20.100000000000001" customHeight="1" x14ac:dyDescent="0.2">
      <c r="A32" s="51"/>
      <c r="B32" s="71" t="s">
        <v>427</v>
      </c>
      <c r="C32" s="74"/>
      <c r="D32" s="74"/>
      <c r="E32" s="74"/>
      <c r="F32" s="78"/>
      <c r="G32" s="79">
        <f>PedBerTPN!F9</f>
        <v>0</v>
      </c>
      <c r="H32" s="26"/>
    </row>
    <row r="33" spans="1:8" ht="20.100000000000001" customHeight="1" x14ac:dyDescent="0.2">
      <c r="A33" s="51"/>
      <c r="B33" s="71" t="s">
        <v>428</v>
      </c>
      <c r="C33" s="74"/>
      <c r="D33" s="74"/>
      <c r="E33" s="74"/>
      <c r="F33" s="78"/>
      <c r="G33" s="79">
        <f>PedBerTPN!F10</f>
        <v>0</v>
      </c>
      <c r="H33" s="26"/>
    </row>
    <row r="34" spans="1:8" ht="20.100000000000001" customHeight="1" x14ac:dyDescent="0.2">
      <c r="A34" s="51"/>
      <c r="B34" s="71" t="s">
        <v>303</v>
      </c>
      <c r="C34" s="74"/>
      <c r="D34" s="74"/>
      <c r="E34" s="74"/>
      <c r="F34" s="78"/>
      <c r="G34" s="79">
        <f>PedBerTPN!F17+IF(AND(_Ped_TPN_SST1Keuze=2,_Ped_TPN_Keuze=1),ROUND(PedBerTPN!F6,0),0)</f>
        <v>0</v>
      </c>
      <c r="H34" s="26"/>
    </row>
    <row r="35" spans="1:8" ht="20.100000000000001" customHeight="1" x14ac:dyDescent="0.2">
      <c r="A35" s="25"/>
      <c r="B35" s="71">
        <f>IF(AND(OR(_Ped_TPN_Keuze=1,AND(_Ped_TPN_Keuze=2,_Ped_TPN_SST1Keuze&gt;10)),_Ped_TPN_SST1Keuze&lt;&gt;2,_Ped_TPN_SST1Keuze&lt;&gt;11,_Ped_TPN_SST1Keuze&lt;&gt;12,_Ped_TPN_SST1Keuze&lt;&gt;13),INDEX(tblSSTGlucose,_Ped_TPN_SST1Keuze,1),"Glucose       %")</f>
        <v>0</v>
      </c>
      <c r="C35" s="74"/>
      <c r="D35" s="74"/>
      <c r="E35" s="74"/>
      <c r="F35" s="78"/>
      <c r="G35" s="79">
        <f>IF(AND(OR(_Ped_TPN_Keuze=1,AND(_Ped_TPN_Keuze=2,_Ped_TPN_SST1Keuze&gt;10)),_Ped_TPN_SST1Keuze&lt;&gt;2,_Ped_TPN_SST1Keuze&lt;&gt;11,_Ped_TPN_SST1Keuze&lt;&gt;12,_Ped_TPN_SST1Keuze&lt;&gt;13),ROUND(PedBerTPN!F6,0),"")</f>
        <v>0</v>
      </c>
      <c r="H35" s="26"/>
    </row>
    <row r="36" spans="1:8" ht="20.100000000000001" customHeight="1" x14ac:dyDescent="0.2">
      <c r="A36" s="25"/>
      <c r="B36" s="939" t="s">
        <v>408</v>
      </c>
      <c r="C36" s="940"/>
      <c r="D36" s="940"/>
      <c r="E36" s="940"/>
      <c r="F36" s="78"/>
      <c r="G36" s="79" t="str">
        <f>IF(OR(_Ped_TPN_SST1Keuze=11),ROUND(PedBerTPN!F6,0),"")</f>
        <v/>
      </c>
      <c r="H36" s="26"/>
    </row>
    <row r="37" spans="1:8" ht="20.100000000000001" customHeight="1" x14ac:dyDescent="0.2">
      <c r="A37" s="25"/>
      <c r="B37" s="939" t="s">
        <v>35</v>
      </c>
      <c r="C37" s="940"/>
      <c r="D37" s="940"/>
      <c r="E37" s="940"/>
      <c r="F37" s="78"/>
      <c r="G37" s="79" t="str">
        <f>IF(AND(_Ped_TPN_SST1Keuze=12),ROUND(PedBerTPN!F6,0),"")</f>
        <v/>
      </c>
      <c r="H37" s="26"/>
    </row>
    <row r="38" spans="1:8" ht="20.100000000000001" customHeight="1" x14ac:dyDescent="0.2">
      <c r="A38" s="25"/>
      <c r="B38" s="939" t="s">
        <v>36</v>
      </c>
      <c r="C38" s="940"/>
      <c r="D38" s="940"/>
      <c r="E38" s="940"/>
      <c r="F38" s="76"/>
      <c r="G38" s="79" t="str">
        <f>IF(AND(_Ped_TPN_SST1Keuze=13),ROUND(PedBerTPN!F6,0),"")</f>
        <v/>
      </c>
      <c r="H38" s="26"/>
    </row>
    <row r="39" spans="1:8" ht="15.95" customHeight="1" x14ac:dyDescent="0.2">
      <c r="A39" s="25"/>
      <c r="B39" s="30"/>
      <c r="C39" s="30"/>
      <c r="D39" s="30"/>
      <c r="E39" s="913" t="s">
        <v>221</v>
      </c>
      <c r="F39" s="913"/>
      <c r="G39" s="56">
        <f>SUM(G30:G38)</f>
        <v>0</v>
      </c>
      <c r="H39" s="26"/>
    </row>
    <row r="40" spans="1:8" ht="10.5" customHeight="1" thickBot="1" x14ac:dyDescent="0.25">
      <c r="A40" s="25"/>
      <c r="B40" s="30"/>
      <c r="C40" s="30"/>
      <c r="D40" s="30"/>
      <c r="E40" s="30"/>
      <c r="F40" s="30"/>
      <c r="G40" s="30"/>
      <c r="H40" s="26"/>
    </row>
    <row r="41" spans="1:8" ht="15.95" customHeight="1" thickTop="1" x14ac:dyDescent="0.2">
      <c r="A41" s="32"/>
      <c r="B41" s="933" t="s">
        <v>245</v>
      </c>
      <c r="C41" s="934"/>
      <c r="D41" s="934"/>
      <c r="E41" s="934"/>
      <c r="F41" s="935"/>
      <c r="G41" s="33" t="s">
        <v>246</v>
      </c>
      <c r="H41" s="33"/>
    </row>
    <row r="42" spans="1:8" ht="15.95" customHeight="1" x14ac:dyDescent="0.2">
      <c r="A42" s="34"/>
      <c r="B42" s="936" t="s">
        <v>247</v>
      </c>
      <c r="C42" s="937"/>
      <c r="D42" s="937"/>
      <c r="E42" s="937"/>
      <c r="F42" s="938"/>
      <c r="G42" s="28" t="s">
        <v>248</v>
      </c>
      <c r="H42" s="26"/>
    </row>
    <row r="43" spans="1:8" ht="15.95" customHeight="1" x14ac:dyDescent="0.2">
      <c r="A43" s="34"/>
      <c r="B43" s="936" t="s">
        <v>249</v>
      </c>
      <c r="C43" s="937"/>
      <c r="D43" s="937"/>
      <c r="E43" s="937"/>
      <c r="F43" s="938"/>
      <c r="G43" s="28" t="s">
        <v>246</v>
      </c>
      <c r="H43" s="29"/>
    </row>
    <row r="45" spans="1:8" x14ac:dyDescent="0.2">
      <c r="A45" s="6" t="s">
        <v>250</v>
      </c>
    </row>
    <row r="46" spans="1:8" x14ac:dyDescent="0.2">
      <c r="A46" s="6" t="s">
        <v>220</v>
      </c>
    </row>
    <row r="47" spans="1:8" x14ac:dyDescent="0.2">
      <c r="A47" s="6" t="s">
        <v>251</v>
      </c>
    </row>
    <row r="49" spans="1:6" x14ac:dyDescent="0.2">
      <c r="A49" s="6" t="s">
        <v>80</v>
      </c>
    </row>
    <row r="51" spans="1:6" x14ac:dyDescent="0.2">
      <c r="F51" s="1"/>
    </row>
  </sheetData>
  <customSheetViews>
    <customSheetView guid="{33CCADFA-0D48-46A6-8927-2B2144029216}">
      <selection activeCell="G15" sqref="G15"/>
      <rowBreaks count="1" manualBreakCount="1">
        <brk id="50" max="7" man="1"/>
      </rowBreaks>
      <pageMargins left="0.44" right="0.26" top="0.35" bottom="0.34" header="0.17" footer="0.17"/>
      <pageSetup paperSize="9" orientation="portrait" horizontalDpi="300" r:id="rId1"/>
      <headerFooter alignWithMargins="0">
        <oddHeader>&amp;LUitgeprint: &amp;D &amp;T&amp;CBed 1.3</oddHeader>
      </headerFooter>
    </customSheetView>
  </customSheetViews>
  <mergeCells count="21">
    <mergeCell ref="E39:F39"/>
    <mergeCell ref="B41:F41"/>
    <mergeCell ref="B42:F42"/>
    <mergeCell ref="B43:F43"/>
    <mergeCell ref="B36:E36"/>
    <mergeCell ref="B37:E37"/>
    <mergeCell ref="B38:E38"/>
    <mergeCell ref="A30:A31"/>
    <mergeCell ref="A11:H11"/>
    <mergeCell ref="B12:B13"/>
    <mergeCell ref="C12:C13"/>
    <mergeCell ref="D12:D13"/>
    <mergeCell ref="E12:E13"/>
    <mergeCell ref="F12:F13"/>
    <mergeCell ref="A14:A15"/>
    <mergeCell ref="A24:A25"/>
    <mergeCell ref="B29:F29"/>
    <mergeCell ref="E22:F22"/>
    <mergeCell ref="E25:F25"/>
    <mergeCell ref="E26:F26"/>
    <mergeCell ref="E27:F27"/>
  </mergeCells>
  <phoneticPr fontId="28" type="noConversion"/>
  <pageMargins left="0.44" right="0.26" top="0.35" bottom="0.34" header="0.17" footer="0.17"/>
  <pageSetup paperSize="9" orientation="portrait" horizontalDpi="300" r:id="rId2"/>
  <headerFooter alignWithMargins="0">
    <oddHeader>&amp;LUitgeprint: &amp;D &amp;T&amp;CBed 1.3</oddHeader>
  </headerFooter>
  <rowBreaks count="1" manualBreakCount="1">
    <brk id="50" max="7" man="1"/>
  </rowBreak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16tot30">
    <tabColor rgb="FF7030A0"/>
  </sheetPr>
  <dimension ref="A1:H50"/>
  <sheetViews>
    <sheetView zoomScaleNormal="100" workbookViewId="0">
      <selection activeCell="B5" sqref="B5"/>
    </sheetView>
  </sheetViews>
  <sheetFormatPr defaultColWidth="9.140625" defaultRowHeight="12.75" x14ac:dyDescent="0.2"/>
  <cols>
    <col min="1" max="1" width="8.7109375" style="6" customWidth="1"/>
    <col min="2" max="2" width="23.85546875" style="6" customWidth="1"/>
    <col min="3" max="3" width="9.28515625" style="6" bestFit="1" customWidth="1"/>
    <col min="4" max="6" width="10.7109375" style="6" customWidth="1"/>
    <col min="7" max="7" width="9.140625" style="6"/>
    <col min="8" max="8" width="14.7109375" style="6" customWidth="1"/>
    <col min="9" max="16384" width="9.140625" style="6"/>
  </cols>
  <sheetData>
    <row r="1" spans="1:8" x14ac:dyDescent="0.2">
      <c r="A1" s="369" t="s">
        <v>252</v>
      </c>
      <c r="F1" s="1" t="s">
        <v>106</v>
      </c>
    </row>
    <row r="3" spans="1:8" x14ac:dyDescent="0.2">
      <c r="A3" s="6" t="s">
        <v>253</v>
      </c>
      <c r="B3" s="36">
        <f ca="1">TODAY()</f>
        <v>42750</v>
      </c>
      <c r="F3" s="41">
        <f>__0_PatNum</f>
        <v>0</v>
      </c>
      <c r="G3" s="42"/>
      <c r="H3" s="43"/>
    </row>
    <row r="4" spans="1:8" x14ac:dyDescent="0.2">
      <c r="A4" s="135" t="s">
        <v>518</v>
      </c>
      <c r="B4" s="6">
        <f>__1_Bed</f>
        <v>0</v>
      </c>
      <c r="F4" s="44" t="str">
        <f>__2_AchterNaam&amp;",  "&amp;__3_VoorNaam</f>
        <v xml:space="preserve">,  </v>
      </c>
      <c r="G4" s="45"/>
      <c r="H4" s="46"/>
    </row>
    <row r="5" spans="1:8" x14ac:dyDescent="0.2">
      <c r="A5" s="6" t="s">
        <v>254</v>
      </c>
      <c r="B5" s="6" t="s">
        <v>379</v>
      </c>
      <c r="F5" s="47">
        <f>__4_GebDatum</f>
        <v>1462</v>
      </c>
      <c r="G5" s="45"/>
      <c r="H5" s="46"/>
    </row>
    <row r="6" spans="1:8" x14ac:dyDescent="0.2">
      <c r="A6" s="369"/>
      <c r="F6" s="44" t="s">
        <v>274</v>
      </c>
      <c r="G6" s="45" t="str">
        <f>_Pat_Gewicht/10&amp;" kg"</f>
        <v>0 kg</v>
      </c>
      <c r="H6" s="46"/>
    </row>
    <row r="7" spans="1:8" x14ac:dyDescent="0.2">
      <c r="A7" s="6" t="s">
        <v>321</v>
      </c>
      <c r="B7" s="6" t="s">
        <v>255</v>
      </c>
      <c r="F7" s="48"/>
      <c r="G7" s="40"/>
      <c r="H7" s="49"/>
    </row>
    <row r="8" spans="1:8" x14ac:dyDescent="0.2">
      <c r="A8" s="6" t="s">
        <v>290</v>
      </c>
      <c r="B8" s="6" t="s">
        <v>255</v>
      </c>
    </row>
    <row r="10" spans="1:8" ht="13.5" thickBot="1" x14ac:dyDescent="0.25">
      <c r="A10" s="6" t="s">
        <v>360</v>
      </c>
      <c r="C10" s="6">
        <f>PedBerTPN!F24</f>
        <v>0</v>
      </c>
      <c r="D10" s="6" t="s">
        <v>322</v>
      </c>
    </row>
    <row r="11" spans="1:8" ht="13.5" thickTop="1" x14ac:dyDescent="0.2">
      <c r="A11" s="920" t="s">
        <v>16</v>
      </c>
      <c r="B11" s="921"/>
      <c r="C11" s="921"/>
      <c r="D11" s="921"/>
      <c r="E11" s="921"/>
      <c r="F11" s="921"/>
      <c r="G11" s="921"/>
      <c r="H11" s="922"/>
    </row>
    <row r="12" spans="1:8" ht="25.5" x14ac:dyDescent="0.2">
      <c r="A12" s="25" t="s">
        <v>308</v>
      </c>
      <c r="B12" s="923" t="s">
        <v>172</v>
      </c>
      <c r="C12" s="925"/>
      <c r="D12" s="927" t="s">
        <v>173</v>
      </c>
      <c r="E12" s="927" t="s">
        <v>174</v>
      </c>
      <c r="F12" s="927" t="s">
        <v>175</v>
      </c>
      <c r="G12" s="26"/>
      <c r="H12" s="26" t="s">
        <v>176</v>
      </c>
    </row>
    <row r="13" spans="1:8" ht="25.5" x14ac:dyDescent="0.2">
      <c r="A13" s="27" t="s">
        <v>177</v>
      </c>
      <c r="B13" s="924"/>
      <c r="C13" s="926"/>
      <c r="D13" s="928"/>
      <c r="E13" s="928"/>
      <c r="F13" s="928"/>
      <c r="G13" s="26" t="s">
        <v>178</v>
      </c>
      <c r="H13" s="28" t="s">
        <v>179</v>
      </c>
    </row>
    <row r="14" spans="1:8" ht="20.100000000000001" customHeight="1" x14ac:dyDescent="0.2">
      <c r="A14" s="909" t="str">
        <f>IF(_Ped_TPN_Keuze&lt;&gt;1,ROUND(G22/24,1)&amp;" ml/u","")</f>
        <v/>
      </c>
      <c r="B14" s="59" t="s">
        <v>34</v>
      </c>
      <c r="C14" s="60"/>
      <c r="D14" s="60" t="s">
        <v>180</v>
      </c>
      <c r="E14" s="60" t="s">
        <v>180</v>
      </c>
      <c r="F14" s="61" t="s">
        <v>180</v>
      </c>
      <c r="G14" s="62" t="str">
        <f>IF(AND(_Ped_TPN_Keuze&lt;&gt;1,G16&lt;&gt;0),ROUND(PedBerTPN!F7,0),"")</f>
        <v/>
      </c>
      <c r="H14" s="26"/>
    </row>
    <row r="15" spans="1:8" ht="20.100000000000001" customHeight="1" x14ac:dyDescent="0.2">
      <c r="A15" s="910"/>
      <c r="B15" s="63" t="s">
        <v>404</v>
      </c>
      <c r="C15" s="64"/>
      <c r="D15" s="64" t="s">
        <v>409</v>
      </c>
      <c r="E15" s="64" t="s">
        <v>43</v>
      </c>
      <c r="F15" s="65" t="s">
        <v>43</v>
      </c>
      <c r="G15" s="62" t="str">
        <f>IF(AND(_Ped_TPN_Keuze&lt;&gt;1,G16&lt;&gt;0),ROUND(PedBerTPN!F8,0),"")</f>
        <v/>
      </c>
      <c r="H15" s="26"/>
    </row>
    <row r="16" spans="1:8" ht="20.100000000000001" customHeight="1" x14ac:dyDescent="0.2">
      <c r="A16" s="25"/>
      <c r="B16" s="63" t="s">
        <v>418</v>
      </c>
      <c r="C16" s="64"/>
      <c r="D16" s="64" t="s">
        <v>387</v>
      </c>
      <c r="E16" s="64" t="s">
        <v>181</v>
      </c>
      <c r="F16" s="65" t="s">
        <v>411</v>
      </c>
      <c r="G16" s="66" t="str">
        <f>IF(_Ped_TPN_Keuze&lt;&gt;1,PedBerTPN!F4,"")</f>
        <v/>
      </c>
      <c r="H16" s="26"/>
    </row>
    <row r="17" spans="1:8" ht="20.100000000000001" customHeight="1" x14ac:dyDescent="0.2">
      <c r="A17" s="25"/>
      <c r="B17" s="63" t="s">
        <v>310</v>
      </c>
      <c r="C17" s="64"/>
      <c r="D17" s="64"/>
      <c r="E17" s="931" t="s">
        <v>132</v>
      </c>
      <c r="F17" s="932"/>
      <c r="G17" s="66">
        <f>ROUND(PedBerTPN!F5,0)</f>
        <v>0</v>
      </c>
      <c r="H17" s="26"/>
    </row>
    <row r="18" spans="1:8" ht="20.100000000000001" customHeight="1" x14ac:dyDescent="0.2">
      <c r="A18" s="25"/>
      <c r="B18" s="63" t="s">
        <v>303</v>
      </c>
      <c r="C18" s="64"/>
      <c r="D18" s="64" t="s">
        <v>133</v>
      </c>
      <c r="E18" s="64"/>
      <c r="F18" s="65"/>
      <c r="G18" s="66" t="str">
        <f>IF(AND(_Ped_TPN_SST1Keuze=2,_Ped_TPN_Keuze&lt;&gt;1),ROUND(PedBerTPN!F6,0),"")</f>
        <v/>
      </c>
      <c r="H18" s="26"/>
    </row>
    <row r="19" spans="1:8" ht="20.100000000000001" customHeight="1" x14ac:dyDescent="0.2">
      <c r="A19" s="25"/>
      <c r="B19" s="63" t="s">
        <v>94</v>
      </c>
      <c r="C19" s="64"/>
      <c r="D19" s="64"/>
      <c r="E19" s="64" t="s">
        <v>134</v>
      </c>
      <c r="F19" s="65"/>
      <c r="G19" s="66" t="str">
        <f>IF(AND(_Ped_TPN_SST1Keuze=6,_Ped_TPN_Keuze&lt;&gt;1),ROUND(PedBerTPN!F6,0),"")</f>
        <v/>
      </c>
      <c r="H19" s="26"/>
    </row>
    <row r="20" spans="1:8" ht="20.100000000000001" customHeight="1" x14ac:dyDescent="0.2">
      <c r="A20" s="25"/>
      <c r="B20" s="63" t="s">
        <v>217</v>
      </c>
      <c r="C20" s="64"/>
      <c r="D20" s="64"/>
      <c r="E20" s="64"/>
      <c r="F20" s="65" t="s">
        <v>135</v>
      </c>
      <c r="G20" s="66" t="str">
        <f>IF(AND(_Ped_TPN_SST1Keuze=8,_Ped_TPN_Keuze&lt;&gt;1),ROUND(PedBerTPN!F6,0),"")</f>
        <v/>
      </c>
      <c r="H20" s="26"/>
    </row>
    <row r="21" spans="1:8" ht="20.100000000000001" customHeight="1" x14ac:dyDescent="0.2">
      <c r="A21" s="25"/>
      <c r="B21" s="63" t="str">
        <f>IF(AND(_Ped_TPN_Keuze=2,_Ped_TPN_SST1Keuze&lt;&gt;2,_Ped_TPN_SST1Keuze&lt;&gt;6,_Ped_TPN_SST1Keuze&lt;&gt;8,_Ped_TPN_SST1Keuze&lt;11),INDEX(tblSSTGlucose,_Ped_TPN_SST1Keuze,1),"Glucose       %")</f>
        <v>Glucose       %</v>
      </c>
      <c r="C21" s="64"/>
      <c r="D21" s="64"/>
      <c r="E21" s="64"/>
      <c r="F21" s="65"/>
      <c r="G21" s="66" t="str">
        <f>IF(AND(_Ped_TPN_Keuze&lt;&gt;1,B20&lt;&gt;""),IF(AND(_Ped_TPN_SST1Keuze&lt;&gt;2,_Ped_TPN_SST1Keuze&lt;&gt;6,_Ped_TPN_SST1Keuze&lt;&gt;8,_Ped_TPN_SST1Keuze&lt;11),ROUND(PedBerTPN!F6,0),""),"")</f>
        <v/>
      </c>
      <c r="H21" s="26"/>
    </row>
    <row r="22" spans="1:8" ht="15.95" customHeight="1" x14ac:dyDescent="0.2">
      <c r="A22" s="25"/>
      <c r="B22" s="58"/>
      <c r="C22" s="58"/>
      <c r="D22" s="58"/>
      <c r="E22" s="916" t="s">
        <v>219</v>
      </c>
      <c r="F22" s="916"/>
      <c r="G22" s="55">
        <f>SUM(G14:G21)</f>
        <v>0</v>
      </c>
      <c r="H22" s="53"/>
    </row>
    <row r="23" spans="1:8" ht="10.5" customHeight="1" x14ac:dyDescent="0.2">
      <c r="A23" s="25"/>
      <c r="B23" s="52"/>
      <c r="C23" s="52"/>
      <c r="D23" s="52"/>
      <c r="E23" s="52"/>
      <c r="F23" s="52"/>
      <c r="G23" s="30"/>
      <c r="H23" s="26"/>
    </row>
    <row r="24" spans="1:8" ht="20.100000000000001" customHeight="1" x14ac:dyDescent="0.2">
      <c r="A24" s="909" t="str">
        <f>IF(_Ped_TPN_Keuze&lt;&gt;1,ROUND(G27/24,1)&amp;" ml/u","")</f>
        <v/>
      </c>
      <c r="B24" s="59" t="s">
        <v>199</v>
      </c>
      <c r="C24" s="60"/>
      <c r="D24" s="60" t="s">
        <v>386</v>
      </c>
      <c r="E24" s="60" t="s">
        <v>387</v>
      </c>
      <c r="F24" s="61" t="s">
        <v>181</v>
      </c>
      <c r="G24" s="62">
        <f>ROUND(PedBerTPN!F13,0)</f>
        <v>0</v>
      </c>
      <c r="H24" s="31"/>
    </row>
    <row r="25" spans="1:8" ht="20.100000000000001" customHeight="1" x14ac:dyDescent="0.2">
      <c r="A25" s="910"/>
      <c r="B25" s="63" t="s">
        <v>200</v>
      </c>
      <c r="C25" s="64"/>
      <c r="D25" s="64"/>
      <c r="E25" s="931" t="s">
        <v>371</v>
      </c>
      <c r="F25" s="932"/>
      <c r="G25" s="66">
        <f>ROUND(PedBerTPN!F14,0)</f>
        <v>0</v>
      </c>
      <c r="H25" s="26"/>
    </row>
    <row r="26" spans="1:8" ht="20.100000000000001" customHeight="1" x14ac:dyDescent="0.2">
      <c r="A26" s="25"/>
      <c r="B26" s="63" t="s">
        <v>216</v>
      </c>
      <c r="C26" s="64"/>
      <c r="D26" s="64"/>
      <c r="E26" s="931" t="s">
        <v>371</v>
      </c>
      <c r="F26" s="932"/>
      <c r="G26" s="66">
        <f>ROUND(PedBerTPN!F15,0)</f>
        <v>0</v>
      </c>
      <c r="H26" s="26"/>
    </row>
    <row r="27" spans="1:8" ht="15.95" customHeight="1" x14ac:dyDescent="0.2">
      <c r="A27" s="25"/>
      <c r="B27" s="52"/>
      <c r="C27" s="52"/>
      <c r="D27" s="52"/>
      <c r="E27" s="916" t="s">
        <v>219</v>
      </c>
      <c r="F27" s="916"/>
      <c r="G27" s="57">
        <f>SUM(G24:G26)</f>
        <v>0</v>
      </c>
      <c r="H27" s="53"/>
    </row>
    <row r="28" spans="1:8" ht="10.5" customHeight="1" thickBot="1" x14ac:dyDescent="0.25">
      <c r="A28" s="25"/>
      <c r="B28" s="52"/>
      <c r="C28" s="52"/>
      <c r="D28" s="52"/>
      <c r="E28" s="52"/>
      <c r="F28" s="52"/>
      <c r="G28" s="30"/>
      <c r="H28" s="26"/>
    </row>
    <row r="29" spans="1:8" ht="15.95" customHeight="1" thickTop="1" x14ac:dyDescent="0.2">
      <c r="A29" s="32"/>
      <c r="B29" s="911" t="s">
        <v>115</v>
      </c>
      <c r="C29" s="912"/>
      <c r="D29" s="912"/>
      <c r="E29" s="912"/>
      <c r="F29" s="912"/>
      <c r="G29" s="50"/>
      <c r="H29" s="33"/>
    </row>
    <row r="30" spans="1:8" ht="20.100000000000001" customHeight="1" x14ac:dyDescent="0.2">
      <c r="A30" s="909" t="str">
        <f>ROUND(G38/24,1)&amp;" ml/u"</f>
        <v>0 ml/u</v>
      </c>
      <c r="B30" s="70" t="s">
        <v>34</v>
      </c>
      <c r="C30" s="72"/>
      <c r="D30" s="72"/>
      <c r="E30" s="72"/>
      <c r="F30" s="73"/>
      <c r="G30" s="77">
        <f>IF(AND(OR(_Ped_TPN_Keuze=1,AND(_Ped_TPN_Keuze=2,_Ped_TPN_SST1Keuze&gt;10))),ROUND(PedBerTPN!F7,0),"")</f>
        <v>0</v>
      </c>
      <c r="H30" s="26"/>
    </row>
    <row r="31" spans="1:8" ht="20.100000000000001" customHeight="1" x14ac:dyDescent="0.2">
      <c r="A31" s="910"/>
      <c r="B31" s="71" t="s">
        <v>407</v>
      </c>
      <c r="C31" s="74"/>
      <c r="D31" s="74"/>
      <c r="E31" s="74"/>
      <c r="F31" s="75"/>
      <c r="G31" s="79">
        <f>IF(AND(OR(_Ped_TPN_Keuze=1,AND(_Ped_TPN_Keuze=2,_Ped_TPN_SST1Keuze&gt;10))),ROUND(PedBerTPN!F8,0),"")</f>
        <v>0</v>
      </c>
      <c r="H31" s="26"/>
    </row>
    <row r="32" spans="1:8" ht="20.100000000000001" customHeight="1" x14ac:dyDescent="0.2">
      <c r="A32" s="51"/>
      <c r="B32" s="71" t="s">
        <v>427</v>
      </c>
      <c r="C32" s="74"/>
      <c r="D32" s="74"/>
      <c r="E32" s="74"/>
      <c r="F32" s="75"/>
      <c r="G32" s="79">
        <f>PedBerTPN!F9</f>
        <v>0</v>
      </c>
      <c r="H32" s="26"/>
    </row>
    <row r="33" spans="1:8" ht="20.100000000000001" customHeight="1" x14ac:dyDescent="0.2">
      <c r="A33" s="51"/>
      <c r="B33" s="71" t="s">
        <v>428</v>
      </c>
      <c r="C33" s="74"/>
      <c r="D33" s="74"/>
      <c r="E33" s="74"/>
      <c r="F33" s="75"/>
      <c r="G33" s="79">
        <f>PedBerTPN!F10</f>
        <v>0</v>
      </c>
      <c r="H33" s="26"/>
    </row>
    <row r="34" spans="1:8" ht="20.100000000000001" customHeight="1" x14ac:dyDescent="0.2">
      <c r="A34" s="51"/>
      <c r="B34" s="71" t="s">
        <v>303</v>
      </c>
      <c r="C34" s="74"/>
      <c r="D34" s="74"/>
      <c r="E34" s="74"/>
      <c r="F34" s="75"/>
      <c r="G34" s="79">
        <f>PedBerTPN!F17+IF(AND(_Ped_TPN_SST1Keuze=2,_Ped_TPN_Keuze=1),ROUND(PedBerTPN!F6,0),0)</f>
        <v>0</v>
      </c>
      <c r="H34" s="26"/>
    </row>
    <row r="35" spans="1:8" ht="20.100000000000001" customHeight="1" x14ac:dyDescent="0.2">
      <c r="A35" s="51"/>
      <c r="B35" s="71">
        <f>IF(AND(OR(_Ped_TPN_Keuze=1,AND(_Ped_TPN_Keuze=2,_Ped_TPN_SST1Keuze&gt;10)),_Ped_TPN_SST1Keuze&lt;&gt;2,_Ped_TPN_SST1Keuze&lt;&gt;12,_Ped_TPN_SST1Keuze&lt;&gt;13),INDEX(tblSSTGlucose,_Ped_TPN_SST1Keuze,1),"Glucose       %")</f>
        <v>0</v>
      </c>
      <c r="C35" s="74"/>
      <c r="D35" s="74"/>
      <c r="E35" s="74"/>
      <c r="F35" s="75"/>
      <c r="G35" s="79">
        <f>IF(AND(OR(_Ped_TPN_Keuze=1,AND(_Ped_TPN_Keuze=2,_Ped_TPN_SST1Keuze&gt;10)),_Ped_TPN_SST1Keuze&lt;&gt;2,_Ped_TPN_SST1Keuze&lt;&gt;12,_Ped_TPN_SST1Keuze&lt;&gt;13),ROUND(PedBerTPN!F6,0),"")</f>
        <v>0</v>
      </c>
      <c r="H35" s="26"/>
    </row>
    <row r="36" spans="1:8" ht="20.100000000000001" customHeight="1" x14ac:dyDescent="0.2">
      <c r="A36" s="51"/>
      <c r="B36" s="939" t="s">
        <v>35</v>
      </c>
      <c r="C36" s="940"/>
      <c r="D36" s="940"/>
      <c r="E36" s="940"/>
      <c r="F36" s="75"/>
      <c r="G36" s="79" t="str">
        <f>IF(AND(_Ped_TPN_SST1Keuze=12),ROUND(PedBerTPN!F6,0),"")</f>
        <v/>
      </c>
      <c r="H36" s="26"/>
    </row>
    <row r="37" spans="1:8" ht="20.100000000000001" customHeight="1" x14ac:dyDescent="0.2">
      <c r="A37" s="25"/>
      <c r="B37" s="939" t="s">
        <v>36</v>
      </c>
      <c r="C37" s="940"/>
      <c r="D37" s="940"/>
      <c r="E37" s="940"/>
      <c r="F37" s="75"/>
      <c r="G37" s="79" t="str">
        <f>IF(AND(_Ped_TPN_SST1Keuze=13),ROUND(PedBerTPN!F6,0),"")</f>
        <v/>
      </c>
      <c r="H37" s="26"/>
    </row>
    <row r="38" spans="1:8" ht="15.95" customHeight="1" x14ac:dyDescent="0.2">
      <c r="A38" s="25"/>
      <c r="B38" s="52"/>
      <c r="C38" s="52"/>
      <c r="D38" s="52"/>
      <c r="E38" s="916" t="s">
        <v>221</v>
      </c>
      <c r="F38" s="916"/>
      <c r="G38" s="56">
        <f>SUM(G30:G37)</f>
        <v>0</v>
      </c>
      <c r="H38" s="26"/>
    </row>
    <row r="39" spans="1:8" ht="15.95" customHeight="1" thickBot="1" x14ac:dyDescent="0.25">
      <c r="A39" s="25"/>
      <c r="B39" s="52"/>
      <c r="C39" s="52"/>
      <c r="D39" s="52"/>
      <c r="E39" s="52"/>
      <c r="F39" s="52"/>
      <c r="G39" s="30"/>
      <c r="H39" s="26"/>
    </row>
    <row r="40" spans="1:8" ht="15.95" customHeight="1" thickTop="1" x14ac:dyDescent="0.2">
      <c r="A40" s="32"/>
      <c r="B40" s="917" t="s">
        <v>245</v>
      </c>
      <c r="C40" s="918"/>
      <c r="D40" s="918"/>
      <c r="E40" s="918"/>
      <c r="F40" s="919"/>
      <c r="G40" s="33" t="s">
        <v>246</v>
      </c>
      <c r="H40" s="33"/>
    </row>
    <row r="41" spans="1:8" ht="15.95" customHeight="1" x14ac:dyDescent="0.2">
      <c r="A41" s="34"/>
      <c r="B41" s="904" t="s">
        <v>247</v>
      </c>
      <c r="C41" s="905"/>
      <c r="D41" s="905"/>
      <c r="E41" s="905"/>
      <c r="F41" s="906"/>
      <c r="G41" s="28" t="s">
        <v>248</v>
      </c>
      <c r="H41" s="26"/>
    </row>
    <row r="42" spans="1:8" ht="15.95" customHeight="1" x14ac:dyDescent="0.2">
      <c r="A42" s="34"/>
      <c r="B42" s="904" t="s">
        <v>249</v>
      </c>
      <c r="C42" s="905"/>
      <c r="D42" s="905"/>
      <c r="E42" s="905"/>
      <c r="F42" s="906"/>
      <c r="G42" s="28" t="s">
        <v>246</v>
      </c>
      <c r="H42" s="29"/>
    </row>
    <row r="44" spans="1:8" x14ac:dyDescent="0.2">
      <c r="A44" s="6" t="s">
        <v>250</v>
      </c>
    </row>
    <row r="45" spans="1:8" x14ac:dyDescent="0.2">
      <c r="A45" s="6" t="s">
        <v>220</v>
      </c>
    </row>
    <row r="46" spans="1:8" x14ac:dyDescent="0.2">
      <c r="A46" s="6" t="s">
        <v>251</v>
      </c>
    </row>
    <row r="48" spans="1:8" x14ac:dyDescent="0.2">
      <c r="A48" s="6" t="s">
        <v>80</v>
      </c>
    </row>
    <row r="50" spans="6:6" x14ac:dyDescent="0.2">
      <c r="F50" s="1"/>
    </row>
  </sheetData>
  <customSheetViews>
    <customSheetView guid="{33CCADFA-0D48-46A6-8927-2B2144029216}">
      <selection activeCell="G22" sqref="G22"/>
      <rowBreaks count="1" manualBreakCount="1">
        <brk id="49" max="7" man="1"/>
      </rowBreaks>
      <pageMargins left="0.39" right="0.26" top="0.42" bottom="0.37" header="0.23" footer="0.17"/>
      <pageSetup paperSize="9" orientation="portrait" horizontalDpi="300" r:id="rId1"/>
      <headerFooter alignWithMargins="0">
        <oddHeader>&amp;CBed 0</oddHeader>
      </headerFooter>
    </customSheetView>
  </customSheetViews>
  <mergeCells count="21">
    <mergeCell ref="A30:A31"/>
    <mergeCell ref="A14:A15"/>
    <mergeCell ref="A11:H11"/>
    <mergeCell ref="B12:B13"/>
    <mergeCell ref="C12:C13"/>
    <mergeCell ref="D12:D13"/>
    <mergeCell ref="E12:E13"/>
    <mergeCell ref="F12:F13"/>
    <mergeCell ref="E17:F17"/>
    <mergeCell ref="A24:A25"/>
    <mergeCell ref="B29:F29"/>
    <mergeCell ref="E22:F22"/>
    <mergeCell ref="E25:F25"/>
    <mergeCell ref="E26:F26"/>
    <mergeCell ref="E27:F27"/>
    <mergeCell ref="E38:F38"/>
    <mergeCell ref="B40:F40"/>
    <mergeCell ref="B41:F41"/>
    <mergeCell ref="B42:F42"/>
    <mergeCell ref="B36:E36"/>
    <mergeCell ref="B37:E37"/>
  </mergeCells>
  <phoneticPr fontId="28" type="noConversion"/>
  <pageMargins left="0.39" right="0.26" top="0.42" bottom="0.37" header="0.23" footer="0.17"/>
  <pageSetup paperSize="9" orientation="portrait" horizontalDpi="300" r:id="rId2"/>
  <headerFooter alignWithMargins="0">
    <oddHeader>&amp;CBed 0</oddHeader>
  </headerFooter>
  <rowBreaks count="1" manualBreakCount="1">
    <brk id="49" max="7" man="1"/>
  </rowBreak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31tot50">
    <tabColor rgb="FF7030A0"/>
  </sheetPr>
  <dimension ref="A1:H51"/>
  <sheetViews>
    <sheetView zoomScaleNormal="100" workbookViewId="0">
      <selection activeCell="B5" sqref="B5"/>
    </sheetView>
  </sheetViews>
  <sheetFormatPr defaultColWidth="9.140625" defaultRowHeight="12.75" x14ac:dyDescent="0.2"/>
  <cols>
    <col min="1" max="1" width="8.7109375" style="6" customWidth="1"/>
    <col min="2" max="2" width="23.85546875" style="6" customWidth="1"/>
    <col min="3" max="3" width="9.28515625" style="6" bestFit="1" customWidth="1"/>
    <col min="4" max="6" width="10.7109375" style="6" customWidth="1"/>
    <col min="7" max="7" width="9.140625" style="6"/>
    <col min="8" max="8" width="14.7109375" style="6" customWidth="1"/>
    <col min="9" max="16384" width="9.140625" style="6"/>
  </cols>
  <sheetData>
    <row r="1" spans="1:8" x14ac:dyDescent="0.2">
      <c r="A1" s="369" t="s">
        <v>252</v>
      </c>
      <c r="F1" s="1" t="s">
        <v>107</v>
      </c>
    </row>
    <row r="3" spans="1:8" x14ac:dyDescent="0.2">
      <c r="A3" s="6" t="s">
        <v>253</v>
      </c>
      <c r="B3" s="36">
        <f ca="1">TODAY()</f>
        <v>42750</v>
      </c>
      <c r="F3" s="41">
        <f>__0_PatNum</f>
        <v>0</v>
      </c>
      <c r="G3" s="42"/>
      <c r="H3" s="43"/>
    </row>
    <row r="4" spans="1:8" x14ac:dyDescent="0.2">
      <c r="A4" s="135" t="s">
        <v>518</v>
      </c>
      <c r="B4" s="6">
        <f>__1_Bed</f>
        <v>0</v>
      </c>
      <c r="F4" s="44" t="str">
        <f>__2_AchterNaam&amp;",  "&amp;__3_VoorNaam</f>
        <v xml:space="preserve">,  </v>
      </c>
      <c r="G4" s="45"/>
      <c r="H4" s="46"/>
    </row>
    <row r="5" spans="1:8" x14ac:dyDescent="0.2">
      <c r="A5" s="6" t="s">
        <v>254</v>
      </c>
      <c r="B5" s="6" t="s">
        <v>379</v>
      </c>
      <c r="F5" s="47">
        <f>__4_GebDatum</f>
        <v>1462</v>
      </c>
      <c r="G5" s="45"/>
      <c r="H5" s="46"/>
    </row>
    <row r="6" spans="1:8" x14ac:dyDescent="0.2">
      <c r="A6" s="369"/>
      <c r="F6" s="44" t="s">
        <v>274</v>
      </c>
      <c r="G6" s="45" t="str">
        <f>_Pat_Gewicht/10&amp;" kg"</f>
        <v>0 kg</v>
      </c>
      <c r="H6" s="46"/>
    </row>
    <row r="7" spans="1:8" x14ac:dyDescent="0.2">
      <c r="A7" s="6" t="s">
        <v>321</v>
      </c>
      <c r="B7" s="6" t="s">
        <v>255</v>
      </c>
      <c r="F7" s="48"/>
      <c r="G7" s="40"/>
      <c r="H7" s="49"/>
    </row>
    <row r="8" spans="1:8" x14ac:dyDescent="0.2">
      <c r="A8" s="6" t="s">
        <v>290</v>
      </c>
      <c r="B8" s="6" t="s">
        <v>255</v>
      </c>
    </row>
    <row r="9" spans="1:8" ht="13.5" thickBot="1" x14ac:dyDescent="0.25">
      <c r="A9" s="6" t="s">
        <v>359</v>
      </c>
      <c r="C9" s="6">
        <f>PedBerTPN!F24</f>
        <v>0</v>
      </c>
      <c r="D9" s="6" t="s">
        <v>322</v>
      </c>
    </row>
    <row r="10" spans="1:8" ht="13.5" thickTop="1" x14ac:dyDescent="0.2">
      <c r="A10" s="920" t="s">
        <v>16</v>
      </c>
      <c r="B10" s="921"/>
      <c r="C10" s="921"/>
      <c r="D10" s="921"/>
      <c r="E10" s="921"/>
      <c r="F10" s="921"/>
      <c r="G10" s="921"/>
      <c r="H10" s="922"/>
    </row>
    <row r="11" spans="1:8" ht="25.5" x14ac:dyDescent="0.2">
      <c r="A11" s="25" t="s">
        <v>308</v>
      </c>
      <c r="B11" s="923" t="s">
        <v>172</v>
      </c>
      <c r="C11" s="925"/>
      <c r="D11" s="927" t="s">
        <v>173</v>
      </c>
      <c r="E11" s="927" t="s">
        <v>174</v>
      </c>
      <c r="F11" s="927" t="s">
        <v>175</v>
      </c>
      <c r="G11" s="26"/>
      <c r="H11" s="26" t="s">
        <v>176</v>
      </c>
    </row>
    <row r="12" spans="1:8" ht="25.5" x14ac:dyDescent="0.2">
      <c r="A12" s="27" t="s">
        <v>177</v>
      </c>
      <c r="B12" s="924"/>
      <c r="C12" s="926"/>
      <c r="D12" s="928"/>
      <c r="E12" s="928"/>
      <c r="F12" s="928"/>
      <c r="G12" s="26" t="s">
        <v>178</v>
      </c>
      <c r="H12" s="28" t="s">
        <v>179</v>
      </c>
    </row>
    <row r="13" spans="1:8" ht="20.100000000000001" customHeight="1" x14ac:dyDescent="0.2">
      <c r="A13" s="909" t="str">
        <f>IF(G22&lt;&gt;0,ROUND(G22/24,1)&amp;" ml/u","")</f>
        <v/>
      </c>
      <c r="B13" s="59" t="s">
        <v>34</v>
      </c>
      <c r="C13" s="60"/>
      <c r="D13" s="60" t="s">
        <v>180</v>
      </c>
      <c r="E13" s="60" t="s">
        <v>180</v>
      </c>
      <c r="F13" s="61" t="s">
        <v>180</v>
      </c>
      <c r="G13" s="62" t="str">
        <f>IF(AND(_Ped_TPN_Keuze&lt;&gt;1,G15&lt;&gt;0),ROUND(PedBerTPN!F7,0),"")</f>
        <v/>
      </c>
      <c r="H13" s="26"/>
    </row>
    <row r="14" spans="1:8" ht="20.100000000000001" customHeight="1" x14ac:dyDescent="0.2">
      <c r="A14" s="910"/>
      <c r="B14" s="63" t="s">
        <v>404</v>
      </c>
      <c r="C14" s="64"/>
      <c r="D14" s="64" t="s">
        <v>409</v>
      </c>
      <c r="E14" s="64" t="s">
        <v>43</v>
      </c>
      <c r="F14" s="65" t="s">
        <v>43</v>
      </c>
      <c r="G14" s="62" t="str">
        <f>IF(AND(_Ped_TPN_Keuze&lt;&gt;1,G15&lt;&gt;0),ROUND(PedBerTPN!F8,0),"")</f>
        <v/>
      </c>
      <c r="H14" s="26"/>
    </row>
    <row r="15" spans="1:8" ht="20.100000000000001" customHeight="1" x14ac:dyDescent="0.2">
      <c r="A15" s="25"/>
      <c r="B15" s="63" t="s">
        <v>136</v>
      </c>
      <c r="C15" s="64"/>
      <c r="D15" s="64" t="s">
        <v>386</v>
      </c>
      <c r="E15" s="64" t="s">
        <v>137</v>
      </c>
      <c r="F15" s="65" t="s">
        <v>142</v>
      </c>
      <c r="G15" s="66" t="str">
        <f>IF(_Ped_TPN_Keuze&lt;&gt;1,PedBerTPN!F4,"")</f>
        <v/>
      </c>
      <c r="H15" s="26"/>
    </row>
    <row r="16" spans="1:8" ht="20.100000000000001" customHeight="1" x14ac:dyDescent="0.2">
      <c r="A16" s="25"/>
      <c r="B16" s="63" t="s">
        <v>310</v>
      </c>
      <c r="C16" s="64"/>
      <c r="D16" s="64"/>
      <c r="E16" s="931" t="s">
        <v>132</v>
      </c>
      <c r="F16" s="932"/>
      <c r="G16" s="66" t="str">
        <f>IF(AND(_Ped_TPN_SST1Keuze&lt;11,_Ped_TPN_Keuze&lt;&gt;1),ROUND(PedBerTPN!F5,0),"")</f>
        <v/>
      </c>
      <c r="H16" s="26"/>
    </row>
    <row r="17" spans="1:8" ht="20.100000000000001" customHeight="1" x14ac:dyDescent="0.2">
      <c r="A17" s="25"/>
      <c r="B17" s="63" t="s">
        <v>303</v>
      </c>
      <c r="C17" s="64"/>
      <c r="D17" s="64" t="s">
        <v>138</v>
      </c>
      <c r="E17" s="64"/>
      <c r="F17" s="65"/>
      <c r="G17" s="66" t="str">
        <f>IF(AND(_Ped_TPN_SST1Keuze=2,_Ped_TPN_Keuze&lt;&gt;1),ROUND(PedBerTPN!F6,0),"")</f>
        <v/>
      </c>
      <c r="H17" s="26"/>
    </row>
    <row r="18" spans="1:8" ht="20.100000000000001" customHeight="1" x14ac:dyDescent="0.2">
      <c r="A18" s="25"/>
      <c r="B18" s="63" t="s">
        <v>94</v>
      </c>
      <c r="C18" s="64"/>
      <c r="D18" s="64"/>
      <c r="E18" s="64" t="s">
        <v>139</v>
      </c>
      <c r="F18" s="65"/>
      <c r="G18" s="66" t="str">
        <f>IF(AND(_Ped_TPN_SST1Keuze=6,_Ped_TPN_Keuze&lt;&gt;1),ROUND(PedBerTPN!F6,0),"")</f>
        <v/>
      </c>
      <c r="H18" s="26"/>
    </row>
    <row r="19" spans="1:8" ht="20.100000000000001" customHeight="1" x14ac:dyDescent="0.2">
      <c r="A19" s="25"/>
      <c r="B19" s="63" t="s">
        <v>140</v>
      </c>
      <c r="C19" s="64" t="s">
        <v>237</v>
      </c>
      <c r="D19" s="64"/>
      <c r="E19" s="64"/>
      <c r="F19" s="65" t="s">
        <v>417</v>
      </c>
      <c r="G19" s="66" t="str">
        <f>IF(AND(_Ped_TPN_SST1Keuze=7,_Ped_TPN_Keuze&lt;&gt;1),ROUND(PedBerTPN!F6,0),"")</f>
        <v/>
      </c>
      <c r="H19" s="26"/>
    </row>
    <row r="20" spans="1:8" ht="20.100000000000001" customHeight="1" x14ac:dyDescent="0.2">
      <c r="A20" s="25"/>
      <c r="B20" s="63" t="s">
        <v>141</v>
      </c>
      <c r="C20" s="64"/>
      <c r="D20" s="64"/>
      <c r="E20" s="64"/>
      <c r="F20" s="65" t="s">
        <v>411</v>
      </c>
      <c r="G20" s="66" t="str">
        <f>IF(AND(_Ped_TPN_SST1Keuze=9,_Ped_TPN_Keuze&lt;&gt;1),ROUND(PedBerTPN!F6,0),"")</f>
        <v/>
      </c>
      <c r="H20" s="26"/>
    </row>
    <row r="21" spans="1:8" ht="20.100000000000001" customHeight="1" x14ac:dyDescent="0.2">
      <c r="A21" s="25"/>
      <c r="B21" s="67" t="str">
        <f>IF(AND(_Ped_TPN_Keuze=2,_Ped_TPN_SST1Keuze&lt;&gt;2,_Ped_TPN_SST1Keuze&lt;&gt;6,_Ped_TPN_SST1Keuze&lt;&gt;7,_Ped_TPN_SST1Keuze&lt;&gt;9,_Ped_TPN_SST1Keuze&lt;11),INDEX(tblSSTGlucose,_Ped_TPN_SST1Keuze,1),"Glucose       %")</f>
        <v>Glucose       %</v>
      </c>
      <c r="C21" s="68"/>
      <c r="D21" s="68"/>
      <c r="E21" s="68"/>
      <c r="F21" s="69"/>
      <c r="G21" s="66" t="str">
        <f>IF(AND(_Ped_TPN_Keuze&lt;&gt;1,B19&lt;&gt;""),IF(AND(_Ped_TPN_SST1Keuze&lt;&gt;2,_Ped_TPN_SST1Keuze&lt;&gt;6,_Ped_TPN_SST1Keuze&lt;&gt;7,_Ped_TPN_SST1Keuze&lt;&gt;9,_Ped_TPN_SST1Keuze&lt;11),ROUND(PedBerTPN!F6,0),""),"")</f>
        <v/>
      </c>
      <c r="H21" s="26"/>
    </row>
    <row r="22" spans="1:8" ht="15.95" customHeight="1" x14ac:dyDescent="0.2">
      <c r="A22" s="25"/>
      <c r="B22" s="58"/>
      <c r="C22" s="58"/>
      <c r="D22" s="58"/>
      <c r="E22" s="916" t="s">
        <v>219</v>
      </c>
      <c r="F22" s="916"/>
      <c r="G22" s="55">
        <f>SUM(G13:G21)</f>
        <v>0</v>
      </c>
      <c r="H22" s="53"/>
    </row>
    <row r="23" spans="1:8" ht="10.5" customHeight="1" x14ac:dyDescent="0.2">
      <c r="A23" s="25"/>
      <c r="B23" s="52"/>
      <c r="C23" s="52"/>
      <c r="D23" s="52"/>
      <c r="E23" s="52"/>
      <c r="F23" s="52"/>
      <c r="G23" s="30"/>
      <c r="H23" s="26"/>
    </row>
    <row r="24" spans="1:8" ht="20.100000000000001" customHeight="1" x14ac:dyDescent="0.2">
      <c r="A24" s="909" t="str">
        <f>IF(G27&lt;&gt;0,ROUND(G27/24,1)&amp;" ml/u","")</f>
        <v/>
      </c>
      <c r="B24" s="59" t="s">
        <v>199</v>
      </c>
      <c r="C24" s="60"/>
      <c r="D24" s="60" t="s">
        <v>358</v>
      </c>
      <c r="E24" s="60" t="s">
        <v>180</v>
      </c>
      <c r="F24" s="61" t="s">
        <v>387</v>
      </c>
      <c r="G24" s="62">
        <f>ROUND(PedBerTPN!F13,0)</f>
        <v>0</v>
      </c>
      <c r="H24" s="31"/>
    </row>
    <row r="25" spans="1:8" ht="20.100000000000001" customHeight="1" x14ac:dyDescent="0.2">
      <c r="A25" s="910"/>
      <c r="B25" s="63" t="s">
        <v>200</v>
      </c>
      <c r="C25" s="64"/>
      <c r="D25" s="64"/>
      <c r="E25" s="931" t="s">
        <v>371</v>
      </c>
      <c r="F25" s="932"/>
      <c r="G25" s="66">
        <f>ROUND(PedBerTPN!F14,0)</f>
        <v>0</v>
      </c>
      <c r="H25" s="26"/>
    </row>
    <row r="26" spans="1:8" ht="20.100000000000001" customHeight="1" x14ac:dyDescent="0.2">
      <c r="A26" s="25"/>
      <c r="B26" s="63" t="s">
        <v>216</v>
      </c>
      <c r="C26" s="64"/>
      <c r="D26" s="64"/>
      <c r="E26" s="931" t="s">
        <v>371</v>
      </c>
      <c r="F26" s="932"/>
      <c r="G26" s="66">
        <f>ROUND(PedBerTPN!F15,0)</f>
        <v>0</v>
      </c>
      <c r="H26" s="26"/>
    </row>
    <row r="27" spans="1:8" ht="15.95" customHeight="1" x14ac:dyDescent="0.2">
      <c r="A27" s="25"/>
      <c r="B27" s="52"/>
      <c r="C27" s="52"/>
      <c r="D27" s="52"/>
      <c r="E27" s="916" t="s">
        <v>219</v>
      </c>
      <c r="F27" s="916"/>
      <c r="G27" s="57">
        <f>SUM(G24:G26)</f>
        <v>0</v>
      </c>
      <c r="H27" s="53"/>
    </row>
    <row r="28" spans="1:8" ht="10.5" customHeight="1" thickBot="1" x14ac:dyDescent="0.25">
      <c r="A28" s="25"/>
      <c r="B28" s="52"/>
      <c r="C28" s="52"/>
      <c r="D28" s="52"/>
      <c r="E28" s="52"/>
      <c r="F28" s="52"/>
      <c r="G28" s="30"/>
      <c r="H28" s="26"/>
    </row>
    <row r="29" spans="1:8" ht="15.95" customHeight="1" thickTop="1" x14ac:dyDescent="0.2">
      <c r="A29" s="32"/>
      <c r="B29" s="929" t="s">
        <v>115</v>
      </c>
      <c r="C29" s="930"/>
      <c r="D29" s="930"/>
      <c r="E29" s="930"/>
      <c r="F29" s="930"/>
      <c r="G29" s="50"/>
      <c r="H29" s="33"/>
    </row>
    <row r="30" spans="1:8" ht="20.100000000000001" customHeight="1" x14ac:dyDescent="0.2">
      <c r="A30" s="909" t="str">
        <f>IF(G38&lt;&gt;0,ROUND(G38/24,1)&amp;" ml/u","")</f>
        <v/>
      </c>
      <c r="B30" s="70" t="s">
        <v>34</v>
      </c>
      <c r="C30" s="72"/>
      <c r="D30" s="72"/>
      <c r="E30" s="72"/>
      <c r="F30" s="76"/>
      <c r="G30" s="77">
        <f>IF(AND(OR(_Ped_TPN_Keuze=1,AND(_Ped_TPN_Keuze=2,_Ped_TPN_SST1Keuze&gt;10))),ROUND(PedBerTPN!F7,0),"")</f>
        <v>0</v>
      </c>
      <c r="H30" s="26"/>
    </row>
    <row r="31" spans="1:8" ht="20.100000000000001" customHeight="1" x14ac:dyDescent="0.2">
      <c r="A31" s="910"/>
      <c r="B31" s="71" t="s">
        <v>407</v>
      </c>
      <c r="C31" s="74"/>
      <c r="D31" s="74"/>
      <c r="E31" s="74"/>
      <c r="F31" s="78"/>
      <c r="G31" s="79">
        <f>IF(AND(OR(_Ped_TPN_Keuze=1,AND(_Ped_TPN_Keuze=2,_Ped_TPN_SST1Keuze&gt;10))),ROUND(PedBerTPN!F8,0),"")</f>
        <v>0</v>
      </c>
      <c r="H31" s="26"/>
    </row>
    <row r="32" spans="1:8" ht="20.100000000000001" customHeight="1" x14ac:dyDescent="0.2">
      <c r="A32" s="51"/>
      <c r="B32" s="71" t="s">
        <v>427</v>
      </c>
      <c r="C32" s="74"/>
      <c r="D32" s="74"/>
      <c r="E32" s="74"/>
      <c r="F32" s="78"/>
      <c r="G32" s="79">
        <f>PedBerTPN!F9</f>
        <v>0</v>
      </c>
      <c r="H32" s="26"/>
    </row>
    <row r="33" spans="1:8" ht="20.100000000000001" customHeight="1" x14ac:dyDescent="0.2">
      <c r="A33" s="51"/>
      <c r="B33" s="71" t="s">
        <v>428</v>
      </c>
      <c r="C33" s="74"/>
      <c r="D33" s="74"/>
      <c r="E33" s="74"/>
      <c r="F33" s="78"/>
      <c r="G33" s="79">
        <f>PedBerTPN!F10</f>
        <v>0</v>
      </c>
      <c r="H33" s="26"/>
    </row>
    <row r="34" spans="1:8" ht="20.100000000000001" customHeight="1" x14ac:dyDescent="0.2">
      <c r="A34" s="51"/>
      <c r="B34" s="71" t="s">
        <v>303</v>
      </c>
      <c r="C34" s="74"/>
      <c r="D34" s="74"/>
      <c r="E34" s="74"/>
      <c r="F34" s="78"/>
      <c r="G34" s="79">
        <f>PedBerTPN!F17+IF(AND(_Ped_TPN_SST1Keuze=2,_Ped_TPN_Keuze=1),ROUND(PedBerTPN!F6,0),0)</f>
        <v>0</v>
      </c>
      <c r="H34" s="26"/>
    </row>
    <row r="35" spans="1:8" ht="20.100000000000001" customHeight="1" x14ac:dyDescent="0.2">
      <c r="A35" s="51"/>
      <c r="B35" s="71">
        <f>IF(AND(OR(_Ped_TPN_Keuze=1,AND(_Ped_TPN_Keuze=2,_Ped_TPN_SST1Keuze&gt;10)),_Ped_TPN_SST1Keuze&lt;&gt;2,_Ped_TPN_SST1Keuze&lt;&gt;12,_Ped_TPN_SST1Keuze&lt;&gt;13),INDEX(tblSSTGlucose,_Ped_TPN_SST1Keuze,1),"Glucose       %")</f>
        <v>0</v>
      </c>
      <c r="C35" s="74"/>
      <c r="D35" s="74"/>
      <c r="E35" s="74"/>
      <c r="F35" s="78"/>
      <c r="G35" s="79">
        <f>IF(AND(OR(_Ped_TPN_Keuze=1,AND(_Ped_TPN_Keuze=2,_Ped_TPN_SST1Keuze&gt;10)),_Ped_TPN_SST1Keuze&lt;&gt;2,_Ped_TPN_SST1Keuze&lt;&gt;12,_Ped_TPN_SST1Keuze&lt;&gt;13),PedBerTPN!F6,"")</f>
        <v>0</v>
      </c>
      <c r="H35" s="26"/>
    </row>
    <row r="36" spans="1:8" ht="20.100000000000001" customHeight="1" x14ac:dyDescent="0.2">
      <c r="A36" s="51"/>
      <c r="B36" s="939" t="s">
        <v>35</v>
      </c>
      <c r="C36" s="940"/>
      <c r="D36" s="940"/>
      <c r="E36" s="940"/>
      <c r="F36" s="78"/>
      <c r="G36" s="79" t="str">
        <f>IF(AND(_Ped_TPN_SST1Keuze=12),ROUND(PedBerTPN!F6,0),"")</f>
        <v/>
      </c>
      <c r="H36" s="26"/>
    </row>
    <row r="37" spans="1:8" ht="20.100000000000001" customHeight="1" x14ac:dyDescent="0.2">
      <c r="A37" s="25"/>
      <c r="B37" s="939" t="s">
        <v>36</v>
      </c>
      <c r="C37" s="940"/>
      <c r="D37" s="940"/>
      <c r="E37" s="940"/>
      <c r="F37" s="78"/>
      <c r="G37" s="79" t="str">
        <f>IF(AND(_Ped_TPN_SST1Keuze=13),ROUND(PedBerTPN!F6,0),"")</f>
        <v/>
      </c>
      <c r="H37" s="26"/>
    </row>
    <row r="38" spans="1:8" ht="15.95" customHeight="1" x14ac:dyDescent="0.2">
      <c r="A38" s="25"/>
      <c r="B38" s="30"/>
      <c r="C38" s="30"/>
      <c r="D38" s="30"/>
      <c r="E38" s="913" t="s">
        <v>221</v>
      </c>
      <c r="F38" s="913"/>
      <c r="G38" s="56">
        <f>SUM(G30:G37)</f>
        <v>0</v>
      </c>
      <c r="H38" s="26"/>
    </row>
    <row r="39" spans="1:8" ht="10.5" customHeight="1" thickBot="1" x14ac:dyDescent="0.25">
      <c r="A39" s="25"/>
      <c r="B39" s="30"/>
      <c r="C39" s="30"/>
      <c r="D39" s="30"/>
      <c r="E39" s="30"/>
      <c r="F39" s="30"/>
      <c r="G39" s="30"/>
      <c r="H39" s="26"/>
    </row>
    <row r="40" spans="1:8" ht="15.95" customHeight="1" thickTop="1" x14ac:dyDescent="0.2">
      <c r="A40" s="32"/>
      <c r="B40" s="917" t="s">
        <v>245</v>
      </c>
      <c r="C40" s="918"/>
      <c r="D40" s="918"/>
      <c r="E40" s="918"/>
      <c r="F40" s="919"/>
      <c r="G40" s="33" t="s">
        <v>246</v>
      </c>
      <c r="H40" s="33"/>
    </row>
    <row r="41" spans="1:8" ht="15.95" customHeight="1" x14ac:dyDescent="0.2">
      <c r="A41" s="34"/>
      <c r="B41" s="904" t="s">
        <v>247</v>
      </c>
      <c r="C41" s="905"/>
      <c r="D41" s="905"/>
      <c r="E41" s="905"/>
      <c r="F41" s="906"/>
      <c r="G41" s="28" t="s">
        <v>248</v>
      </c>
      <c r="H41" s="26"/>
    </row>
    <row r="42" spans="1:8" ht="15.95" customHeight="1" x14ac:dyDescent="0.2">
      <c r="A42" s="34"/>
      <c r="B42" s="904" t="s">
        <v>249</v>
      </c>
      <c r="C42" s="905"/>
      <c r="D42" s="905"/>
      <c r="E42" s="905"/>
      <c r="F42" s="906"/>
      <c r="G42" s="28" t="s">
        <v>246</v>
      </c>
      <c r="H42" s="29"/>
    </row>
    <row r="44" spans="1:8" x14ac:dyDescent="0.2">
      <c r="A44" s="6" t="s">
        <v>250</v>
      </c>
    </row>
    <row r="45" spans="1:8" x14ac:dyDescent="0.2">
      <c r="A45" s="6" t="s">
        <v>220</v>
      </c>
    </row>
    <row r="47" spans="1:8" x14ac:dyDescent="0.2">
      <c r="A47" s="6" t="s">
        <v>251</v>
      </c>
    </row>
    <row r="49" spans="1:6" x14ac:dyDescent="0.2">
      <c r="A49" s="6" t="s">
        <v>80</v>
      </c>
    </row>
    <row r="51" spans="1:6" x14ac:dyDescent="0.2">
      <c r="F51" s="1"/>
    </row>
  </sheetData>
  <customSheetViews>
    <customSheetView guid="{33CCADFA-0D48-46A6-8927-2B2144029216}">
      <rowBreaks count="1" manualBreakCount="1">
        <brk id="50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0</oddHeader>
      </headerFooter>
    </customSheetView>
  </customSheetViews>
  <mergeCells count="21">
    <mergeCell ref="E38:F38"/>
    <mergeCell ref="B40:F40"/>
    <mergeCell ref="B41:F41"/>
    <mergeCell ref="B42:F42"/>
    <mergeCell ref="B36:E36"/>
    <mergeCell ref="B37:E37"/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</mergeCells>
  <phoneticPr fontId="28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0</oddHeader>
  </headerFooter>
  <rowBreaks count="1" manualBreakCount="1">
    <brk id="50" max="7" man="1"/>
  </rowBreak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50">
    <tabColor rgb="FF7030A0"/>
  </sheetPr>
  <dimension ref="A1:H48"/>
  <sheetViews>
    <sheetView zoomScaleNormal="100" workbookViewId="0">
      <selection activeCell="B5" sqref="B5"/>
    </sheetView>
  </sheetViews>
  <sheetFormatPr defaultColWidth="9.140625" defaultRowHeight="12.75" x14ac:dyDescent="0.2"/>
  <cols>
    <col min="1" max="1" width="8.7109375" style="6" customWidth="1"/>
    <col min="2" max="2" width="23.85546875" style="6" customWidth="1"/>
    <col min="3" max="3" width="9.28515625" style="6" bestFit="1" customWidth="1"/>
    <col min="4" max="6" width="10.7109375" style="6" customWidth="1"/>
    <col min="7" max="7" width="9.140625" style="6"/>
    <col min="8" max="8" width="14.7109375" style="6" customWidth="1"/>
    <col min="9" max="16384" width="9.140625" style="6"/>
  </cols>
  <sheetData>
    <row r="1" spans="1:8" x14ac:dyDescent="0.2">
      <c r="A1" s="369" t="s">
        <v>252</v>
      </c>
      <c r="F1" s="1" t="s">
        <v>385</v>
      </c>
    </row>
    <row r="3" spans="1:8" x14ac:dyDescent="0.2">
      <c r="A3" s="6" t="s">
        <v>253</v>
      </c>
      <c r="B3" s="36">
        <f ca="1">TODAY()</f>
        <v>42750</v>
      </c>
      <c r="F3" s="41">
        <f>__0_PatNum</f>
        <v>0</v>
      </c>
      <c r="G3" s="42"/>
      <c r="H3" s="43"/>
    </row>
    <row r="4" spans="1:8" x14ac:dyDescent="0.2">
      <c r="A4" s="135" t="s">
        <v>518</v>
      </c>
      <c r="B4" s="6">
        <f>__1_Bed</f>
        <v>0</v>
      </c>
      <c r="F4" s="44" t="str">
        <f>__2_AchterNaam&amp;",  "&amp;__3_VoorNaam</f>
        <v xml:space="preserve">,  </v>
      </c>
      <c r="G4" s="45"/>
      <c r="H4" s="46"/>
    </row>
    <row r="5" spans="1:8" x14ac:dyDescent="0.2">
      <c r="A5" s="6" t="s">
        <v>254</v>
      </c>
      <c r="B5" s="6" t="s">
        <v>379</v>
      </c>
      <c r="F5" s="47">
        <f>__4_GebDatum</f>
        <v>1462</v>
      </c>
      <c r="G5" s="45"/>
      <c r="H5" s="46"/>
    </row>
    <row r="6" spans="1:8" x14ac:dyDescent="0.2">
      <c r="A6" s="369"/>
      <c r="F6" s="44" t="s">
        <v>274</v>
      </c>
      <c r="G6" s="45" t="str">
        <f>_Pat_Gewicht/10&amp;" kg"</f>
        <v>0 kg</v>
      </c>
      <c r="H6" s="46"/>
    </row>
    <row r="7" spans="1:8" x14ac:dyDescent="0.2">
      <c r="A7" s="6" t="s">
        <v>321</v>
      </c>
      <c r="B7" s="6" t="s">
        <v>255</v>
      </c>
      <c r="F7" s="48"/>
      <c r="G7" s="40"/>
      <c r="H7" s="49"/>
    </row>
    <row r="8" spans="1:8" x14ac:dyDescent="0.2">
      <c r="A8" s="6" t="s">
        <v>290</v>
      </c>
      <c r="B8" s="6" t="s">
        <v>255</v>
      </c>
    </row>
    <row r="9" spans="1:8" ht="13.5" thickBot="1" x14ac:dyDescent="0.25">
      <c r="A9" s="6" t="str">
        <f>IF(_Pat_Gewicht/10&lt;7,"Tot. hoev. vocht* (150 ml/kg/24 uur):","Tot. hoev. vocht* (110-90 ml/kg/24 uur):")</f>
        <v>Tot. hoev. vocht* (150 ml/kg/24 uur):</v>
      </c>
      <c r="C9" s="6">
        <f>PedBerTPN!F24</f>
        <v>0</v>
      </c>
      <c r="D9" s="6" t="s">
        <v>322</v>
      </c>
    </row>
    <row r="10" spans="1:8" ht="13.5" thickTop="1" x14ac:dyDescent="0.2">
      <c r="A10" s="920" t="s">
        <v>16</v>
      </c>
      <c r="B10" s="921"/>
      <c r="C10" s="921"/>
      <c r="D10" s="921"/>
      <c r="E10" s="921"/>
      <c r="F10" s="921"/>
      <c r="G10" s="921"/>
      <c r="H10" s="922"/>
    </row>
    <row r="11" spans="1:8" ht="25.5" x14ac:dyDescent="0.2">
      <c r="A11" s="25" t="s">
        <v>308</v>
      </c>
      <c r="B11" s="923" t="s">
        <v>172</v>
      </c>
      <c r="C11" s="925"/>
      <c r="D11" s="927" t="s">
        <v>173</v>
      </c>
      <c r="E11" s="927" t="s">
        <v>174</v>
      </c>
      <c r="F11" s="927" t="s">
        <v>175</v>
      </c>
      <c r="G11" s="26"/>
      <c r="H11" s="26" t="s">
        <v>176</v>
      </c>
    </row>
    <row r="12" spans="1:8" ht="25.5" x14ac:dyDescent="0.2">
      <c r="A12" s="27" t="s">
        <v>177</v>
      </c>
      <c r="B12" s="924"/>
      <c r="C12" s="926"/>
      <c r="D12" s="928"/>
      <c r="E12" s="928"/>
      <c r="F12" s="928"/>
      <c r="G12" s="26" t="s">
        <v>178</v>
      </c>
      <c r="H12" s="28" t="s">
        <v>179</v>
      </c>
    </row>
    <row r="13" spans="1:8" ht="20.100000000000001" customHeight="1" x14ac:dyDescent="0.2">
      <c r="A13" s="80" t="str">
        <f>IF(G15&lt;&gt;0,ROUND(G15/24,1)&amp;" ml/u","")</f>
        <v/>
      </c>
      <c r="B13" s="63" t="s">
        <v>71</v>
      </c>
      <c r="C13" s="64"/>
      <c r="D13" s="64" t="s">
        <v>72</v>
      </c>
      <c r="E13" s="64" t="s">
        <v>73</v>
      </c>
      <c r="F13" s="65" t="s">
        <v>74</v>
      </c>
      <c r="G13" s="85" t="str">
        <f>IF(_Ped_TPN_Keuze&lt;&gt;1,PedBerTPN!F4,"")</f>
        <v/>
      </c>
      <c r="H13" s="26"/>
    </row>
    <row r="14" spans="1:8" ht="20.100000000000001" customHeight="1" x14ac:dyDescent="0.2">
      <c r="A14" s="81"/>
      <c r="B14" s="63"/>
      <c r="C14" s="64"/>
      <c r="D14" s="64"/>
      <c r="E14" s="64"/>
      <c r="F14" s="65"/>
      <c r="G14" s="66"/>
      <c r="H14" s="26"/>
    </row>
    <row r="15" spans="1:8" ht="20.100000000000001" customHeight="1" x14ac:dyDescent="0.2">
      <c r="A15" s="25"/>
      <c r="B15" s="83"/>
      <c r="C15" s="83"/>
      <c r="D15" s="83"/>
      <c r="E15" s="83"/>
      <c r="F15" s="83" t="s">
        <v>221</v>
      </c>
      <c r="G15" s="84">
        <f>SUM(G13:G14)</f>
        <v>0</v>
      </c>
      <c r="H15" s="26"/>
    </row>
    <row r="16" spans="1:8" ht="20.100000000000001" customHeight="1" x14ac:dyDescent="0.2">
      <c r="A16" s="25"/>
      <c r="B16" s="64"/>
      <c r="C16" s="64"/>
      <c r="D16" s="64"/>
      <c r="E16" s="64"/>
      <c r="F16" s="64"/>
      <c r="G16" s="82"/>
      <c r="H16" s="26"/>
    </row>
    <row r="17" spans="1:8" ht="20.100000000000001" customHeight="1" x14ac:dyDescent="0.2">
      <c r="A17" s="81" t="str">
        <f>IF(G19&lt;&gt;0,ROUND(G19/24,1)&amp;" ml/u","")</f>
        <v/>
      </c>
      <c r="B17" s="63" t="s">
        <v>310</v>
      </c>
      <c r="C17" s="64"/>
      <c r="D17" s="64"/>
      <c r="E17" s="60"/>
      <c r="F17" s="61" t="s">
        <v>181</v>
      </c>
      <c r="G17" s="66">
        <f>IF(AND(OR(_Ped_TPN_SST1Keuze&lt;11,_Pat_Gewicht/10&gt;50),_Ped_TPN_Keuze&lt;&gt;1),ROUND(PedBerTPN!F5,0),0)</f>
        <v>0</v>
      </c>
      <c r="H17" s="26"/>
    </row>
    <row r="18" spans="1:8" ht="20.100000000000001" customHeight="1" x14ac:dyDescent="0.2">
      <c r="A18" s="25"/>
      <c r="B18" s="63" t="s">
        <v>303</v>
      </c>
      <c r="C18" s="64"/>
      <c r="D18" s="64"/>
      <c r="E18" s="64"/>
      <c r="F18" s="65" t="s">
        <v>70</v>
      </c>
      <c r="G18" s="66">
        <f>IF(G17&gt;0,100,0)</f>
        <v>0</v>
      </c>
      <c r="H18" s="26"/>
    </row>
    <row r="19" spans="1:8" ht="20.100000000000001" customHeight="1" x14ac:dyDescent="0.2">
      <c r="A19" s="25"/>
      <c r="B19" s="58"/>
      <c r="C19" s="58"/>
      <c r="D19" s="58"/>
      <c r="E19" s="916" t="s">
        <v>219</v>
      </c>
      <c r="F19" s="916"/>
      <c r="G19" s="55">
        <f>SUM(G17:G18)</f>
        <v>0</v>
      </c>
      <c r="H19" s="26"/>
    </row>
    <row r="20" spans="1:8" ht="20.100000000000001" customHeight="1" x14ac:dyDescent="0.2">
      <c r="A20" s="25"/>
      <c r="B20" s="52"/>
      <c r="C20" s="52"/>
      <c r="D20" s="52"/>
      <c r="E20" s="52"/>
      <c r="F20" s="52"/>
      <c r="G20" s="30"/>
      <c r="H20" s="26"/>
    </row>
    <row r="21" spans="1:8" ht="20.100000000000001" customHeight="1" x14ac:dyDescent="0.2">
      <c r="A21" s="25" t="str">
        <f>IF(G24&lt;&gt;0,ROUND(G24/24,1)&amp;" ml/u","")</f>
        <v/>
      </c>
      <c r="B21" s="59" t="s">
        <v>199</v>
      </c>
      <c r="C21" s="60"/>
      <c r="D21" s="60" t="s">
        <v>75</v>
      </c>
      <c r="E21" s="60" t="s">
        <v>76</v>
      </c>
      <c r="F21" s="61" t="s">
        <v>77</v>
      </c>
      <c r="G21" s="62">
        <f>ROUND(PedBerTPN!F13,0)</f>
        <v>0</v>
      </c>
      <c r="H21" s="26"/>
    </row>
    <row r="22" spans="1:8" ht="20.100000000000001" customHeight="1" x14ac:dyDescent="0.2">
      <c r="A22" s="25"/>
      <c r="B22" s="63" t="s">
        <v>200</v>
      </c>
      <c r="C22" s="64"/>
      <c r="D22" s="64"/>
      <c r="E22" s="60"/>
      <c r="F22" s="61" t="s">
        <v>78</v>
      </c>
      <c r="G22" s="66">
        <f>ROUND(PedBerTPN!F14,0)</f>
        <v>0</v>
      </c>
      <c r="H22" s="26"/>
    </row>
    <row r="23" spans="1:8" ht="20.100000000000001" customHeight="1" x14ac:dyDescent="0.2">
      <c r="A23" s="25"/>
      <c r="B23" s="63" t="s">
        <v>216</v>
      </c>
      <c r="C23" s="64"/>
      <c r="D23" s="64"/>
      <c r="E23" s="60"/>
      <c r="F23" s="61" t="s">
        <v>78</v>
      </c>
      <c r="G23" s="66">
        <f>ROUND(PedBerTPN!F15,0)</f>
        <v>0</v>
      </c>
      <c r="H23" s="26"/>
    </row>
    <row r="24" spans="1:8" ht="20.100000000000001" customHeight="1" x14ac:dyDescent="0.2">
      <c r="A24" s="25"/>
      <c r="B24" s="52"/>
      <c r="C24" s="52"/>
      <c r="D24" s="52"/>
      <c r="E24" s="916" t="s">
        <v>219</v>
      </c>
      <c r="F24" s="916"/>
      <c r="G24" s="57">
        <f>SUM(G21:G23)</f>
        <v>0</v>
      </c>
      <c r="H24" s="53"/>
    </row>
    <row r="25" spans="1:8" ht="15.95" customHeight="1" thickBot="1" x14ac:dyDescent="0.25">
      <c r="A25" s="25"/>
      <c r="B25" s="52"/>
      <c r="C25" s="52"/>
      <c r="D25" s="52"/>
      <c r="E25" s="52"/>
      <c r="F25" s="52"/>
      <c r="G25" s="30"/>
      <c r="H25" s="26"/>
    </row>
    <row r="26" spans="1:8" ht="15.95" customHeight="1" thickTop="1" x14ac:dyDescent="0.2">
      <c r="A26" s="32"/>
      <c r="B26" s="929" t="s">
        <v>115</v>
      </c>
      <c r="C26" s="930"/>
      <c r="D26" s="930"/>
      <c r="E26" s="930"/>
      <c r="F26" s="930"/>
      <c r="G26" s="50"/>
      <c r="H26" s="33"/>
    </row>
    <row r="27" spans="1:8" ht="20.100000000000001" customHeight="1" x14ac:dyDescent="0.2">
      <c r="A27" s="909" t="str">
        <f>IF(G35&lt;&gt;0,ROUND(G35/24,1)&amp;" ml/u","")</f>
        <v/>
      </c>
      <c r="B27" s="70" t="s">
        <v>34</v>
      </c>
      <c r="C27" s="72"/>
      <c r="D27" s="72"/>
      <c r="E27" s="72"/>
      <c r="F27" s="76"/>
      <c r="G27" s="77">
        <f>IF(AND(OR(_Ped_TPN_Keuze=1,_Pat_Gewicht/10&gt;50,AND(_Ped_TPN_Keuze=2,_Ped_TPN_SST1Keuze&gt;10))),ROUND(PedBerTPN!F7,0),"")</f>
        <v>0</v>
      </c>
      <c r="H27" s="26"/>
    </row>
    <row r="28" spans="1:8" ht="20.100000000000001" customHeight="1" x14ac:dyDescent="0.2">
      <c r="A28" s="910"/>
      <c r="B28" s="71" t="s">
        <v>407</v>
      </c>
      <c r="C28" s="74"/>
      <c r="D28" s="74"/>
      <c r="E28" s="74"/>
      <c r="F28" s="78"/>
      <c r="G28" s="79">
        <f>IF(AND(OR(_Ped_TPN_Keuze=1,_Pat_Gewicht/10&gt;50,AND(_Ped_TPN_Keuze=2,_Ped_TPN_SST1Keuze&gt;10))),ROUND(PedBerTPN!F8,0),"")</f>
        <v>0</v>
      </c>
      <c r="H28" s="26"/>
    </row>
    <row r="29" spans="1:8" ht="15.95" customHeight="1" x14ac:dyDescent="0.2">
      <c r="A29" s="51"/>
      <c r="B29" s="71" t="s">
        <v>427</v>
      </c>
      <c r="C29" s="74"/>
      <c r="D29" s="74"/>
      <c r="E29" s="74"/>
      <c r="F29" s="78"/>
      <c r="G29" s="79">
        <f>PedBerTPN!F9</f>
        <v>0</v>
      </c>
      <c r="H29" s="26"/>
    </row>
    <row r="30" spans="1:8" ht="15.95" customHeight="1" x14ac:dyDescent="0.2">
      <c r="A30" s="51"/>
      <c r="B30" s="71" t="s">
        <v>428</v>
      </c>
      <c r="C30" s="74"/>
      <c r="D30" s="74"/>
      <c r="E30" s="74"/>
      <c r="F30" s="78"/>
      <c r="G30" s="79">
        <f>PedBerTPN!F10</f>
        <v>0</v>
      </c>
      <c r="H30" s="26"/>
    </row>
    <row r="31" spans="1:8" ht="15.95" customHeight="1" x14ac:dyDescent="0.2">
      <c r="A31" s="51"/>
      <c r="B31" s="71" t="s">
        <v>303</v>
      </c>
      <c r="C31" s="74"/>
      <c r="D31" s="74"/>
      <c r="E31" s="74"/>
      <c r="F31" s="78"/>
      <c r="G31" s="79">
        <f>IF(_Pat_Gewicht/10&lt;=50,PedBerTPN!F17,0)+IF(OR(AND(_Ped_TPN_SST1Keuze=2,_Ped_TPN_Keuze=1),AND(_Ped_TPN_SST1Keuze=2,_Pat_Gewicht/10&gt;50)),ROUND(PedBerTPN!F6,0),0)</f>
        <v>0</v>
      </c>
      <c r="H31" s="26"/>
    </row>
    <row r="32" spans="1:8" ht="15.95" customHeight="1" x14ac:dyDescent="0.2">
      <c r="A32" s="51"/>
      <c r="B32" s="71">
        <f>IF(AND(OR(_Ped_TPN_Keuze=1,AND(_Ped_TPN_Keuze=2,_Ped_TPN_SST1Keuze&gt;10)),_Ped_TPN_SST1Keuze&lt;&gt;2,_Ped_TPN_SST1Keuze&lt;&gt;12,_Ped_TPN_SST1Keuze&lt;&gt;13),INDEX(tblSSTGlucose,_Ped_TPN_SST1Keuze,1),"Glucose       %")</f>
        <v>0</v>
      </c>
      <c r="C32" s="74"/>
      <c r="D32" s="74"/>
      <c r="E32" s="74"/>
      <c r="F32" s="78"/>
      <c r="G32" s="79">
        <f>IF(AND(_Ped_TPN_SST1Keuze&lt;&gt;2,_Ped_TPN_SST1Keuze&lt;&gt;12,_Ped_TPN_SST1Keuze&lt;&gt;13),PedBerTPN!F6,"")</f>
        <v>0</v>
      </c>
      <c r="H32" s="26"/>
    </row>
    <row r="33" spans="1:8" ht="15.95" customHeight="1" x14ac:dyDescent="0.2">
      <c r="A33" s="51"/>
      <c r="B33" s="939" t="s">
        <v>35</v>
      </c>
      <c r="C33" s="940"/>
      <c r="D33" s="940"/>
      <c r="E33" s="940"/>
      <c r="F33" s="78"/>
      <c r="G33" s="79" t="str">
        <f>IF(AND(_Ped_TPN_SST1Keuze=12),ROUND(PedBerTPN!F6,0),"")</f>
        <v/>
      </c>
      <c r="H33" s="26"/>
    </row>
    <row r="34" spans="1:8" ht="20.100000000000001" customHeight="1" x14ac:dyDescent="0.2">
      <c r="A34" s="25"/>
      <c r="B34" s="939" t="s">
        <v>36</v>
      </c>
      <c r="C34" s="940"/>
      <c r="D34" s="940"/>
      <c r="E34" s="940"/>
      <c r="F34" s="78"/>
      <c r="G34" s="79" t="str">
        <f>IF(AND(_Ped_TPN_SST1Keuze=13),ROUND(PedBerTPN!F6,0),"")</f>
        <v/>
      </c>
      <c r="H34" s="26"/>
    </row>
    <row r="35" spans="1:8" ht="20.100000000000001" customHeight="1" x14ac:dyDescent="0.2">
      <c r="A35" s="25"/>
      <c r="B35" s="30"/>
      <c r="C35" s="30"/>
      <c r="D35" s="30"/>
      <c r="E35" s="913" t="s">
        <v>221</v>
      </c>
      <c r="F35" s="913"/>
      <c r="G35" s="56">
        <f>SUM(G27:G34)</f>
        <v>0</v>
      </c>
      <c r="H35" s="26"/>
    </row>
    <row r="36" spans="1:8" ht="20.100000000000001" customHeight="1" thickBot="1" x14ac:dyDescent="0.25">
      <c r="A36" s="25"/>
      <c r="B36" s="30"/>
      <c r="C36" s="30"/>
      <c r="D36" s="30"/>
      <c r="E36" s="30"/>
      <c r="F36" s="30"/>
      <c r="G36" s="30"/>
      <c r="H36" s="26"/>
    </row>
    <row r="37" spans="1:8" ht="20.100000000000001" customHeight="1" thickTop="1" x14ac:dyDescent="0.2">
      <c r="A37" s="32"/>
      <c r="B37" s="917" t="s">
        <v>245</v>
      </c>
      <c r="C37" s="918"/>
      <c r="D37" s="918"/>
      <c r="E37" s="918"/>
      <c r="F37" s="919"/>
      <c r="G37" s="33" t="s">
        <v>246</v>
      </c>
      <c r="H37" s="33"/>
    </row>
    <row r="38" spans="1:8" ht="20.100000000000001" customHeight="1" x14ac:dyDescent="0.2">
      <c r="A38" s="34"/>
      <c r="B38" s="904" t="s">
        <v>247</v>
      </c>
      <c r="C38" s="905"/>
      <c r="D38" s="905"/>
      <c r="E38" s="905"/>
      <c r="F38" s="906"/>
      <c r="G38" s="28" t="s">
        <v>248</v>
      </c>
      <c r="H38" s="26"/>
    </row>
    <row r="39" spans="1:8" ht="20.100000000000001" customHeight="1" x14ac:dyDescent="0.2">
      <c r="A39" s="34"/>
      <c r="B39" s="904" t="s">
        <v>249</v>
      </c>
      <c r="C39" s="905"/>
      <c r="D39" s="905"/>
      <c r="E39" s="905"/>
      <c r="F39" s="906"/>
      <c r="G39" s="28" t="s">
        <v>246</v>
      </c>
      <c r="H39" s="29"/>
    </row>
    <row r="40" spans="1:8" ht="20.100000000000001" customHeight="1" x14ac:dyDescent="0.2"/>
    <row r="41" spans="1:8" ht="15.95" customHeight="1" x14ac:dyDescent="0.2">
      <c r="A41" s="6" t="s">
        <v>250</v>
      </c>
    </row>
    <row r="42" spans="1:8" ht="10.5" customHeight="1" x14ac:dyDescent="0.2">
      <c r="A42" s="6" t="s">
        <v>220</v>
      </c>
    </row>
    <row r="43" spans="1:8" ht="15.95" customHeight="1" x14ac:dyDescent="0.2"/>
    <row r="44" spans="1:8" ht="15.95" customHeight="1" x14ac:dyDescent="0.2">
      <c r="A44" s="6" t="s">
        <v>251</v>
      </c>
    </row>
    <row r="45" spans="1:8" ht="15.95" customHeight="1" x14ac:dyDescent="0.2"/>
    <row r="46" spans="1:8" x14ac:dyDescent="0.2">
      <c r="A46" s="6" t="s">
        <v>80</v>
      </c>
    </row>
    <row r="48" spans="1:8" x14ac:dyDescent="0.2">
      <c r="F48" s="1"/>
    </row>
  </sheetData>
  <customSheetViews>
    <customSheetView guid="{33CCADFA-0D48-46A6-8927-2B2144029216}">
      <rowBreaks count="1" manualBreakCount="1">
        <brk id="53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1.7</oddHeader>
      </headerFooter>
    </customSheetView>
  </customSheetViews>
  <mergeCells count="16">
    <mergeCell ref="A27:A28"/>
    <mergeCell ref="A10:H10"/>
    <mergeCell ref="B11:B12"/>
    <mergeCell ref="C11:C12"/>
    <mergeCell ref="D11:D12"/>
    <mergeCell ref="E11:E12"/>
    <mergeCell ref="F11:F12"/>
    <mergeCell ref="B26:F26"/>
    <mergeCell ref="E19:F19"/>
    <mergeCell ref="E24:F24"/>
    <mergeCell ref="B37:F37"/>
    <mergeCell ref="B38:F38"/>
    <mergeCell ref="B39:F39"/>
    <mergeCell ref="B33:E33"/>
    <mergeCell ref="B34:E34"/>
    <mergeCell ref="E35:F35"/>
  </mergeCells>
  <phoneticPr fontId="28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1.7</oddHeader>
  </headerFooter>
  <rowBreaks count="1" manualBreakCount="1">
    <brk id="53" max="7" man="1"/>
  </rowBreak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Neo">
    <tabColor rgb="FFFF0000"/>
  </sheetPr>
  <dimension ref="A1"/>
  <sheetViews>
    <sheetView workbookViewId="0">
      <selection activeCell="D22" sqref="D22"/>
    </sheetView>
  </sheetViews>
  <sheetFormatPr defaultRowHeight="12.75" x14ac:dyDescent="0.2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InfB">
    <tabColor rgb="FF7030A0"/>
    <pageSetUpPr autoPageBreaks="0"/>
  </sheetPr>
  <dimension ref="A1:O75"/>
  <sheetViews>
    <sheetView workbookViewId="0">
      <pane ySplit="16" topLeftCell="A17" activePane="bottomLeft" state="frozen"/>
      <selection pane="bottomLeft" activeCell="L21" sqref="L21"/>
    </sheetView>
  </sheetViews>
  <sheetFormatPr defaultColWidth="9.140625" defaultRowHeight="15.95" customHeight="1" x14ac:dyDescent="0.2"/>
  <cols>
    <col min="1" max="1" width="3.7109375" style="204" customWidth="1"/>
    <col min="2" max="5" width="12.42578125" style="204" customWidth="1"/>
    <col min="6" max="6" width="10.7109375" style="204" customWidth="1"/>
    <col min="7" max="11" width="12.42578125" style="204" customWidth="1"/>
    <col min="12" max="12" width="5.28515625" style="204" customWidth="1"/>
    <col min="13" max="13" width="7.85546875" style="204" customWidth="1"/>
    <col min="14" max="14" width="17.140625" style="204" customWidth="1"/>
    <col min="15" max="19" width="12.42578125" style="204" customWidth="1"/>
    <col min="20" max="16384" width="9.140625" style="204"/>
  </cols>
  <sheetData>
    <row r="1" spans="1:15" ht="18" customHeight="1" x14ac:dyDescent="0.2">
      <c r="A1" s="370"/>
      <c r="B1" s="533" t="str">
        <f>IF(E60&lt;0,"Te weinig volume voor TPN!","")</f>
        <v/>
      </c>
    </row>
    <row r="2" spans="1:15" ht="15.95" customHeight="1" x14ac:dyDescent="0.2">
      <c r="B2" s="526" t="s">
        <v>355</v>
      </c>
      <c r="C2" s="526" t="s">
        <v>557</v>
      </c>
      <c r="D2" s="526" t="s">
        <v>558</v>
      </c>
      <c r="E2" s="526" t="s">
        <v>112</v>
      </c>
      <c r="F2" s="527"/>
      <c r="G2" s="526"/>
      <c r="H2" s="526" t="s">
        <v>557</v>
      </c>
      <c r="I2" s="526" t="s">
        <v>558</v>
      </c>
      <c r="J2" s="526" t="s">
        <v>112</v>
      </c>
    </row>
    <row r="3" spans="1:15" ht="15.95" customHeight="1" x14ac:dyDescent="0.2">
      <c r="B3" s="528" t="s">
        <v>311</v>
      </c>
      <c r="C3" s="529" t="e">
        <f ca="1">ROUND(NeoBerInfB!K50/(_Pat_Gewicht/10),0)&amp;" ml/kg"</f>
        <v>#DIV/0!</v>
      </c>
      <c r="D3" s="529" t="e">
        <f>ROUND(NeoBerInfB!K49/(_Pat_Gewicht/10),0)&amp;" ml/kg"</f>
        <v>#DIV/0!</v>
      </c>
      <c r="E3" s="529" t="e">
        <f ca="1">ROUND(NeoBerInfB!K47/(_Pat_Gewicht/10),0)&amp;" ml/kg  "&amp;"= "&amp;ROUND(NeoBerInfB!K47,0)&amp;" ml"</f>
        <v>#DIV/0!</v>
      </c>
      <c r="F3" s="527"/>
      <c r="G3" s="528" t="s">
        <v>169</v>
      </c>
      <c r="H3" s="529" t="e">
        <f ca="1">ROUND(NeoBerInfB!L50/(_Pat_Gewicht/10),1)&amp;" mmol/kg"</f>
        <v>#DIV/0!</v>
      </c>
      <c r="I3" s="529" t="e">
        <f>ROUND(NeoBerInfB!L49/(_Pat_Gewicht/10),1)&amp;" mmol/kg"</f>
        <v>#DIV/0!</v>
      </c>
      <c r="J3" s="529" t="e">
        <f ca="1">ROUND(NeoBerInfB!L47/(_Pat_Gewicht/10),1)&amp;" mmol/kg"</f>
        <v>#DIV/0!</v>
      </c>
      <c r="K3" s="941" t="str">
        <f>NeoBerInfB!H1</f>
        <v>Actuele Afspraken</v>
      </c>
      <c r="L3" s="941"/>
      <c r="M3" s="941"/>
      <c r="N3" s="941"/>
    </row>
    <row r="4" spans="1:15" ht="15.95" customHeight="1" x14ac:dyDescent="0.2">
      <c r="B4" s="528" t="s">
        <v>223</v>
      </c>
      <c r="C4" s="529" t="e">
        <f ca="1">ROUND(NeoBerInfB!Q50/(_Pat_Gewicht/10),1)&amp;" g/kg"</f>
        <v>#DIV/0!</v>
      </c>
      <c r="D4" s="529" t="e">
        <f>ROUND(NeoBerInfB!Q49/(_Pat_Gewicht/10),1)&amp;" g/kg"</f>
        <v>#DIV/0!</v>
      </c>
      <c r="E4" s="529" t="e">
        <f ca="1">ROUND(NeoBerInfB!Q47/(_Pat_Gewicht/10),1)&amp;" g/kg"</f>
        <v>#DIV/0!</v>
      </c>
      <c r="F4" s="527"/>
      <c r="G4" s="528" t="s">
        <v>279</v>
      </c>
      <c r="H4" s="529" t="e">
        <f ca="1">ROUND(NeoBerInfB!M50/(_Pat_Gewicht/10),1)&amp;" mmol/kg"</f>
        <v>#DIV/0!</v>
      </c>
      <c r="I4" s="529" t="e">
        <f>ROUND(NeoBerInfB!M49/(_Pat_Gewicht/10),1)&amp;" mmol/kg"</f>
        <v>#DIV/0!</v>
      </c>
      <c r="J4" s="529" t="e">
        <f ca="1">ROUND(NeoBerInfB!M47/(_Pat_Gewicht/10),1)&amp;" mmol/kg"</f>
        <v>#DIV/0!</v>
      </c>
      <c r="K4" s="941"/>
      <c r="L4" s="941"/>
      <c r="M4" s="941"/>
      <c r="N4" s="941"/>
    </row>
    <row r="5" spans="1:15" ht="15.95" customHeight="1" x14ac:dyDescent="0.2">
      <c r="B5" s="528" t="s">
        <v>224</v>
      </c>
      <c r="C5" s="529" t="e">
        <f ca="1">ROUND(NeoBerInfB!S50/(_Pat_Gewicht/10),1)&amp;" g/kg"</f>
        <v>#DIV/0!</v>
      </c>
      <c r="D5" s="529" t="e">
        <f>ROUND(NeoBerInfB!S49/(_Pat_Gewicht/10),1)&amp;" g/kg"</f>
        <v>#DIV/0!</v>
      </c>
      <c r="E5" s="529" t="e">
        <f ca="1">ROUND(NeoBerInfB!S47/(_Pat_Gewicht/10),1)&amp;" g/kg"</f>
        <v>#DIV/0!</v>
      </c>
      <c r="F5" s="527"/>
      <c r="G5" s="528" t="s">
        <v>225</v>
      </c>
      <c r="H5" s="529" t="e">
        <f ca="1">ROUND(NeoBerInfB!N50/(_Pat_Gewicht/10),1)&amp;" mmol/kg"</f>
        <v>#DIV/0!</v>
      </c>
      <c r="I5" s="529" t="e">
        <f>ROUND(NeoBerInfB!N49/(_Pat_Gewicht/10),1)&amp;" mmol/kg"</f>
        <v>#DIV/0!</v>
      </c>
      <c r="J5" s="529" t="e">
        <f ca="1">ROUND(NeoBerInfB!N47/(_Pat_Gewicht/10),1)&amp;" mmol/kg"</f>
        <v>#DIV/0!</v>
      </c>
      <c r="K5" s="941"/>
      <c r="L5" s="941"/>
      <c r="M5" s="941"/>
      <c r="N5" s="941"/>
    </row>
    <row r="6" spans="1:15" ht="15.95" customHeight="1" x14ac:dyDescent="0.2">
      <c r="A6" s="370"/>
      <c r="B6" s="528" t="s">
        <v>559</v>
      </c>
      <c r="C6" s="529" t="e">
        <f>ROUND(1000*NeoBerInfB!R50/(_Pat_Gewicht/10)/1440,1)&amp;" mg/kg/min"</f>
        <v>#DIV/0!</v>
      </c>
      <c r="D6" s="529" t="e">
        <f>ROUND(1000*NeoBerInfB!R49/(_Pat_Gewicht/10)/1440,1)&amp;" mg/kg/min"</f>
        <v>#DIV/0!</v>
      </c>
      <c r="E6" s="529" t="e">
        <f>ROUND(1000*NeoBerInfB!R47/(_Pat_Gewicht/10)/1440,1)&amp;" mg/kg/min"</f>
        <v>#DIV/0!</v>
      </c>
      <c r="F6" s="527"/>
      <c r="G6" s="528" t="s">
        <v>316</v>
      </c>
      <c r="H6" s="529" t="e">
        <f ca="1">ROUND(NeoBerInfB!O50/(_Pat_Gewicht/10),1)&amp;" mmol/kg"</f>
        <v>#DIV/0!</v>
      </c>
      <c r="I6" s="529" t="e">
        <f>ROUND(NeoBerInfB!O49/(_Pat_Gewicht/10),1)&amp;" mmol/kg"</f>
        <v>#DIV/0!</v>
      </c>
      <c r="J6" s="529" t="e">
        <f ca="1">ROUND(NeoBerInfB!O47/(_Pat_Gewicht/10),1)&amp;" mmol/kg"</f>
        <v>#DIV/0!</v>
      </c>
      <c r="K6" s="941"/>
      <c r="L6" s="941"/>
      <c r="M6" s="941"/>
      <c r="N6" s="941"/>
    </row>
    <row r="7" spans="1:15" ht="15.95" customHeight="1" x14ac:dyDescent="0.2">
      <c r="B7" s="528" t="s">
        <v>552</v>
      </c>
      <c r="C7" s="529" t="e">
        <f ca="1">ROUND(NeoBerInfB!T50/(_Pat_Gewicht/10),1)&amp; " kcal/kg"</f>
        <v>#DIV/0!</v>
      </c>
      <c r="D7" s="529" t="e">
        <f>ROUND(NeoBerInfB!T49/(_Pat_Gewicht/10),1)&amp; " kcal/kg"</f>
        <v>#DIV/0!</v>
      </c>
      <c r="E7" s="529" t="e">
        <f ca="1">ROUND(NeoBerInfB!T47/(_Pat_Gewicht/10),1)&amp; " kcal/kg"</f>
        <v>#DIV/0!</v>
      </c>
      <c r="F7" s="527"/>
      <c r="G7" s="528" t="s">
        <v>560</v>
      </c>
      <c r="H7" s="529" t="e">
        <f ca="1">ROUND(NeoBerInfB!U50/(_Pat_Gewicht/10),1)&amp;" mmol/kg"</f>
        <v>#DIV/0!</v>
      </c>
      <c r="I7" s="529" t="e">
        <f>ROUND(NeoBerInfB!U49/(_Pat_Gewicht/10),1)&amp;" mmol/kg"</f>
        <v>#DIV/0!</v>
      </c>
      <c r="J7" s="529" t="e">
        <f ca="1">ROUND(NeoBerInfB!U47/(_Pat_Gewicht/10),1)&amp;" mmol/kg"</f>
        <v>#DIV/0!</v>
      </c>
    </row>
    <row r="8" spans="1:15" ht="15.95" customHeight="1" thickBot="1" x14ac:dyDescent="0.25">
      <c r="A8" s="535"/>
      <c r="B8" s="530" t="s">
        <v>561</v>
      </c>
      <c r="C8" s="531" t="str">
        <f ca="1">ROUND(NeoBerInfB!V50,0)&amp; " IE"</f>
        <v>0 IE</v>
      </c>
      <c r="D8" s="531" t="str">
        <f>ROUND(NeoBerInfB!V49,0)&amp; " IE"</f>
        <v>10 IE</v>
      </c>
      <c r="E8" s="531" t="str">
        <f ca="1">ROUND(NeoBerInfB!V47,0)&amp; " IE"</f>
        <v>10 IE</v>
      </c>
      <c r="F8" s="532"/>
      <c r="G8" s="530" t="s">
        <v>226</v>
      </c>
      <c r="H8" s="531" t="e">
        <f>ROUND(NeoBerInfB!P50/(_Pat_Gewicht/10),1)&amp;" mmol/kg"</f>
        <v>#DIV/0!</v>
      </c>
      <c r="I8" s="531" t="e">
        <f>ROUND(NeoBerInfB!P49/(_Pat_Gewicht/10),1)&amp;" mmol/kg"</f>
        <v>#DIV/0!</v>
      </c>
      <c r="J8" s="531" t="e">
        <f>ROUND(NeoBerInfB!P47/(_Pat_Gewicht/10),1)&amp;" mmol/kg"</f>
        <v>#DIV/0!</v>
      </c>
      <c r="K8" s="535"/>
      <c r="L8" s="535"/>
      <c r="M8" s="535"/>
      <c r="N8" s="535"/>
      <c r="O8" s="535"/>
    </row>
    <row r="9" spans="1:15" ht="8.25" customHeight="1" thickTop="1" x14ac:dyDescent="0.2">
      <c r="A9" s="536"/>
      <c r="B9" s="325"/>
      <c r="C9" s="537"/>
      <c r="D9" s="537"/>
      <c r="E9" s="537"/>
      <c r="F9" s="213"/>
      <c r="G9" s="325"/>
      <c r="H9" s="537"/>
      <c r="I9" s="537"/>
      <c r="J9" s="537"/>
      <c r="K9" s="213"/>
      <c r="L9" s="213"/>
      <c r="M9" s="213"/>
      <c r="N9" s="213"/>
    </row>
    <row r="10" spans="1:15" ht="15.95" customHeight="1" x14ac:dyDescent="0.2">
      <c r="B10" s="511" t="s">
        <v>562</v>
      </c>
      <c r="C10" s="512"/>
      <c r="D10" s="512"/>
      <c r="E10" s="512"/>
      <c r="F10" s="512"/>
      <c r="G10" s="513" t="s">
        <v>345</v>
      </c>
      <c r="H10" s="512"/>
      <c r="I10" s="512">
        <f>__0_PatNum</f>
        <v>0</v>
      </c>
      <c r="J10" s="512"/>
      <c r="K10" s="512"/>
      <c r="L10" s="512"/>
      <c r="M10" s="512"/>
    </row>
    <row r="11" spans="1:15" ht="15.95" customHeight="1" x14ac:dyDescent="0.2">
      <c r="B11" s="511" t="s">
        <v>563</v>
      </c>
      <c r="C11" s="512"/>
      <c r="D11" s="512"/>
      <c r="E11" s="512"/>
      <c r="F11" s="512"/>
      <c r="G11" s="513" t="s">
        <v>28</v>
      </c>
      <c r="H11" s="512"/>
      <c r="I11" s="514" t="str">
        <f>__2_AchterNaam &amp;",  "&amp;__3_VoorNaam</f>
        <v xml:space="preserve">,  </v>
      </c>
      <c r="J11" s="515"/>
      <c r="K11" s="512"/>
      <c r="L11" s="512"/>
      <c r="M11" s="512"/>
    </row>
    <row r="12" spans="1:15" ht="15.95" customHeight="1" x14ac:dyDescent="0.2">
      <c r="B12" s="511" t="s">
        <v>564</v>
      </c>
      <c r="C12" s="512"/>
      <c r="D12" s="512"/>
      <c r="E12" s="512"/>
      <c r="F12" s="512"/>
      <c r="G12" s="513" t="s">
        <v>565</v>
      </c>
      <c r="H12" s="512"/>
      <c r="I12" s="516">
        <f>NeoBerInfB!B3-NeoBerInfB!C3</f>
        <v>1462</v>
      </c>
      <c r="J12" s="517" t="str">
        <f ca="1">"=dag "&amp;NeoBerInfB!B6</f>
        <v>=dag 41289</v>
      </c>
      <c r="K12" s="512"/>
      <c r="L12" s="512"/>
      <c r="M12" s="512"/>
    </row>
    <row r="13" spans="1:15" ht="15.95" customHeight="1" x14ac:dyDescent="0.2">
      <c r="B13" s="512"/>
      <c r="C13" s="512"/>
      <c r="D13" s="512"/>
      <c r="E13" s="512"/>
      <c r="F13" s="512"/>
      <c r="G13" s="513" t="s">
        <v>522</v>
      </c>
      <c r="H13" s="518">
        <f>NeoBerInfB!D4</f>
        <v>0</v>
      </c>
      <c r="I13" s="519" t="s">
        <v>566</v>
      </c>
      <c r="J13" s="518">
        <f>NeoBerInfB!D5</f>
        <v>0</v>
      </c>
      <c r="K13" s="519" t="s">
        <v>567</v>
      </c>
      <c r="L13" s="519"/>
      <c r="M13" s="512"/>
    </row>
    <row r="14" spans="1:15" ht="15.95" customHeight="1" x14ac:dyDescent="0.2">
      <c r="B14" s="513" t="s">
        <v>304</v>
      </c>
      <c r="C14" s="516">
        <f>NeoBerInfB!B5</f>
        <v>1462</v>
      </c>
      <c r="D14" s="512"/>
      <c r="E14" s="512"/>
      <c r="F14" s="512"/>
      <c r="G14" s="512"/>
      <c r="H14" s="512"/>
      <c r="I14" s="512"/>
      <c r="J14" s="512"/>
      <c r="K14" s="512"/>
      <c r="L14" s="512"/>
      <c r="M14" s="512"/>
    </row>
    <row r="15" spans="1:15" ht="15.95" customHeight="1" x14ac:dyDescent="0.2">
      <c r="B15" s="520" t="s">
        <v>519</v>
      </c>
      <c r="C15" s="521">
        <f>__1_Bed</f>
        <v>0</v>
      </c>
      <c r="D15" s="522"/>
      <c r="E15" s="512"/>
      <c r="F15" s="512"/>
      <c r="G15" s="513" t="s">
        <v>275</v>
      </c>
      <c r="H15" s="523" t="str">
        <f ca="1">IF(PatDetails!B16&lt;&gt;"",TRUNC((H13*7+J13+NeoBerInfB!B6-1)/7)&amp;" weken en "&amp; H13*7+J13+NeoBerInfB!B6-1-TRUNC((H13*7+J13+NeoBerInfB!B6-1)/7)*7&amp;" dag(-en)","")</f>
        <v/>
      </c>
      <c r="I15" s="512"/>
      <c r="J15" s="512"/>
      <c r="K15" s="512"/>
      <c r="L15" s="512"/>
      <c r="M15" s="512"/>
    </row>
    <row r="16" spans="1:15" ht="15.95" customHeight="1" x14ac:dyDescent="0.2">
      <c r="B16" s="524"/>
      <c r="C16" s="525"/>
      <c r="D16" s="525"/>
      <c r="E16" s="525"/>
      <c r="F16" s="525"/>
      <c r="G16" s="524" t="s">
        <v>536</v>
      </c>
      <c r="H16" s="525" t="str">
        <f>NeoBerInfB!B4&amp;" kg"</f>
        <v>0 kg</v>
      </c>
      <c r="I16" s="525"/>
      <c r="J16" s="525"/>
      <c r="K16" s="525"/>
      <c r="L16" s="525"/>
      <c r="M16" s="525"/>
    </row>
    <row r="17" spans="1:15" ht="15.95" customHeight="1" x14ac:dyDescent="0.2">
      <c r="B17" s="330"/>
      <c r="K17" s="541" t="s">
        <v>568</v>
      </c>
      <c r="L17" s="541"/>
    </row>
    <row r="18" spans="1:15" ht="15.95" customHeight="1" x14ac:dyDescent="0.2">
      <c r="B18" s="330" t="s">
        <v>569</v>
      </c>
      <c r="E18" s="542" t="e">
        <f ca="1">IF(NeoBerInfB!B17,NeoBerInfB!C16,ROUND(NeoBerInfB!K47/(_Pat_Gewicht/10),1))</f>
        <v>#DIV/0!</v>
      </c>
      <c r="F18" s="206" t="s">
        <v>570</v>
      </c>
      <c r="K18" s="543" t="str">
        <f ca="1">ROUND(NeoBerInfB!B16,0)&amp;" ml/ kg/ 24 uur"</f>
        <v>180 ml/ kg/ 24 uur</v>
      </c>
      <c r="L18" s="543"/>
      <c r="M18" s="303"/>
    </row>
    <row r="19" spans="1:15" ht="15.95" customHeight="1" x14ac:dyDescent="0.2">
      <c r="B19" s="330" t="s">
        <v>571</v>
      </c>
      <c r="F19" s="206"/>
      <c r="K19" s="544"/>
      <c r="L19" s="544"/>
      <c r="M19" s="213"/>
    </row>
    <row r="21" spans="1:15" ht="15.95" customHeight="1" x14ac:dyDescent="0.2">
      <c r="D21" s="545" t="s">
        <v>572</v>
      </c>
      <c r="E21" s="538">
        <f>IF(Var_Neo_InfB_Ent_Voeding&gt;1,NeoBerInfB!D10,"")</f>
        <v>4</v>
      </c>
      <c r="F21" s="538" t="s">
        <v>573</v>
      </c>
      <c r="G21" s="205" t="str">
        <f>IF(Var_Neo_InfB_Ent_Voeding&gt;1,NeoBerInfB!D11/10&amp;" ml","")</f>
        <v>1 ml</v>
      </c>
      <c r="H21" s="546" t="s">
        <v>574</v>
      </c>
    </row>
    <row r="22" spans="1:15" ht="15.95" customHeight="1" x14ac:dyDescent="0.2">
      <c r="D22" s="545" t="s">
        <v>575</v>
      </c>
      <c r="E22" s="538">
        <f>IF(Var_Neo_InfB_Ent_Voeding&gt;1,NeoBerInfB!D12,"")</f>
        <v>2</v>
      </c>
      <c r="F22" s="538" t="s">
        <v>573</v>
      </c>
      <c r="G22" s="205" t="str">
        <f>IF(Var_Neo_InfB_Ent_Voeding&gt;1,NeoBerInfB!D13/10&amp;" ml","")</f>
        <v>2 ml</v>
      </c>
      <c r="I22" s="545" t="s">
        <v>928</v>
      </c>
      <c r="M22" s="545" t="s">
        <v>929</v>
      </c>
    </row>
    <row r="23" spans="1:15" ht="15.95" customHeight="1" x14ac:dyDescent="0.2">
      <c r="H23" s="545"/>
      <c r="I23" s="547" t="s">
        <v>946</v>
      </c>
      <c r="K23" s="303" t="e">
        <f>INDEX(tbl_Neo_NutrBMFWaard,NeoBerInfB!K52)&amp;" %"</f>
        <v>#VALUE!</v>
      </c>
    </row>
    <row r="24" spans="1:15" ht="15.95" customHeight="1" x14ac:dyDescent="0.2">
      <c r="H24" s="545"/>
      <c r="K24" s="303" t="e">
        <f>INDEX(tbl_Neo_NutrToevWaard,NeoBerInfB!K53)&amp;" %"</f>
        <v>#VALUE!</v>
      </c>
      <c r="O24" s="303" t="e">
        <f>INDEX(tbl_Neo_NutrToevWaard,NeoBerInfB!K58)&amp;" %"</f>
        <v>#VALUE!</v>
      </c>
    </row>
    <row r="25" spans="1:15" ht="15.95" customHeight="1" x14ac:dyDescent="0.2">
      <c r="H25" s="545"/>
      <c r="K25" s="303" t="e">
        <f>INDEX(tbl_Neo_NutrToevWaard,NeoBerInfB!K54)&amp;" %"</f>
        <v>#VALUE!</v>
      </c>
      <c r="O25" s="303" t="e">
        <f>INDEX(tbl_Neo_NutrToevWaard,NeoBerInfB!K59)&amp;" %"</f>
        <v>#VALUE!</v>
      </c>
    </row>
    <row r="26" spans="1:15" ht="15.95" customHeight="1" x14ac:dyDescent="0.2">
      <c r="H26" s="545"/>
      <c r="K26" s="303" t="e">
        <f>INDEX(tbl_Neo_NutrToevWaard,NeoBerInfB!K55)&amp;" %"</f>
        <v>#VALUE!</v>
      </c>
      <c r="O26" s="303" t="e">
        <f>INDEX(tbl_Neo_NutrToevWaard,NeoBerInfB!K60)&amp;" %"</f>
        <v>#VALUE!</v>
      </c>
    </row>
    <row r="27" spans="1:15" ht="15.95" customHeight="1" x14ac:dyDescent="0.2">
      <c r="B27" s="208"/>
      <c r="C27" s="208"/>
      <c r="D27" s="208"/>
      <c r="E27" s="548"/>
      <c r="F27" s="208"/>
      <c r="G27" s="208"/>
      <c r="H27" s="548"/>
      <c r="I27" s="208"/>
      <c r="J27" s="208"/>
      <c r="K27" s="303" t="e">
        <f>INDEX(tbl_Neo_NutrToevWaard,NeoBerInfB!K56)&amp;" %"</f>
        <v>#VALUE!</v>
      </c>
      <c r="L27" s="208"/>
      <c r="M27" s="208"/>
      <c r="N27" s="208"/>
      <c r="O27" s="303" t="e">
        <f>INDEX(tbl_Neo_NutrToevWaard,NeoBerInfB!K61)&amp;" %"</f>
        <v>#VALUE!</v>
      </c>
    </row>
    <row r="28" spans="1:15" ht="15.95" customHeight="1" x14ac:dyDescent="0.2">
      <c r="B28" s="330" t="s">
        <v>576</v>
      </c>
      <c r="E28" s="542">
        <f ca="1">IF(NeoBerInfB!B17,NeoBerInfB!C17,NeoBerInfB!K50)</f>
        <v>0</v>
      </c>
      <c r="F28" s="206" t="s">
        <v>577</v>
      </c>
    </row>
    <row r="29" spans="1:15" ht="15.95" customHeight="1" x14ac:dyDescent="0.2">
      <c r="H29" s="541" t="s">
        <v>578</v>
      </c>
      <c r="I29" s="541"/>
      <c r="J29" s="549" t="s">
        <v>526</v>
      </c>
      <c r="K29" s="541" t="s">
        <v>579</v>
      </c>
      <c r="L29" s="541"/>
      <c r="N29" s="541" t="s">
        <v>580</v>
      </c>
    </row>
    <row r="30" spans="1:15" ht="15.95" customHeight="1" x14ac:dyDescent="0.2">
      <c r="A30" s="550"/>
      <c r="B30" s="325" t="s">
        <v>744</v>
      </c>
      <c r="C30" s="213"/>
      <c r="D30" s="213"/>
      <c r="E30" s="213"/>
      <c r="F30" s="213"/>
      <c r="G30" s="551" t="str">
        <f>NeoBerInfB!B18/10&amp;" ml/uur"</f>
        <v>0 ml/uur</v>
      </c>
      <c r="H30" s="213"/>
      <c r="I30" s="213"/>
      <c r="J30" s="213"/>
      <c r="K30" s="213"/>
      <c r="L30" s="213"/>
      <c r="M30" s="552"/>
      <c r="N30" s="213"/>
    </row>
    <row r="31" spans="1:15" ht="7.5" customHeight="1" x14ac:dyDescent="0.2">
      <c r="A31" s="550"/>
      <c r="B31" s="325"/>
      <c r="C31" s="213"/>
      <c r="D31" s="213"/>
      <c r="E31" s="213"/>
      <c r="F31" s="213"/>
      <c r="G31" s="551"/>
      <c r="H31" s="213"/>
      <c r="I31" s="213"/>
      <c r="J31" s="213"/>
      <c r="K31" s="213"/>
      <c r="L31" s="213"/>
      <c r="M31" s="552"/>
      <c r="N31" s="213"/>
    </row>
    <row r="32" spans="1:15" ht="15.95" customHeight="1" x14ac:dyDescent="0.2">
      <c r="A32" s="550">
        <v>1</v>
      </c>
      <c r="B32" s="553"/>
      <c r="C32" s="554" t="str">
        <f>IF(NeoBerInfB!C20&gt;0,IF(NeoBerInfB!B20&lt;&gt;5,NeoBerInfB!C20/10&amp;" mg",NeoBerInfB!C20/10&amp;" mg"),"")</f>
        <v/>
      </c>
      <c r="D32" s="554" t="str">
        <f>IF(NeoBerInfB!D20&gt;0,"in "&amp;NeoBerInfB!D20&amp;" ml","")</f>
        <v/>
      </c>
      <c r="E32" s="553"/>
      <c r="F32" s="553"/>
      <c r="G32" s="555" t="str">
        <f>IF(NeoBerInfB!F20/10&gt;0,NeoBerInfB!F20/10&amp;" ml/uur","")</f>
        <v/>
      </c>
      <c r="H32" s="554" t="str">
        <f>IF(AND(NeoBerInfB!H20&gt;0),ROUND(NeoBerInfB!H20,2),"")</f>
        <v/>
      </c>
      <c r="I32" s="554">
        <f>IF(Var_Neo_InfB_Cont_MedKeuze_1&gt;0,INDEX(tbl_Neo_MedIV,NeoBerInfB!B20,6),"")</f>
        <v>0</v>
      </c>
      <c r="J32" s="303"/>
      <c r="K32" s="543">
        <f>INDEX(tbl_Neo_MedIV,NeoBerInfB!B20,2)</f>
        <v>0</v>
      </c>
      <c r="L32" s="543"/>
      <c r="M32" s="556"/>
      <c r="N32" s="557" t="str">
        <f>IF(NeoBerInfB!H20&gt;0,IF(NeoBerInfB!Y20*10&gt;1,NeoBerInfB!X20&amp;" uren",NeoBerInfB!X20&amp;" minuten"),"")</f>
        <v/>
      </c>
    </row>
    <row r="33" spans="1:14" ht="15.95" customHeight="1" x14ac:dyDescent="0.2">
      <c r="A33" s="550">
        <v>2</v>
      </c>
      <c r="B33" s="558"/>
      <c r="C33" s="559" t="str">
        <f>IF(NeoBerInfB!C21&gt;0,NeoBerInfB!C21/10&amp;" mg","")</f>
        <v/>
      </c>
      <c r="D33" s="559" t="str">
        <f>IF(NeoBerInfB!D21&gt;0,"in "&amp;NeoBerInfB!D21&amp;" ml","")</f>
        <v/>
      </c>
      <c r="E33" s="558"/>
      <c r="F33" s="558"/>
      <c r="G33" s="560" t="str">
        <f>IF(NeoBerInfB!F21/10&gt;0,NeoBerInfB!F21/10&amp;" ml/uur","")</f>
        <v/>
      </c>
      <c r="H33" s="554" t="str">
        <f>IF(AND(NeoBerInfB!H21&gt;0),ROUND(NeoBerInfB!H21,2),"")</f>
        <v/>
      </c>
      <c r="I33" s="554">
        <f>IF(Var_Neo_InfB_Cont_MedKeuze_1&gt;0,INDEX(tbl_Neo_MedIV,NeoBerInfB!B21,6),"")</f>
        <v>0</v>
      </c>
      <c r="J33" s="561"/>
      <c r="K33" s="562">
        <f>INDEX(tbl_Neo_MedIV,NeoBerInfB!B21,2)</f>
        <v>0</v>
      </c>
      <c r="L33" s="562"/>
      <c r="M33" s="563"/>
      <c r="N33" s="564" t="str">
        <f>IF(NeoBerInfB!H21&gt;0,IF(NeoBerInfB!Y21*10&gt;1,NeoBerInfB!X21&amp;" uren",NeoBerInfB!X21&amp;" minuten"),"")</f>
        <v/>
      </c>
    </row>
    <row r="34" spans="1:14" ht="15.95" customHeight="1" x14ac:dyDescent="0.2">
      <c r="A34" s="550">
        <v>3</v>
      </c>
      <c r="B34" s="558"/>
      <c r="C34" s="559" t="str">
        <f>IF(NeoBerInfB!C22&gt;0,NeoBerInfB!C22/10&amp;" mg","")</f>
        <v/>
      </c>
      <c r="D34" s="559" t="str">
        <f>IF(NeoBerInfB!D22&gt;0,"in "&amp;NeoBerInfB!D22&amp;" ml","")</f>
        <v/>
      </c>
      <c r="E34" s="558"/>
      <c r="F34" s="558"/>
      <c r="G34" s="560" t="str">
        <f>IF(NeoBerInfB!F22/10&gt;0,NeoBerInfB!F22/10&amp;" ml/uur","")</f>
        <v/>
      </c>
      <c r="H34" s="554" t="str">
        <f>IF(AND(NeoBerInfB!H22&gt;0),ROUND(NeoBerInfB!H22,2),"")</f>
        <v/>
      </c>
      <c r="I34" s="554">
        <f>IF(Var_Neo_InfB_Cont_MedKeuze_1&gt;0,INDEX(tbl_Neo_MedIV,NeoBerInfB!B22,6),"")</f>
        <v>0</v>
      </c>
      <c r="J34" s="561"/>
      <c r="K34" s="562">
        <f>INDEX(tbl_Neo_MedIV,NeoBerInfB!B22,2)</f>
        <v>0</v>
      </c>
      <c r="L34" s="562"/>
      <c r="M34" s="563"/>
      <c r="N34" s="564" t="str">
        <f>IF(NeoBerInfB!H22&gt;0,IF(NeoBerInfB!Y22*10&gt;1,NeoBerInfB!X22&amp;" uren",NeoBerInfB!X22&amp;" minuten"),"")</f>
        <v/>
      </c>
    </row>
    <row r="35" spans="1:14" ht="15.95" customHeight="1" x14ac:dyDescent="0.2">
      <c r="A35" s="550">
        <v>4</v>
      </c>
      <c r="B35" s="558"/>
      <c r="C35" s="559" t="str">
        <f>IF(NeoBerInfB!C23&gt;0,NeoBerInfB!C23/10&amp;" mg","")</f>
        <v/>
      </c>
      <c r="D35" s="559" t="str">
        <f>IF(NeoBerInfB!D23&gt;0,"in "&amp;NeoBerInfB!D23&amp;" ml","")</f>
        <v/>
      </c>
      <c r="E35" s="558"/>
      <c r="F35" s="558"/>
      <c r="G35" s="560" t="str">
        <f>IF(NeoBerInfB!F23/10&gt;0,NeoBerInfB!F23/10&amp;" ml/uur","")</f>
        <v/>
      </c>
      <c r="H35" s="554" t="str">
        <f>IF(AND(NeoBerInfB!H23&gt;0),ROUND(NeoBerInfB!H23,2),"")</f>
        <v/>
      </c>
      <c r="I35" s="554">
        <f>IF(Var_Neo_InfB_Cont_MedKeuze_1&gt;0,INDEX(tbl_Neo_MedIV,NeoBerInfB!B23,6),"")</f>
        <v>0</v>
      </c>
      <c r="J35" s="561"/>
      <c r="K35" s="562">
        <f>INDEX(tbl_Neo_MedIV,NeoBerInfB!B23,2)</f>
        <v>0</v>
      </c>
      <c r="L35" s="562"/>
      <c r="M35" s="563"/>
      <c r="N35" s="564" t="str">
        <f>IF(NeoBerInfB!H23&gt;0,IF(NeoBerInfB!Y23*10&gt;1,NeoBerInfB!X23&amp;" uren",NeoBerInfB!X23&amp;" minuten"),"")</f>
        <v/>
      </c>
    </row>
    <row r="36" spans="1:14" ht="15.95" customHeight="1" x14ac:dyDescent="0.2">
      <c r="A36" s="550">
        <v>5</v>
      </c>
      <c r="B36" s="558"/>
      <c r="C36" s="559" t="str">
        <f>IF(NeoBerInfB!C24&gt;0,NeoBerInfB!C24/10&amp;" mg","")</f>
        <v/>
      </c>
      <c r="D36" s="559" t="str">
        <f>IF(NeoBerInfB!D24&gt;0,"in "&amp;NeoBerInfB!D24&amp;" ml","")</f>
        <v/>
      </c>
      <c r="E36" s="558"/>
      <c r="F36" s="558"/>
      <c r="G36" s="560" t="str">
        <f>IF(NeoBerInfB!F24/10&gt;0,NeoBerInfB!F24/10&amp;" ml/uur","")</f>
        <v/>
      </c>
      <c r="H36" s="554" t="str">
        <f>IF(AND(NeoBerInfB!H24&gt;0),ROUND(NeoBerInfB!H24,2),"")</f>
        <v/>
      </c>
      <c r="I36" s="554">
        <f>IF(Var_Neo_InfB_Cont_MedKeuze_1&gt;0,INDEX(tbl_Neo_MedIV,NeoBerInfB!B24,6),"")</f>
        <v>0</v>
      </c>
      <c r="J36" s="561"/>
      <c r="K36" s="562">
        <f>INDEX(tbl_Neo_MedIV,NeoBerInfB!B24,2)</f>
        <v>0</v>
      </c>
      <c r="L36" s="562"/>
      <c r="M36" s="563"/>
      <c r="N36" s="564" t="str">
        <f>IF(NeoBerInfB!H24&gt;0,IF(NeoBerInfB!Y24*10&gt;1,NeoBerInfB!X24&amp;" uren",NeoBerInfB!X24&amp;" minuten"),"")</f>
        <v/>
      </c>
    </row>
    <row r="37" spans="1:14" ht="15.95" customHeight="1" x14ac:dyDescent="0.2">
      <c r="A37" s="550">
        <v>6</v>
      </c>
      <c r="B37" s="558"/>
      <c r="C37" s="559" t="str">
        <f>IF(NeoBerInfB!C25&gt;0,NeoBerInfB!C25/10&amp;" mg","")</f>
        <v/>
      </c>
      <c r="D37" s="559" t="str">
        <f>IF(NeoBerInfB!D25&gt;0,"in "&amp;NeoBerInfB!D25&amp;" ml","")</f>
        <v/>
      </c>
      <c r="E37" s="558"/>
      <c r="F37" s="558"/>
      <c r="G37" s="560" t="str">
        <f>IF(NeoBerInfB!F25/10&gt;0,NeoBerInfB!F25/10&amp;" ml/uur","")</f>
        <v/>
      </c>
      <c r="H37" s="554" t="str">
        <f>IF(AND(NeoBerInfB!H25&gt;0),ROUND(NeoBerInfB!H25,2),"")</f>
        <v/>
      </c>
      <c r="I37" s="554">
        <f>IF(Var_Neo_InfB_Cont_MedKeuze_1&gt;0,INDEX(tbl_Neo_MedIV,NeoBerInfB!B25,6),"")</f>
        <v>0</v>
      </c>
      <c r="J37" s="561"/>
      <c r="K37" s="562">
        <f>INDEX(tbl_Neo_MedIV,NeoBerInfB!B25,2)</f>
        <v>0</v>
      </c>
      <c r="L37" s="562"/>
      <c r="M37" s="563"/>
      <c r="N37" s="564" t="str">
        <f>IF(NeoBerInfB!H25&gt;0,IF(NeoBerInfB!Y25*10&gt;1,NeoBerInfB!X25&amp;" uren",NeoBerInfB!X25&amp;" minuten"),"")</f>
        <v/>
      </c>
    </row>
    <row r="38" spans="1:14" ht="15.95" customHeight="1" x14ac:dyDescent="0.2">
      <c r="A38" s="550">
        <v>7</v>
      </c>
      <c r="B38" s="558"/>
      <c r="C38" s="559" t="str">
        <f>IF(NeoBerInfB!C26&gt;0,NeoBerInfB!C26/10&amp;" mg","")</f>
        <v/>
      </c>
      <c r="D38" s="559" t="str">
        <f>IF(NeoBerInfB!D26&gt;0,"in "&amp;NeoBerInfB!D26&amp;" ml","")</f>
        <v/>
      </c>
      <c r="E38" s="558"/>
      <c r="F38" s="558"/>
      <c r="G38" s="560" t="str">
        <f>IF(NeoBerInfB!F26/10&gt;0,NeoBerInfB!F26/10&amp;" ml/uur","")</f>
        <v/>
      </c>
      <c r="H38" s="554" t="str">
        <f>IF(AND(NeoBerInfB!H26&gt;0),ROUND(NeoBerInfB!H26,2),"")</f>
        <v/>
      </c>
      <c r="I38" s="554">
        <f>IF(Var_Neo_InfB_Cont_MedKeuze_1&gt;0,INDEX(tbl_Neo_MedIV,NeoBerInfB!B26,6),"")</f>
        <v>0</v>
      </c>
      <c r="J38" s="561"/>
      <c r="K38" s="562">
        <f>INDEX(tbl_Neo_MedIV,NeoBerInfB!B26,2)</f>
        <v>0</v>
      </c>
      <c r="L38" s="562"/>
      <c r="M38" s="563"/>
      <c r="N38" s="564" t="str">
        <f>IF(NeoBerInfB!H26&gt;0,IF(NeoBerInfB!Y26*10&gt;1,NeoBerInfB!X26&amp;" uren",NeoBerInfB!X26&amp;" minuten"),"")</f>
        <v/>
      </c>
    </row>
    <row r="39" spans="1:14" ht="15.95" customHeight="1" x14ac:dyDescent="0.2">
      <c r="A39" s="550">
        <v>8</v>
      </c>
      <c r="B39" s="558"/>
      <c r="C39" s="559" t="str">
        <f>IF(NeoBerInfB!C27&gt;0,NeoBerInfB!C27/10&amp;" mg","")</f>
        <v/>
      </c>
      <c r="D39" s="559" t="str">
        <f>IF(NeoBerInfB!D27&gt;0,"in "&amp;NeoBerInfB!D27&amp;" ml","")</f>
        <v/>
      </c>
      <c r="E39" s="558"/>
      <c r="F39" s="558"/>
      <c r="G39" s="560" t="str">
        <f>IF(NeoBerInfB!F27/10&gt;0,NeoBerInfB!F27/10&amp;" ml/uur","")</f>
        <v/>
      </c>
      <c r="H39" s="554" t="str">
        <f>IF(AND(NeoBerInfB!H27&gt;0),ROUND(NeoBerInfB!H27,2),"")</f>
        <v/>
      </c>
      <c r="I39" s="554">
        <f>IF(Var_Neo_InfB_Cont_MedKeuze_1&gt;0,INDEX(tbl_Neo_MedIV,NeoBerInfB!B27,6),"")</f>
        <v>0</v>
      </c>
      <c r="J39" s="561"/>
      <c r="K39" s="562">
        <f>INDEX(tbl_Neo_MedIV,NeoBerInfB!B27,2)</f>
        <v>0</v>
      </c>
      <c r="L39" s="562"/>
      <c r="M39" s="563"/>
      <c r="N39" s="564" t="str">
        <f>IF(NeoBerInfB!H27&gt;0,IF(NeoBerInfB!Y27*10&gt;1,NeoBerInfB!X27&amp;" uren",NeoBerInfB!X27&amp;" minuten"),"")</f>
        <v/>
      </c>
    </row>
    <row r="40" spans="1:14" ht="15.95" customHeight="1" x14ac:dyDescent="0.2">
      <c r="A40" s="550">
        <v>9</v>
      </c>
      <c r="B40" s="558"/>
      <c r="C40" s="559" t="str">
        <f>IF(NeoBerInfB!C28&gt;0,NeoBerInfB!C28/10&amp;" mg","")</f>
        <v/>
      </c>
      <c r="D40" s="559" t="str">
        <f>IF(NeoBerInfB!D28&gt;0,"in "&amp;NeoBerInfB!D28&amp;" ml","")</f>
        <v/>
      </c>
      <c r="E40" s="558"/>
      <c r="F40" s="553"/>
      <c r="G40" s="555" t="str">
        <f>IF(NeoBerInfB!F28/10&gt;0,NeoBerInfB!F28/10&amp;" ml/uur","")</f>
        <v/>
      </c>
      <c r="H40" s="554" t="str">
        <f>IF(AND(NeoBerInfB!H28&gt;0),ROUND(NeoBerInfB!H28,2),"")</f>
        <v/>
      </c>
      <c r="I40" s="554">
        <f>IF(Var_Neo_InfB_Cont_MedKeuze_1&gt;0,INDEX(tbl_Neo_MedIV,NeoBerInfB!B28,6),"")</f>
        <v>0</v>
      </c>
      <c r="J40" s="303"/>
      <c r="K40" s="562">
        <f>INDEX(tbl_Neo_MedIV,NeoBerInfB!B28,2)</f>
        <v>0</v>
      </c>
      <c r="L40" s="562"/>
      <c r="M40" s="563"/>
      <c r="N40" s="564" t="str">
        <f>IF(NeoBerInfB!H28&gt;0,IF(NeoBerInfB!Y28*10&gt;1,NeoBerInfB!X28&amp;" uren",NeoBerInfB!X28&amp;" minuten"),"")</f>
        <v/>
      </c>
    </row>
    <row r="41" spans="1:14" ht="9.75" customHeight="1" x14ac:dyDescent="0.2">
      <c r="A41" s="550"/>
      <c r="B41" s="565"/>
      <c r="C41" s="566"/>
      <c r="D41" s="566"/>
      <c r="E41" s="565"/>
      <c r="F41" s="213"/>
      <c r="G41" s="551"/>
      <c r="H41" s="566"/>
      <c r="I41" s="213"/>
      <c r="J41" s="213"/>
      <c r="K41" s="567"/>
      <c r="L41" s="567"/>
      <c r="M41" s="568"/>
      <c r="N41" s="569"/>
    </row>
    <row r="42" spans="1:14" ht="15.95" customHeight="1" x14ac:dyDescent="0.2">
      <c r="A42" s="550">
        <v>10</v>
      </c>
      <c r="B42" s="570" t="s">
        <v>581</v>
      </c>
      <c r="C42" s="554"/>
      <c r="D42" s="554"/>
      <c r="E42" s="554"/>
      <c r="F42" s="554"/>
      <c r="G42" s="555" t="str">
        <f>IF(NeoBerInfB!F29/10&gt;0,NeoBerInfB!F29/10&amp;" ml/uur","")</f>
        <v/>
      </c>
      <c r="H42" s="242" t="str">
        <f>IF(NeoBerInfB!H32&gt;0,"= "&amp;ROUND(NeoBerInfB!H32,2),"")</f>
        <v/>
      </c>
      <c r="I42" s="242"/>
      <c r="J42" s="213"/>
      <c r="K42" s="544"/>
      <c r="L42" s="544"/>
      <c r="M42" s="571"/>
      <c r="N42" s="551"/>
    </row>
    <row r="43" spans="1:14" ht="15.95" customHeight="1" x14ac:dyDescent="0.2">
      <c r="A43" s="550">
        <v>11</v>
      </c>
      <c r="B43" s="570" t="s">
        <v>582</v>
      </c>
      <c r="C43" s="554"/>
      <c r="D43" s="554"/>
      <c r="E43" s="554"/>
      <c r="F43" s="554"/>
      <c r="G43" s="555" t="str">
        <f>IF(NeoBerInfB!F30/10&gt;0,NeoBerInfB!F30/10&amp;" ml/uur","")</f>
        <v/>
      </c>
      <c r="H43" s="242" t="str">
        <f>IF(NeoBerInfB!H33&gt;0,"= "&amp;ROUND(NeoBerInfB!H33,2),"")</f>
        <v/>
      </c>
      <c r="I43" s="242"/>
      <c r="J43" s="213"/>
      <c r="K43" s="544"/>
      <c r="L43" s="544"/>
      <c r="M43" s="571"/>
      <c r="N43" s="551"/>
    </row>
    <row r="44" spans="1:14" ht="15.95" customHeight="1" x14ac:dyDescent="0.2">
      <c r="A44" s="550">
        <v>12</v>
      </c>
      <c r="B44" s="570" t="s">
        <v>583</v>
      </c>
      <c r="C44" s="554"/>
      <c r="D44" s="554"/>
      <c r="E44" s="554"/>
      <c r="F44" s="554"/>
      <c r="G44" s="555" t="str">
        <f>IF(NeoBerInfB!F31/10&gt;0,NeoBerInfB!F31/10&amp;" ml/uur","")</f>
        <v/>
      </c>
      <c r="H44" s="242" t="str">
        <f>IF(NeoBerInfB!H34&gt;0,"= "&amp;ROUND(NeoBerInfB!H34,2),"")</f>
        <v/>
      </c>
      <c r="I44" s="242"/>
      <c r="J44" s="213"/>
      <c r="K44" s="544"/>
      <c r="L44" s="544"/>
      <c r="M44" s="571"/>
      <c r="N44" s="551"/>
    </row>
    <row r="45" spans="1:14" ht="15.95" customHeight="1" x14ac:dyDescent="0.2">
      <c r="A45" s="550">
        <v>13</v>
      </c>
      <c r="B45" s="560" t="str">
        <f>IF(Var_Neo_InfB_Cont_MedTekst_1="","",Var_Neo_InfB_Cont_MedTekst_1)</f>
        <v/>
      </c>
      <c r="C45" s="559"/>
      <c r="D45" s="559"/>
      <c r="E45" s="559"/>
      <c r="F45" s="559"/>
      <c r="G45" s="559"/>
      <c r="H45" s="554"/>
      <c r="I45" s="554"/>
      <c r="J45" s="213"/>
      <c r="K45" s="544"/>
      <c r="L45" s="544"/>
      <c r="M45" s="571"/>
      <c r="N45" s="551"/>
    </row>
    <row r="46" spans="1:14" ht="15.95" customHeight="1" x14ac:dyDescent="0.2">
      <c r="A46" s="550">
        <v>14</v>
      </c>
      <c r="B46" s="551" t="str">
        <f>IF(Var_Neo_InfB_Cont_MedTekst_2="","",Var_Neo_InfB_Cont_MedTekst_2)</f>
        <v/>
      </c>
      <c r="C46" s="242"/>
      <c r="D46" s="242"/>
      <c r="E46" s="242"/>
      <c r="F46" s="242"/>
      <c r="G46" s="242"/>
      <c r="H46" s="242"/>
      <c r="I46" s="242"/>
      <c r="J46" s="213"/>
      <c r="K46" s="544"/>
      <c r="L46" s="544"/>
      <c r="M46" s="571"/>
      <c r="N46" s="551"/>
    </row>
    <row r="47" spans="1:14" ht="15.95" customHeight="1" x14ac:dyDescent="0.2">
      <c r="D47" s="252"/>
      <c r="K47" s="572" t="s">
        <v>568</v>
      </c>
      <c r="L47" s="572"/>
    </row>
    <row r="48" spans="1:14" ht="15.95" customHeight="1" x14ac:dyDescent="0.2">
      <c r="B48" s="539"/>
      <c r="C48" s="540"/>
      <c r="D48" s="573"/>
      <c r="E48" s="574" t="str">
        <f ca="1">IF(NeoBerInfB!C35&gt;0,NeoBerInfB!C35&amp;" ml","")</f>
        <v/>
      </c>
      <c r="F48" s="252" t="str">
        <f ca="1">IF(E48&lt;&gt;"",ROUND(NeoBerInfB!C35/(_Pat_Gewicht/10),0)&amp;" ml/ kg","")</f>
        <v/>
      </c>
      <c r="K48" s="543" t="str">
        <f ca="1">IF(NeoBerInfB!B35&gt;0,NeoBerInfB!B35&amp;" ml","")</f>
        <v/>
      </c>
      <c r="L48" s="543"/>
      <c r="M48" s="303"/>
    </row>
    <row r="49" spans="1:13" ht="12" customHeight="1" x14ac:dyDescent="0.2">
      <c r="B49" s="325"/>
      <c r="C49" s="213"/>
      <c r="D49" s="242"/>
      <c r="E49" s="551"/>
    </row>
    <row r="50" spans="1:13" ht="15.75" customHeight="1" x14ac:dyDescent="0.2">
      <c r="B50" s="575"/>
    </row>
    <row r="51" spans="1:13" ht="15.95" customHeight="1" x14ac:dyDescent="0.2">
      <c r="B51" s="330" t="s">
        <v>585</v>
      </c>
    </row>
    <row r="52" spans="1:13" ht="15.75" customHeight="1" x14ac:dyDescent="0.2">
      <c r="B52" s="576" t="s">
        <v>335</v>
      </c>
      <c r="C52" s="303"/>
      <c r="D52" s="303"/>
      <c r="E52" s="557" t="str">
        <f ca="1">IF(NeoBerInfB!$D$36=1,NeoBerInfB!C37&amp;" ml","")</f>
        <v>0 ml</v>
      </c>
      <c r="F52" s="303"/>
      <c r="G52" s="303"/>
      <c r="H52" s="303"/>
      <c r="I52" s="557" t="str">
        <f>IF(NeoBerInfB!$D$36=3,NeoBerInfB!C37&amp;" ml","")</f>
        <v/>
      </c>
      <c r="J52" s="303"/>
      <c r="K52" s="543" t="str">
        <f ca="1">IF(NeoBerInfB!B37&gt;0,NeoBerInfB!B37&amp;" ml","")</f>
        <v/>
      </c>
      <c r="L52" s="543"/>
      <c r="M52" s="303"/>
    </row>
    <row r="53" spans="1:13" ht="15.95" customHeight="1" x14ac:dyDescent="0.2">
      <c r="B53" s="577" t="s">
        <v>586</v>
      </c>
      <c r="C53" s="561"/>
      <c r="D53" s="561"/>
      <c r="E53" s="564" t="str">
        <f ca="1">IF(NeoBerInfB!$D$36=1,NeoBerInfB!C38&amp;" ml","")</f>
        <v>0 ml</v>
      </c>
      <c r="F53" s="561"/>
      <c r="G53" s="561"/>
      <c r="H53" s="561"/>
      <c r="I53" s="564" t="str">
        <f>IF(NeoBerInfB!$D$36=3,NeoBerInfB!C38&amp;" ml","")</f>
        <v/>
      </c>
      <c r="J53" s="561"/>
      <c r="K53" s="562" t="str">
        <f ca="1">IF(NeoBerInfB!B38&gt;0,NeoBerInfB!B38&amp;" ml","")</f>
        <v/>
      </c>
      <c r="L53" s="562"/>
      <c r="M53" s="562"/>
    </row>
    <row r="54" spans="1:13" ht="15.95" customHeight="1" x14ac:dyDescent="0.2">
      <c r="B54" s="577" t="s">
        <v>587</v>
      </c>
      <c r="C54" s="561"/>
      <c r="D54" s="561"/>
      <c r="E54" s="564" t="str">
        <f ca="1">IF(NeoBerInfB!$D$36=1,NeoBerInfB!C39&amp;" ml","")</f>
        <v>0 ml</v>
      </c>
      <c r="F54" s="561"/>
      <c r="G54" s="561"/>
      <c r="H54" s="561"/>
      <c r="I54" s="561"/>
      <c r="J54" s="561"/>
      <c r="K54" s="562" t="str">
        <f ca="1">IF(NeoBerInfB!B39&gt;0,NeoBerInfB!B39&amp;" ml","")</f>
        <v/>
      </c>
      <c r="L54" s="562"/>
      <c r="M54" s="562"/>
    </row>
    <row r="55" spans="1:13" ht="15.95" customHeight="1" x14ac:dyDescent="0.2">
      <c r="B55" s="577" t="s">
        <v>588</v>
      </c>
      <c r="C55" s="561"/>
      <c r="D55" s="561"/>
      <c r="E55" s="564" t="str">
        <f ca="1">IF(NeoBerInfB!$D$36=1,NeoBerInfB!C40&amp;" ml","")</f>
        <v>0 ml</v>
      </c>
      <c r="F55" s="561"/>
      <c r="G55" s="561"/>
      <c r="H55" s="561"/>
      <c r="I55" s="561"/>
      <c r="J55" s="561"/>
      <c r="K55" s="562" t="str">
        <f ca="1">IF(NeoBerInfB!B40&gt;0,NeoBerInfB!B40&amp;" ml","")</f>
        <v/>
      </c>
      <c r="L55" s="562"/>
      <c r="M55" s="562"/>
    </row>
    <row r="56" spans="1:13" ht="15.95" customHeight="1" x14ac:dyDescent="0.2">
      <c r="B56" s="577" t="s">
        <v>201</v>
      </c>
      <c r="C56" s="561"/>
      <c r="D56" s="561"/>
      <c r="E56" s="564" t="str">
        <f ca="1">IF(NeoBerInfB!$D$36=1,NeoBerInfB!C41&amp;" ml","")</f>
        <v>0 ml</v>
      </c>
      <c r="F56" s="561"/>
      <c r="G56" s="561"/>
      <c r="H56" s="561"/>
      <c r="I56" s="561"/>
      <c r="J56" s="561"/>
      <c r="K56" s="562" t="str">
        <f ca="1">IF(NeoBerInfB!B41&gt;0,NeoBerInfB!B41&amp;" ml","")</f>
        <v/>
      </c>
      <c r="L56" s="562"/>
      <c r="M56" s="562"/>
    </row>
    <row r="57" spans="1:13" ht="15.95" customHeight="1" x14ac:dyDescent="0.2">
      <c r="B57" s="577" t="s">
        <v>543</v>
      </c>
      <c r="C57" s="561"/>
      <c r="D57" s="561"/>
      <c r="E57" s="564" t="str">
        <f ca="1">IF(NeoBerInfB!$D$36=1,NeoBerInfB!C42&amp;" ml","")</f>
        <v>0 ml</v>
      </c>
      <c r="F57" s="561"/>
      <c r="G57" s="561"/>
      <c r="H57" s="561"/>
      <c r="I57" s="561"/>
      <c r="J57" s="561"/>
      <c r="K57" s="562" t="str">
        <f ca="1">IF(NeoBerInfB!B42&gt;0,NeoBerInfB!B42&amp;" ml","")</f>
        <v/>
      </c>
      <c r="L57" s="562"/>
      <c r="M57" s="562"/>
    </row>
    <row r="58" spans="1:13" ht="15.95" customHeight="1" x14ac:dyDescent="0.2">
      <c r="B58" s="577" t="s">
        <v>544</v>
      </c>
      <c r="C58" s="561"/>
      <c r="D58" s="561"/>
      <c r="E58" s="561"/>
      <c r="F58" s="561"/>
      <c r="G58" s="564" t="str">
        <f>IF(NeoBerInfB!D36=2,NeoBerInfB!C43&amp;" ml","")</f>
        <v/>
      </c>
      <c r="H58" s="578" t="str">
        <f>IF(G58&lt;&gt;"","("&amp;ROUND(NeoBerInfB!C43/(_Pat_Gewicht/10),0)&amp;" ml/kg)","")</f>
        <v/>
      </c>
      <c r="I58" s="561"/>
      <c r="J58" s="561"/>
      <c r="K58" s="562" t="str">
        <f ca="1">IF(NeoBerInfB!B43&gt;0,NeoBerInfB!B43&amp;" ml","")</f>
        <v/>
      </c>
      <c r="L58" s="562"/>
      <c r="M58" s="562"/>
    </row>
    <row r="59" spans="1:13" ht="15.95" customHeight="1" x14ac:dyDescent="0.2">
      <c r="B59" s="577" t="s">
        <v>333</v>
      </c>
      <c r="C59" s="561"/>
      <c r="D59" s="561"/>
      <c r="E59" s="561"/>
      <c r="F59" s="561"/>
      <c r="G59" s="561"/>
      <c r="H59" s="561"/>
      <c r="I59" s="564" t="str">
        <f>IF(NeoBerInfB!$D$36=3,NeoBerInfB!C44&amp;" ml","")</f>
        <v/>
      </c>
      <c r="J59" s="578" t="str">
        <f>IF(I59&lt;&gt;"","("&amp;ROUND(NeoBerInfB!C44/(_Pat_Gewicht/10),0)&amp;" ml/kg)","")</f>
        <v/>
      </c>
      <c r="K59" s="562" t="str">
        <f ca="1">IF(NeoBerInfB!B44&gt;0,NeoBerInfB!B44&amp;" ml","")</f>
        <v/>
      </c>
      <c r="L59" s="562"/>
      <c r="M59" s="562"/>
    </row>
    <row r="60" spans="1:13" ht="20.100000000000001" customHeight="1" x14ac:dyDescent="0.2">
      <c r="B60" s="561"/>
      <c r="C60" s="561"/>
      <c r="D60" s="561"/>
      <c r="E60" s="579">
        <f>IF(NeoBerInfB!D36=1,NeoBerInfB!K45,"")</f>
        <v>0</v>
      </c>
      <c r="F60" s="561" t="str">
        <f>IF(E60&lt;&gt;"","ml","")</f>
        <v>ml</v>
      </c>
      <c r="G60" s="579" t="str">
        <f>IF(NeoBerInfB!D36=2,NeoBerInfB!K45,"")</f>
        <v/>
      </c>
      <c r="H60" s="561" t="str">
        <f>IF(G60&lt;&gt;"","ml","")</f>
        <v/>
      </c>
      <c r="I60" s="579" t="str">
        <f>IF(NeoBerInfB!D36=3,NeoBerInfB!K45,"")</f>
        <v/>
      </c>
      <c r="J60" s="561" t="str">
        <f>IF(I60&lt;&gt;"","ml","")</f>
        <v/>
      </c>
      <c r="K60" s="562"/>
      <c r="L60" s="562"/>
      <c r="M60" s="562"/>
    </row>
    <row r="63" spans="1:13" ht="15.95" customHeight="1" x14ac:dyDescent="0.2">
      <c r="B63" s="540"/>
      <c r="C63" s="540"/>
      <c r="D63" s="540"/>
      <c r="E63" s="540"/>
      <c r="F63" s="540"/>
      <c r="G63" s="540"/>
      <c r="H63" s="540"/>
      <c r="I63" s="540"/>
      <c r="J63" s="540"/>
      <c r="K63" s="213"/>
      <c r="L63" s="213"/>
      <c r="M63" s="213"/>
    </row>
    <row r="64" spans="1:13" ht="15.95" customHeight="1" x14ac:dyDescent="0.2">
      <c r="A64" s="580"/>
      <c r="B64" s="581" t="s">
        <v>116</v>
      </c>
      <c r="C64" s="582"/>
      <c r="D64" s="582"/>
      <c r="E64" s="582"/>
      <c r="F64" s="582"/>
      <c r="G64" s="582"/>
      <c r="H64" s="582"/>
      <c r="I64" s="582"/>
      <c r="J64" s="582"/>
      <c r="K64" s="213"/>
      <c r="L64" s="213"/>
      <c r="M64" s="213"/>
    </row>
    <row r="65" spans="1:10" ht="12.75" x14ac:dyDescent="0.2">
      <c r="A65" s="583"/>
      <c r="B65" s="583"/>
      <c r="C65" s="534" t="s">
        <v>378</v>
      </c>
      <c r="D65" s="534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E65" s="534"/>
      <c r="F65" s="534"/>
      <c r="G65" s="534"/>
      <c r="H65" s="534"/>
      <c r="I65" s="534"/>
      <c r="J65" s="534"/>
    </row>
    <row r="66" spans="1:10" s="585" customFormat="1" ht="12.75" x14ac:dyDescent="0.2">
      <c r="A66" s="584"/>
      <c r="B66" s="584"/>
      <c r="C66" s="534" t="s">
        <v>735</v>
      </c>
      <c r="D66" s="534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E66" s="534"/>
      <c r="F66" s="534"/>
      <c r="G66" s="534"/>
      <c r="H66" s="534"/>
      <c r="I66" s="534"/>
      <c r="J66" s="534"/>
    </row>
    <row r="67" spans="1:10" s="585" customFormat="1" ht="12.75" x14ac:dyDescent="0.2">
      <c r="A67" s="584"/>
      <c r="B67" s="584"/>
      <c r="C67" s="534" t="s">
        <v>736</v>
      </c>
      <c r="D67" s="534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E67" s="534"/>
      <c r="F67" s="534"/>
      <c r="G67" s="534"/>
      <c r="H67" s="534"/>
      <c r="I67" s="534"/>
      <c r="J67" s="534"/>
    </row>
    <row r="68" spans="1:10" s="585" customFormat="1" ht="12.75" x14ac:dyDescent="0.2">
      <c r="A68" s="584"/>
      <c r="B68" s="584"/>
      <c r="C68" s="534" t="s">
        <v>737</v>
      </c>
      <c r="D68" s="534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E68" s="534"/>
      <c r="F68" s="534"/>
      <c r="G68" s="534"/>
      <c r="H68" s="534"/>
      <c r="I68" s="534"/>
      <c r="J68" s="534"/>
    </row>
    <row r="69" spans="1:10" s="585" customFormat="1" ht="12.75" x14ac:dyDescent="0.2">
      <c r="A69" s="584"/>
      <c r="B69" s="584"/>
      <c r="C69" s="534" t="s">
        <v>148</v>
      </c>
      <c r="D69" s="534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E69" s="534"/>
      <c r="F69" s="534"/>
      <c r="G69" s="534"/>
      <c r="H69" s="534"/>
      <c r="I69" s="534"/>
      <c r="J69" s="534"/>
    </row>
    <row r="70" spans="1:10" s="585" customFormat="1" ht="12.75" x14ac:dyDescent="0.2">
      <c r="A70" s="584"/>
      <c r="B70" s="584"/>
      <c r="C70" s="534" t="s">
        <v>738</v>
      </c>
      <c r="D70" s="534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E70" s="534"/>
      <c r="F70" s="534"/>
      <c r="G70" s="534"/>
      <c r="H70" s="534"/>
      <c r="I70" s="534"/>
      <c r="J70" s="534"/>
    </row>
    <row r="71" spans="1:10" s="585" customFormat="1" ht="12.75" x14ac:dyDescent="0.2">
      <c r="A71" s="584"/>
      <c r="B71" s="584"/>
      <c r="C71" s="534" t="s">
        <v>1113</v>
      </c>
      <c r="D71" s="534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E71" s="534"/>
      <c r="F71" s="534"/>
      <c r="G71" s="534"/>
      <c r="H71" s="534"/>
      <c r="I71" s="534"/>
      <c r="J71" s="534"/>
    </row>
    <row r="72" spans="1:10" s="585" customFormat="1" ht="12.75" x14ac:dyDescent="0.2">
      <c r="A72" s="584"/>
      <c r="B72" s="584"/>
      <c r="C72" s="534" t="s">
        <v>1115</v>
      </c>
      <c r="D72" s="534" t="str">
        <f>TRIM(NeoBerLab!P4&amp;" "&amp;NeoBerLab!P5&amp;" "&amp;NeoBerLab!P6&amp;" "&amp;NeoBerLab!P7&amp;" "&amp;NeoBerLab!P8&amp;" "&amp;NeoBerLab!P9&amp;" "&amp;NeoBerLab!P10&amp;" "&amp;NeoBerLab!P11&amp;" "&amp;NeoBerLab!P12&amp;" "&amp;NeoBerLab!P13&amp;" "&amp;NeoBerLab!P14&amp;" "&amp;NeoBerLab!P15&amp;" "&amp;NeoBerLab!P16&amp;" "&amp;NeoBerLab!P17&amp;" "&amp;NeoBerLab!P18&amp;" "&amp;NeoBerLab!P19&amp;" "&amp;NeoBerLab!P20&amp;" "&amp;NeoBerLab!P21&amp;" "&amp;NeoBerLab!P22&amp;" "&amp;NeoBerLab!P23&amp;" "&amp;NeoBerLab!P24&amp;" "&amp;NeoBerLab!P25&amp;" "&amp;NeoBerLab!P26&amp;" "&amp;NeoBerLab!P27&amp;" "&amp;NeoBerLab!P28&amp;" "&amp;NeoBerLab!P29&amp;" "&amp;NeoBerLab!P30&amp;" "&amp;NeoBerLab!P31&amp;" "&amp;NeoBerLab!P32&amp;" "&amp;NeoBerLab!P33&amp;" "&amp;NeoBerLab!P34)</f>
        <v/>
      </c>
      <c r="E72" s="534"/>
      <c r="F72" s="534"/>
      <c r="G72" s="534"/>
      <c r="H72" s="534"/>
      <c r="I72" s="534"/>
      <c r="J72" s="534"/>
    </row>
    <row r="73" spans="1:10" s="585" customFormat="1" ht="12.75" x14ac:dyDescent="0.2">
      <c r="A73" s="584"/>
      <c r="B73" s="584"/>
      <c r="C73" s="534" t="s">
        <v>1114</v>
      </c>
      <c r="D73" s="534" t="str">
        <f>TRIM(NeoBerLab!R4&amp;" "&amp;NeoBerLab!R5&amp;" "&amp;NeoBerLab!R6&amp;" "&amp;NeoBerLab!R7&amp;" "&amp;NeoBerLab!R8&amp;" "&amp;NeoBerLab!R9&amp;" "&amp;NeoBerLab!R10&amp;" "&amp;NeoBerLab!R11&amp;" "&amp;NeoBerLab!R12&amp;" "&amp;NeoBerLab!R13&amp;" "&amp;NeoBerLab!R14&amp;" "&amp;NeoBerLab!R15&amp;" "&amp;NeoBerLab!R16&amp;" "&amp;NeoBerLab!R17&amp;" "&amp;NeoBerLab!R18&amp;" "&amp;NeoBerLab!R19&amp;" "&amp;NeoBerLab!R20&amp;" "&amp;NeoBerLab!R21&amp;" "&amp;NeoBerLab!R22&amp;" "&amp;NeoBerLab!R23&amp;" "&amp;NeoBerLab!R24&amp;" "&amp;NeoBerLab!R25&amp;" "&amp;NeoBerLab!R26&amp;" "&amp;NeoBerLab!R27&amp;" "&amp;NeoBerLab!R28&amp;" "&amp;NeoBerLab!R29&amp;" "&amp;NeoBerLab!R30&amp;" "&amp;NeoBerLab!R31&amp;" "&amp;NeoBerLab!R32&amp;" "&amp;NeoBerLab!R33&amp;" "&amp;NeoBerLab!R34)</f>
        <v/>
      </c>
      <c r="E73" s="534"/>
      <c r="F73" s="534"/>
      <c r="G73" s="534"/>
      <c r="H73" s="534"/>
      <c r="I73" s="534"/>
      <c r="J73" s="534"/>
    </row>
    <row r="74" spans="1:10" ht="15.95" customHeight="1" x14ac:dyDescent="0.2">
      <c r="A74" s="583"/>
      <c r="B74" s="583"/>
      <c r="C74" s="534" t="s">
        <v>292</v>
      </c>
      <c r="D74" s="942" t="str">
        <f>IF(_Neo_Lab_Opm=0,"",_Neo_Lab_Opm)</f>
        <v/>
      </c>
      <c r="E74" s="942"/>
      <c r="F74" s="942"/>
      <c r="G74" s="942"/>
      <c r="H74" s="942"/>
      <c r="I74" s="942"/>
      <c r="J74" s="942"/>
    </row>
    <row r="75" spans="1:10" ht="15.95" customHeight="1" x14ac:dyDescent="0.2">
      <c r="A75" s="582"/>
      <c r="B75" s="582"/>
      <c r="C75" s="586"/>
      <c r="D75" s="943"/>
      <c r="E75" s="943"/>
      <c r="F75" s="943"/>
      <c r="G75" s="943"/>
      <c r="H75" s="943"/>
      <c r="I75" s="943"/>
      <c r="J75" s="943"/>
    </row>
  </sheetData>
  <mergeCells count="2">
    <mergeCell ref="K3:N6"/>
    <mergeCell ref="D74:J75"/>
  </mergeCells>
  <conditionalFormatting sqref="E60:J60 E28">
    <cfRule type="cellIs" dxfId="3" priority="3" stopIfTrue="1" operator="lessThan">
      <formula>0</formula>
    </cfRule>
  </conditionalFormatting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autoLine="0" autoPict="0" macro="[0]!Afspraken_Vervolgkeuzelijst1_BijWijzigen">
                <anchor moveWithCells="1">
                  <from>
                    <xdr:col>1</xdr:col>
                    <xdr:colOff>0</xdr:colOff>
                    <xdr:row>31</xdr:row>
                    <xdr:rowOff>0</xdr:rowOff>
                  </from>
                  <to>
                    <xdr:col>2</xdr:col>
                    <xdr:colOff>190500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 macro="[0]!Vervolgkeuzelijst2_BijWijzigen">
                <anchor moveWithCells="1">
                  <from>
                    <xdr:col>1</xdr:col>
                    <xdr:colOff>0</xdr:colOff>
                    <xdr:row>32</xdr:row>
                    <xdr:rowOff>0</xdr:rowOff>
                  </from>
                  <to>
                    <xdr:col>2</xdr:col>
                    <xdr:colOff>190500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 macro="[0]!Vervolgkeuzelijst3_BijWijzigen">
                <anchor moveWithCells="1">
                  <from>
                    <xdr:col>1</xdr:col>
                    <xdr:colOff>0</xdr:colOff>
                    <xdr:row>33</xdr:row>
                    <xdr:rowOff>0</xdr:rowOff>
                  </from>
                  <to>
                    <xdr:col>2</xdr:col>
                    <xdr:colOff>190500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 macro="[0]!Vervolgkeuzelijst4_BijWijzigen">
                <anchor moveWithCells="1">
                  <from>
                    <xdr:col>1</xdr:col>
                    <xdr:colOff>0</xdr:colOff>
                    <xdr:row>34</xdr:row>
                    <xdr:rowOff>0</xdr:rowOff>
                  </from>
                  <to>
                    <xdr:col>2</xdr:col>
                    <xdr:colOff>190500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Drop Down 5">
              <controlPr defaultSize="0" autoLine="0" autoPict="0" macro="[0]!Vervolgkeuzelijst5_BijWijzigen">
                <anchor moveWithCells="1">
                  <from>
                    <xdr:col>1</xdr:col>
                    <xdr:colOff>0</xdr:colOff>
                    <xdr:row>35</xdr:row>
                    <xdr:rowOff>0</xdr:rowOff>
                  </from>
                  <to>
                    <xdr:col>2</xdr:col>
                    <xdr:colOff>190500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Drop Down 6">
              <controlPr defaultSize="0" autoLine="0" autoPict="0" macro="[0]!Vervolgkeuzelijst6_BijWijzigen">
                <anchor moveWithCells="1">
                  <from>
                    <xdr:col>1</xdr:col>
                    <xdr:colOff>0</xdr:colOff>
                    <xdr:row>36</xdr:row>
                    <xdr:rowOff>0</xdr:rowOff>
                  </from>
                  <to>
                    <xdr:col>2</xdr:col>
                    <xdr:colOff>190500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Drop Down 7">
              <controlPr defaultSize="0" autoLine="0" autoPict="0" macro="[0]!Vervolgkeuzelijst7_BijWijzigen">
                <anchor moveWithCells="1">
                  <from>
                    <xdr:col>1</xdr:col>
                    <xdr:colOff>0</xdr:colOff>
                    <xdr:row>37</xdr:row>
                    <xdr:rowOff>0</xdr:rowOff>
                  </from>
                  <to>
                    <xdr:col>2</xdr:col>
                    <xdr:colOff>190500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Spinner 8">
              <controlPr defaultSize="0" autoPict="0">
                <anchor moveWithCells="1" sizeWithCells="1">
                  <from>
                    <xdr:col>7</xdr:col>
                    <xdr:colOff>19050</xdr:colOff>
                    <xdr:row>29</xdr:row>
                    <xdr:rowOff>9525</xdr:rowOff>
                  </from>
                  <to>
                    <xdr:col>7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Spinner 9">
              <controlPr defaultSize="0" autoPict="0">
                <anchor moveWithCells="1" sizeWithCells="1">
                  <from>
                    <xdr:col>7</xdr:col>
                    <xdr:colOff>19050</xdr:colOff>
                    <xdr:row>31</xdr:row>
                    <xdr:rowOff>9525</xdr:rowOff>
                  </from>
                  <to>
                    <xdr:col>7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Spinner 10">
              <controlPr defaultSize="0" autoPict="0">
                <anchor moveWithCells="1" sizeWithCells="1">
                  <from>
                    <xdr:col>7</xdr:col>
                    <xdr:colOff>19050</xdr:colOff>
                    <xdr:row>32</xdr:row>
                    <xdr:rowOff>9525</xdr:rowOff>
                  </from>
                  <to>
                    <xdr:col>7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Spinner 11">
              <controlPr defaultSize="0" autoPict="0">
                <anchor moveWithCells="1" sizeWithCells="1">
                  <from>
                    <xdr:col>7</xdr:col>
                    <xdr:colOff>19050</xdr:colOff>
                    <xdr:row>33</xdr:row>
                    <xdr:rowOff>9525</xdr:rowOff>
                  </from>
                  <to>
                    <xdr:col>7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Spinner 12">
              <controlPr defaultSize="0" autoPict="0">
                <anchor moveWithCells="1" sizeWithCells="1">
                  <from>
                    <xdr:col>7</xdr:col>
                    <xdr:colOff>19050</xdr:colOff>
                    <xdr:row>34</xdr:row>
                    <xdr:rowOff>9525</xdr:rowOff>
                  </from>
                  <to>
                    <xdr:col>7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Spinner 13">
              <controlPr defaultSize="0" autoPict="0">
                <anchor moveWithCells="1" sizeWithCells="1">
                  <from>
                    <xdr:col>7</xdr:col>
                    <xdr:colOff>19050</xdr:colOff>
                    <xdr:row>35</xdr:row>
                    <xdr:rowOff>9525</xdr:rowOff>
                  </from>
                  <to>
                    <xdr:col>7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Spinner 14">
              <controlPr defaultSize="0" autoPict="0">
                <anchor moveWithCells="1" sizeWithCells="1">
                  <from>
                    <xdr:col>7</xdr:col>
                    <xdr:colOff>19050</xdr:colOff>
                    <xdr:row>36</xdr:row>
                    <xdr:rowOff>9525</xdr:rowOff>
                  </from>
                  <to>
                    <xdr:col>7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Spinner 15">
              <controlPr defaultSize="0" autoPict="0">
                <anchor moveWithCells="1" sizeWithCells="1">
                  <from>
                    <xdr:col>7</xdr:col>
                    <xdr:colOff>19050</xdr:colOff>
                    <xdr:row>37</xdr:row>
                    <xdr:rowOff>9525</xdr:rowOff>
                  </from>
                  <to>
                    <xdr:col>7</xdr:col>
                    <xdr:colOff>142875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Option Button 16">
              <controlPr defaultSize="0" autoFill="0" autoLine="0" autoPict="0">
                <anchor moveWithCells="1">
                  <from>
                    <xdr:col>1</xdr:col>
                    <xdr:colOff>209550</xdr:colOff>
                    <xdr:row>20</xdr:row>
                    <xdr:rowOff>28575</xdr:rowOff>
                  </from>
                  <to>
                    <xdr:col>2</xdr:col>
                    <xdr:colOff>390525</xdr:colOff>
                    <xdr:row>21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Option Button 17">
              <controlPr defaultSize="0" autoFill="0" autoLine="0" autoPict="0">
                <anchor moveWithCells="1">
                  <from>
                    <xdr:col>1</xdr:col>
                    <xdr:colOff>209550</xdr:colOff>
                    <xdr:row>21</xdr:row>
                    <xdr:rowOff>38100</xdr:rowOff>
                  </from>
                  <to>
                    <xdr:col>2</xdr:col>
                    <xdr:colOff>390525</xdr:colOff>
                    <xdr:row>22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Spinner 18">
              <controlPr defaultSize="0" autoPict="0">
                <anchor moveWithCells="1" sizeWithCells="1">
                  <from>
                    <xdr:col>4</xdr:col>
                    <xdr:colOff>685800</xdr:colOff>
                    <xdr:row>20</xdr:row>
                    <xdr:rowOff>9525</xdr:rowOff>
                  </from>
                  <to>
                    <xdr:col>4</xdr:col>
                    <xdr:colOff>809625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Spinner 19">
              <controlPr defaultSize="0" autoPict="0">
                <anchor moveWithCells="1" sizeWithCells="1">
                  <from>
                    <xdr:col>6</xdr:col>
                    <xdr:colOff>685800</xdr:colOff>
                    <xdr:row>20</xdr:row>
                    <xdr:rowOff>9525</xdr:rowOff>
                  </from>
                  <to>
                    <xdr:col>6</xdr:col>
                    <xdr:colOff>809625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Spinner 20">
              <controlPr defaultSize="0" autoPict="0">
                <anchor moveWithCells="1" sizeWithCells="1">
                  <from>
                    <xdr:col>4</xdr:col>
                    <xdr:colOff>714375</xdr:colOff>
                    <xdr:row>17</xdr:row>
                    <xdr:rowOff>9525</xdr:rowOff>
                  </from>
                  <to>
                    <xdr:col>5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0" r:id="rId24" name="Option Button 22">
              <controlPr defaultSize="0" autoFill="0" autoLine="0" autoPict="0">
                <anchor moveWithCells="1">
                  <from>
                    <xdr:col>3</xdr:col>
                    <xdr:colOff>657225</xdr:colOff>
                    <xdr:row>49</xdr:row>
                    <xdr:rowOff>180975</xdr:rowOff>
                  </from>
                  <to>
                    <xdr:col>4</xdr:col>
                    <xdr:colOff>647700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1" r:id="rId25" name="Option Button 23">
              <controlPr defaultSize="0" autoFill="0" autoLine="0" autoPict="0">
                <anchor moveWithCells="1">
                  <from>
                    <xdr:col>6</xdr:col>
                    <xdr:colOff>0</xdr:colOff>
                    <xdr:row>49</xdr:row>
                    <xdr:rowOff>171450</xdr:rowOff>
                  </from>
                  <to>
                    <xdr:col>7</xdr:col>
                    <xdr:colOff>209550</xdr:colOff>
                    <xdr:row>50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2" r:id="rId26" name="Option Button 24">
              <controlPr defaultSize="0" autoFill="0" autoLine="0" autoPict="0">
                <anchor moveWithCells="1">
                  <from>
                    <xdr:col>8</xdr:col>
                    <xdr:colOff>9525</xdr:colOff>
                    <xdr:row>49</xdr:row>
                    <xdr:rowOff>180975</xdr:rowOff>
                  </from>
                  <to>
                    <xdr:col>9</xdr:col>
                    <xdr:colOff>314325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7" name="Spinner 25">
              <controlPr defaultSize="0" autoPict="0">
                <anchor moveWithCells="1" sizeWithCells="1">
                  <from>
                    <xdr:col>4</xdr:col>
                    <xdr:colOff>685800</xdr:colOff>
                    <xdr:row>51</xdr:row>
                    <xdr:rowOff>0</xdr:rowOff>
                  </from>
                  <to>
                    <xdr:col>4</xdr:col>
                    <xdr:colOff>809625</xdr:colOff>
                    <xdr:row>51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8" name="Spinner 26">
              <controlPr defaultSize="0" autoPict="0">
                <anchor moveWithCells="1" sizeWithCells="1">
                  <from>
                    <xdr:col>4</xdr:col>
                    <xdr:colOff>685800</xdr:colOff>
                    <xdr:row>52</xdr:row>
                    <xdr:rowOff>0</xdr:rowOff>
                  </from>
                  <to>
                    <xdr:col>4</xdr:col>
                    <xdr:colOff>809625</xdr:colOff>
                    <xdr:row>52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9" name="Spinner 27">
              <controlPr defaultSize="0" autoPict="0">
                <anchor moveWithCells="1" sizeWithCells="1">
                  <from>
                    <xdr:col>4</xdr:col>
                    <xdr:colOff>685800</xdr:colOff>
                    <xdr:row>53</xdr:row>
                    <xdr:rowOff>0</xdr:rowOff>
                  </from>
                  <to>
                    <xdr:col>4</xdr:col>
                    <xdr:colOff>809625</xdr:colOff>
                    <xdr:row>53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30" name="Spinner 28">
              <controlPr defaultSize="0" autoPict="0">
                <anchor moveWithCells="1" sizeWithCells="1">
                  <from>
                    <xdr:col>4</xdr:col>
                    <xdr:colOff>685800</xdr:colOff>
                    <xdr:row>54</xdr:row>
                    <xdr:rowOff>0</xdr:rowOff>
                  </from>
                  <to>
                    <xdr:col>4</xdr:col>
                    <xdr:colOff>809625</xdr:colOff>
                    <xdr:row>54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31" name="Spinner 29">
              <controlPr defaultSize="0" autoPict="0">
                <anchor moveWithCells="1" sizeWithCells="1">
                  <from>
                    <xdr:col>4</xdr:col>
                    <xdr:colOff>685800</xdr:colOff>
                    <xdr:row>55</xdr:row>
                    <xdr:rowOff>0</xdr:rowOff>
                  </from>
                  <to>
                    <xdr:col>4</xdr:col>
                    <xdr:colOff>809625</xdr:colOff>
                    <xdr:row>55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32" name="Spinner 30">
              <controlPr defaultSize="0" autoPict="0">
                <anchor moveWithCells="1" sizeWithCells="1">
                  <from>
                    <xdr:col>4</xdr:col>
                    <xdr:colOff>685800</xdr:colOff>
                    <xdr:row>56</xdr:row>
                    <xdr:rowOff>0</xdr:rowOff>
                  </from>
                  <to>
                    <xdr:col>4</xdr:col>
                    <xdr:colOff>809625</xdr:colOff>
                    <xdr:row>56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3" name="Spinner 31">
              <controlPr defaultSize="0" autoPict="0">
                <anchor moveWithCells="1" sizeWithCells="1">
                  <from>
                    <xdr:col>6</xdr:col>
                    <xdr:colOff>704850</xdr:colOff>
                    <xdr:row>57</xdr:row>
                    <xdr:rowOff>0</xdr:rowOff>
                  </from>
                  <to>
                    <xdr:col>7</xdr:col>
                    <xdr:colOff>0</xdr:colOff>
                    <xdr:row>57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4" name="Spinner 32">
              <controlPr defaultSize="0" autoPict="0">
                <anchor moveWithCells="1" sizeWithCells="1">
                  <from>
                    <xdr:col>8</xdr:col>
                    <xdr:colOff>695325</xdr:colOff>
                    <xdr:row>51</xdr:row>
                    <xdr:rowOff>0</xdr:rowOff>
                  </from>
                  <to>
                    <xdr:col>8</xdr:col>
                    <xdr:colOff>819150</xdr:colOff>
                    <xdr:row>51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5" name="Spinner 33">
              <controlPr defaultSize="0" autoPict="0">
                <anchor moveWithCells="1" sizeWithCells="1">
                  <from>
                    <xdr:col>8</xdr:col>
                    <xdr:colOff>695325</xdr:colOff>
                    <xdr:row>52</xdr:row>
                    <xdr:rowOff>0</xdr:rowOff>
                  </from>
                  <to>
                    <xdr:col>8</xdr:col>
                    <xdr:colOff>819150</xdr:colOff>
                    <xdr:row>52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6" name="Spinner 34">
              <controlPr defaultSize="0" autoPict="0">
                <anchor moveWithCells="1" sizeWithCells="1">
                  <from>
                    <xdr:col>8</xdr:col>
                    <xdr:colOff>695325</xdr:colOff>
                    <xdr:row>58</xdr:row>
                    <xdr:rowOff>0</xdr:rowOff>
                  </from>
                  <to>
                    <xdr:col>8</xdr:col>
                    <xdr:colOff>819150</xdr:colOff>
                    <xdr:row>58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7" name="Option Button 35">
              <controlPr defaultSize="0" autoFill="0" autoLine="0" autoPict="0">
                <anchor moveWithCells="1">
                  <from>
                    <xdr:col>2</xdr:col>
                    <xdr:colOff>171450</xdr:colOff>
                    <xdr:row>17</xdr:row>
                    <xdr:rowOff>180975</xdr:rowOff>
                  </from>
                  <to>
                    <xdr:col>2</xdr:col>
                    <xdr:colOff>781050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8" name="Option Button 36">
              <controlPr defaultSize="0" autoFill="0" autoLine="0" autoPict="0">
                <anchor moveWithCells="1">
                  <from>
                    <xdr:col>2</xdr:col>
                    <xdr:colOff>552450</xdr:colOff>
                    <xdr:row>17</xdr:row>
                    <xdr:rowOff>180975</xdr:rowOff>
                  </from>
                  <to>
                    <xdr:col>3</xdr:col>
                    <xdr:colOff>333375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9" name="Drop Down 37">
              <controlPr defaultSize="0" autoLine="0" autoPict="0">
                <anchor moveWithCells="1">
                  <from>
                    <xdr:col>4</xdr:col>
                    <xdr:colOff>323850</xdr:colOff>
                    <xdr:row>31</xdr:row>
                    <xdr:rowOff>0</xdr:rowOff>
                  </from>
                  <to>
                    <xdr:col>5</xdr:col>
                    <xdr:colOff>609600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40" name="Drop Down 38">
              <controlPr defaultSize="0" autoLine="0" autoPict="0">
                <anchor moveWithCells="1">
                  <from>
                    <xdr:col>4</xdr:col>
                    <xdr:colOff>323850</xdr:colOff>
                    <xdr:row>32</xdr:row>
                    <xdr:rowOff>0</xdr:rowOff>
                  </from>
                  <to>
                    <xdr:col>5</xdr:col>
                    <xdr:colOff>609600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41" name="Drop Down 39">
              <controlPr defaultSize="0" autoLine="0" autoPict="0">
                <anchor moveWithCells="1">
                  <from>
                    <xdr:col>4</xdr:col>
                    <xdr:colOff>323850</xdr:colOff>
                    <xdr:row>33</xdr:row>
                    <xdr:rowOff>0</xdr:rowOff>
                  </from>
                  <to>
                    <xdr:col>5</xdr:col>
                    <xdr:colOff>609600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42" name="Drop Down 40">
              <controlPr defaultSize="0" autoLine="0" autoPict="0">
                <anchor moveWithCells="1">
                  <from>
                    <xdr:col>4</xdr:col>
                    <xdr:colOff>323850</xdr:colOff>
                    <xdr:row>34</xdr:row>
                    <xdr:rowOff>0</xdr:rowOff>
                  </from>
                  <to>
                    <xdr:col>5</xdr:col>
                    <xdr:colOff>609600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3" name="Drop Down 41">
              <controlPr defaultSize="0" autoLine="0" autoPict="0">
                <anchor moveWithCells="1">
                  <from>
                    <xdr:col>4</xdr:col>
                    <xdr:colOff>323850</xdr:colOff>
                    <xdr:row>35</xdr:row>
                    <xdr:rowOff>0</xdr:rowOff>
                  </from>
                  <to>
                    <xdr:col>5</xdr:col>
                    <xdr:colOff>609600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4" name="Drop Down 42">
              <controlPr defaultSize="0" autoLine="0" autoPict="0">
                <anchor moveWithCells="1">
                  <from>
                    <xdr:col>4</xdr:col>
                    <xdr:colOff>323850</xdr:colOff>
                    <xdr:row>36</xdr:row>
                    <xdr:rowOff>0</xdr:rowOff>
                  </from>
                  <to>
                    <xdr:col>5</xdr:col>
                    <xdr:colOff>609600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5" name="Spinner 43">
              <controlPr defaultSize="0" autoPict="0">
                <anchor moveWithCells="1" sizeWithCells="1">
                  <from>
                    <xdr:col>4</xdr:col>
                    <xdr:colOff>152400</xdr:colOff>
                    <xdr:row>31</xdr:row>
                    <xdr:rowOff>0</xdr:rowOff>
                  </from>
                  <to>
                    <xdr:col>4</xdr:col>
                    <xdr:colOff>276225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6" name="Spinner 44">
              <controlPr defaultSize="0" autoPict="0">
                <anchor moveWithCells="1" sizeWithCells="1">
                  <from>
                    <xdr:col>4</xdr:col>
                    <xdr:colOff>152400</xdr:colOff>
                    <xdr:row>32</xdr:row>
                    <xdr:rowOff>0</xdr:rowOff>
                  </from>
                  <to>
                    <xdr:col>4</xdr:col>
                    <xdr:colOff>276225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7" name="Spinner 45">
              <controlPr defaultSize="0" autoPict="0">
                <anchor moveWithCells="1" sizeWithCells="1">
                  <from>
                    <xdr:col>4</xdr:col>
                    <xdr:colOff>152400</xdr:colOff>
                    <xdr:row>33</xdr:row>
                    <xdr:rowOff>0</xdr:rowOff>
                  </from>
                  <to>
                    <xdr:col>4</xdr:col>
                    <xdr:colOff>276225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8" name="Spinner 46">
              <controlPr defaultSize="0" autoPict="0">
                <anchor moveWithCells="1" sizeWithCells="1">
                  <from>
                    <xdr:col>4</xdr:col>
                    <xdr:colOff>152400</xdr:colOff>
                    <xdr:row>34</xdr:row>
                    <xdr:rowOff>0</xdr:rowOff>
                  </from>
                  <to>
                    <xdr:col>4</xdr:col>
                    <xdr:colOff>276225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9" name="Spinner 47">
              <controlPr defaultSize="0" autoPict="0">
                <anchor moveWithCells="1" sizeWithCells="1">
                  <from>
                    <xdr:col>4</xdr:col>
                    <xdr:colOff>152400</xdr:colOff>
                    <xdr:row>35</xdr:row>
                    <xdr:rowOff>0</xdr:rowOff>
                  </from>
                  <to>
                    <xdr:col>4</xdr:col>
                    <xdr:colOff>276225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50" name="Spinner 48">
              <controlPr defaultSize="0" autoPict="0">
                <anchor moveWithCells="1" sizeWithCells="1">
                  <from>
                    <xdr:col>4</xdr:col>
                    <xdr:colOff>152400</xdr:colOff>
                    <xdr:row>36</xdr:row>
                    <xdr:rowOff>0</xdr:rowOff>
                  </from>
                  <to>
                    <xdr:col>4</xdr:col>
                    <xdr:colOff>276225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51" name="Spinner 49">
              <controlPr defaultSize="0" autoPict="0">
                <anchor moveWithCells="1" sizeWithCells="1">
                  <from>
                    <xdr:col>4</xdr:col>
                    <xdr:colOff>152400</xdr:colOff>
                    <xdr:row>37</xdr:row>
                    <xdr:rowOff>0</xdr:rowOff>
                  </from>
                  <to>
                    <xdr:col>4</xdr:col>
                    <xdr:colOff>276225</xdr:colOff>
                    <xdr:row>37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8" r:id="rId52" name="Spinner 50">
              <controlPr defaultSize="0" autoPict="0">
                <anchor moveWithCells="1" sizeWithCells="1">
                  <from>
                    <xdr:col>3</xdr:col>
                    <xdr:colOff>9525</xdr:colOff>
                    <xdr:row>30</xdr:row>
                    <xdr:rowOff>85725</xdr:rowOff>
                  </from>
                  <to>
                    <xdr:col>3</xdr:col>
                    <xdr:colOff>133350</xdr:colOff>
                    <xdr:row>31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9" r:id="rId53" name="Spinner 51">
              <controlPr defaultSize="0" autoPict="0">
                <anchor moveWithCells="1" sizeWithCells="1">
                  <from>
                    <xdr:col>3</xdr:col>
                    <xdr:colOff>9525</xdr:colOff>
                    <xdr:row>31</xdr:row>
                    <xdr:rowOff>190500</xdr:rowOff>
                  </from>
                  <to>
                    <xdr:col>3</xdr:col>
                    <xdr:colOff>133350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0" r:id="rId54" name="Spinner 52">
              <controlPr defaultSize="0" autoPict="0">
                <anchor moveWithCells="1" sizeWithCells="1">
                  <from>
                    <xdr:col>3</xdr:col>
                    <xdr:colOff>9525</xdr:colOff>
                    <xdr:row>32</xdr:row>
                    <xdr:rowOff>190500</xdr:rowOff>
                  </from>
                  <to>
                    <xdr:col>3</xdr:col>
                    <xdr:colOff>133350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1" r:id="rId55" name="Spinner 53">
              <controlPr defaultSize="0" autoPict="0">
                <anchor moveWithCells="1" sizeWithCells="1">
                  <from>
                    <xdr:col>3</xdr:col>
                    <xdr:colOff>9525</xdr:colOff>
                    <xdr:row>33</xdr:row>
                    <xdr:rowOff>190500</xdr:rowOff>
                  </from>
                  <to>
                    <xdr:col>3</xdr:col>
                    <xdr:colOff>133350</xdr:colOff>
                    <xdr:row>34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2" r:id="rId56" name="Spinner 54">
              <controlPr defaultSize="0" autoPict="0">
                <anchor moveWithCells="1" sizeWithCells="1">
                  <from>
                    <xdr:col>3</xdr:col>
                    <xdr:colOff>9525</xdr:colOff>
                    <xdr:row>34</xdr:row>
                    <xdr:rowOff>190500</xdr:rowOff>
                  </from>
                  <to>
                    <xdr:col>3</xdr:col>
                    <xdr:colOff>133350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3" r:id="rId57" name="Spinner 55">
              <controlPr defaultSize="0" autoPict="0">
                <anchor moveWithCells="1" sizeWithCells="1">
                  <from>
                    <xdr:col>3</xdr:col>
                    <xdr:colOff>9525</xdr:colOff>
                    <xdr:row>35</xdr:row>
                    <xdr:rowOff>190500</xdr:rowOff>
                  </from>
                  <to>
                    <xdr:col>3</xdr:col>
                    <xdr:colOff>133350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4" r:id="rId58" name="Spinner 56">
              <controlPr defaultSize="0" autoPict="0">
                <anchor moveWithCells="1" sizeWithCells="1">
                  <from>
                    <xdr:col>3</xdr:col>
                    <xdr:colOff>9525</xdr:colOff>
                    <xdr:row>36</xdr:row>
                    <xdr:rowOff>190500</xdr:rowOff>
                  </from>
                  <to>
                    <xdr:col>3</xdr:col>
                    <xdr:colOff>133350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59" name="Group Box 57">
              <controlPr defaultSize="0" autoFill="0" autoPict="0">
                <anchor moveWithCells="1">
                  <from>
                    <xdr:col>1</xdr:col>
                    <xdr:colOff>152400</xdr:colOff>
                    <xdr:row>19</xdr:row>
                    <xdr:rowOff>152400</xdr:rowOff>
                  </from>
                  <to>
                    <xdr:col>2</xdr:col>
                    <xdr:colOff>723900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60" name="Group Box 58">
              <controlPr defaultSize="0" autoFill="0" autoPict="0">
                <anchor moveWithCells="1">
                  <from>
                    <xdr:col>3</xdr:col>
                    <xdr:colOff>9525</xdr:colOff>
                    <xdr:row>49</xdr:row>
                    <xdr:rowOff>76200</xdr:rowOff>
                  </from>
                  <to>
                    <xdr:col>9</xdr:col>
                    <xdr:colOff>447675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61" name="Check Box 59">
              <controlPr defaultSize="0" autoFill="0" autoLine="0" autoPict="0">
                <anchor moveWithCells="1">
                  <from>
                    <xdr:col>9</xdr:col>
                    <xdr:colOff>295275</xdr:colOff>
                    <xdr:row>29</xdr:row>
                    <xdr:rowOff>0</xdr:rowOff>
                  </from>
                  <to>
                    <xdr:col>9</xdr:col>
                    <xdr:colOff>600075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62" name="Check Box 60">
              <controlPr defaultSize="0" autoFill="0" autoLine="0" autoPict="0">
                <anchor moveWithCells="1">
                  <from>
                    <xdr:col>9</xdr:col>
                    <xdr:colOff>295275</xdr:colOff>
                    <xdr:row>31</xdr:row>
                    <xdr:rowOff>0</xdr:rowOff>
                  </from>
                  <to>
                    <xdr:col>9</xdr:col>
                    <xdr:colOff>600075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63" name="Check Box 61">
              <controlPr defaultSize="0" autoFill="0" autoLine="0" autoPict="0">
                <anchor moveWithCells="1">
                  <from>
                    <xdr:col>9</xdr:col>
                    <xdr:colOff>295275</xdr:colOff>
                    <xdr:row>32</xdr:row>
                    <xdr:rowOff>0</xdr:rowOff>
                  </from>
                  <to>
                    <xdr:col>9</xdr:col>
                    <xdr:colOff>600075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64" name="Check Box 62">
              <controlPr defaultSize="0" autoFill="0" autoLine="0" autoPict="0">
                <anchor moveWithCells="1">
                  <from>
                    <xdr:col>9</xdr:col>
                    <xdr:colOff>295275</xdr:colOff>
                    <xdr:row>33</xdr:row>
                    <xdr:rowOff>0</xdr:rowOff>
                  </from>
                  <to>
                    <xdr:col>9</xdr:col>
                    <xdr:colOff>600075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65" name="Check Box 63">
              <controlPr defaultSize="0" autoFill="0" autoLine="0" autoPict="0">
                <anchor moveWithCells="1">
                  <from>
                    <xdr:col>9</xdr:col>
                    <xdr:colOff>295275</xdr:colOff>
                    <xdr:row>34</xdr:row>
                    <xdr:rowOff>0</xdr:rowOff>
                  </from>
                  <to>
                    <xdr:col>9</xdr:col>
                    <xdr:colOff>600075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66" name="Check Box 64">
              <controlPr defaultSize="0" autoFill="0" autoLine="0" autoPict="0">
                <anchor moveWithCells="1">
                  <from>
                    <xdr:col>9</xdr:col>
                    <xdr:colOff>295275</xdr:colOff>
                    <xdr:row>35</xdr:row>
                    <xdr:rowOff>0</xdr:rowOff>
                  </from>
                  <to>
                    <xdr:col>9</xdr:col>
                    <xdr:colOff>600075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67" name="Check Box 65">
              <controlPr defaultSize="0" autoFill="0" autoLine="0" autoPict="0">
                <anchor moveWithCells="1">
                  <from>
                    <xdr:col>9</xdr:col>
                    <xdr:colOff>295275</xdr:colOff>
                    <xdr:row>36</xdr:row>
                    <xdr:rowOff>0</xdr:rowOff>
                  </from>
                  <to>
                    <xdr:col>9</xdr:col>
                    <xdr:colOff>600075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68" name="Check Box 66">
              <controlPr defaultSize="0" autoFill="0" autoLine="0" autoPict="0">
                <anchor moveWithCells="1">
                  <from>
                    <xdr:col>9</xdr:col>
                    <xdr:colOff>295275</xdr:colOff>
                    <xdr:row>37</xdr:row>
                    <xdr:rowOff>0</xdr:rowOff>
                  </from>
                  <to>
                    <xdr:col>9</xdr:col>
                    <xdr:colOff>600075</xdr:colOff>
                    <xdr:row>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69" name="Drop Down 67">
              <controlPr defaultSize="0" autoLine="0" autoPict="0" macro="[0]!Vervolgkeuzelijst67_BijWijzigen">
                <anchor moveWithCells="1">
                  <from>
                    <xdr:col>1</xdr:col>
                    <xdr:colOff>0</xdr:colOff>
                    <xdr:row>38</xdr:row>
                    <xdr:rowOff>0</xdr:rowOff>
                  </from>
                  <to>
                    <xdr:col>2</xdr:col>
                    <xdr:colOff>190500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70" name="Spinner 68">
              <controlPr defaultSize="0" autoPict="0">
                <anchor moveWithCells="1" sizeWithCells="1">
                  <from>
                    <xdr:col>7</xdr:col>
                    <xdr:colOff>19050</xdr:colOff>
                    <xdr:row>38</xdr:row>
                    <xdr:rowOff>9525</xdr:rowOff>
                  </from>
                  <to>
                    <xdr:col>7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71" name="Drop Down 69">
              <controlPr defaultSize="0" autoLine="0" autoPict="0">
                <anchor moveWithCells="1">
                  <from>
                    <xdr:col>4</xdr:col>
                    <xdr:colOff>323850</xdr:colOff>
                    <xdr:row>37</xdr:row>
                    <xdr:rowOff>0</xdr:rowOff>
                  </from>
                  <to>
                    <xdr:col>5</xdr:col>
                    <xdr:colOff>609600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72" name="Spinner 70">
              <controlPr defaultSize="0" autoPict="0">
                <anchor moveWithCells="1" sizeWithCells="1">
                  <from>
                    <xdr:col>4</xdr:col>
                    <xdr:colOff>152400</xdr:colOff>
                    <xdr:row>38</xdr:row>
                    <xdr:rowOff>0</xdr:rowOff>
                  </from>
                  <to>
                    <xdr:col>4</xdr:col>
                    <xdr:colOff>276225</xdr:colOff>
                    <xdr:row>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9" r:id="rId73" name="Spinner 71">
              <controlPr defaultSize="0" autoPict="0">
                <anchor moveWithCells="1" sizeWithCells="1">
                  <from>
                    <xdr:col>3</xdr:col>
                    <xdr:colOff>9525</xdr:colOff>
                    <xdr:row>37</xdr:row>
                    <xdr:rowOff>190500</xdr:rowOff>
                  </from>
                  <to>
                    <xdr:col>3</xdr:col>
                    <xdr:colOff>133350</xdr:colOff>
                    <xdr:row>38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74" name="Check Box 72">
              <controlPr defaultSize="0" autoFill="0" autoLine="0" autoPict="0">
                <anchor moveWithCells="1">
                  <from>
                    <xdr:col>9</xdr:col>
                    <xdr:colOff>295275</xdr:colOff>
                    <xdr:row>37</xdr:row>
                    <xdr:rowOff>0</xdr:rowOff>
                  </from>
                  <to>
                    <xdr:col>9</xdr:col>
                    <xdr:colOff>600075</xdr:colOff>
                    <xdr:row>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75" name="Check Box 73">
              <controlPr defaultSize="0" autoFill="0" autoLine="0" autoPict="0">
                <anchor moveWithCells="1">
                  <from>
                    <xdr:col>9</xdr:col>
                    <xdr:colOff>295275</xdr:colOff>
                    <xdr:row>38</xdr:row>
                    <xdr:rowOff>0</xdr:rowOff>
                  </from>
                  <to>
                    <xdr:col>9</xdr:col>
                    <xdr:colOff>600075</xdr:colOff>
                    <xdr:row>39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76" name="Spinner 74">
              <controlPr defaultSize="0" autoPict="0">
                <anchor moveWithCells="1" sizeWithCells="1">
                  <from>
                    <xdr:col>7</xdr:col>
                    <xdr:colOff>19050</xdr:colOff>
                    <xdr:row>39</xdr:row>
                    <xdr:rowOff>9525</xdr:rowOff>
                  </from>
                  <to>
                    <xdr:col>7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77" name="Drop Down 75">
              <controlPr defaultSize="0" autoLine="0" autoPict="0">
                <anchor moveWithCells="1">
                  <from>
                    <xdr:col>4</xdr:col>
                    <xdr:colOff>323850</xdr:colOff>
                    <xdr:row>38</xdr:row>
                    <xdr:rowOff>0</xdr:rowOff>
                  </from>
                  <to>
                    <xdr:col>5</xdr:col>
                    <xdr:colOff>609600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78" name="Drop Down 76">
              <controlPr defaultSize="0" autoLine="0" autoPict="0">
                <anchor moveWithCells="1">
                  <from>
                    <xdr:col>4</xdr:col>
                    <xdr:colOff>323850</xdr:colOff>
                    <xdr:row>39</xdr:row>
                    <xdr:rowOff>0</xdr:rowOff>
                  </from>
                  <to>
                    <xdr:col>5</xdr:col>
                    <xdr:colOff>609600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79" name="Check Box 77">
              <controlPr defaultSize="0" autoFill="0" autoLine="0" autoPict="0">
                <anchor moveWithCells="1">
                  <from>
                    <xdr:col>9</xdr:col>
                    <xdr:colOff>295275</xdr:colOff>
                    <xdr:row>38</xdr:row>
                    <xdr:rowOff>0</xdr:rowOff>
                  </from>
                  <to>
                    <xdr:col>9</xdr:col>
                    <xdr:colOff>600075</xdr:colOff>
                    <xdr:row>39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80" name="Check Box 78">
              <controlPr defaultSize="0" autoFill="0" autoLine="0" autoPict="0">
                <anchor moveWithCells="1">
                  <from>
                    <xdr:col>9</xdr:col>
                    <xdr:colOff>295275</xdr:colOff>
                    <xdr:row>39</xdr:row>
                    <xdr:rowOff>0</xdr:rowOff>
                  </from>
                  <to>
                    <xdr:col>9</xdr:col>
                    <xdr:colOff>600075</xdr:colOff>
                    <xdr:row>40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81" name="Spinner 79">
              <controlPr defaultSize="0" autoPict="0">
                <anchor moveWithCells="1" sizeWithCells="1">
                  <from>
                    <xdr:col>4</xdr:col>
                    <xdr:colOff>695325</xdr:colOff>
                    <xdr:row>47</xdr:row>
                    <xdr:rowOff>0</xdr:rowOff>
                  </from>
                  <to>
                    <xdr:col>4</xdr:col>
                    <xdr:colOff>819150</xdr:colOff>
                    <xdr:row>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82" name="Drop Down 80">
              <controlPr defaultSize="0" autoLine="0" autoPict="0">
                <anchor moveWithCells="1">
                  <from>
                    <xdr:col>1</xdr:col>
                    <xdr:colOff>19050</xdr:colOff>
                    <xdr:row>59</xdr:row>
                    <xdr:rowOff>38100</xdr:rowOff>
                  </from>
                  <to>
                    <xdr:col>2</xdr:col>
                    <xdr:colOff>190500</xdr:colOff>
                    <xdr:row>59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9" r:id="rId83" name="Spinner 81">
              <controlPr defaultSize="0" autoPict="0">
                <anchor moveWithCells="1" sizeWithCells="1">
                  <from>
                    <xdr:col>7</xdr:col>
                    <xdr:colOff>685800</xdr:colOff>
                    <xdr:row>12</xdr:row>
                    <xdr:rowOff>9525</xdr:rowOff>
                  </from>
                  <to>
                    <xdr:col>7</xdr:col>
                    <xdr:colOff>809625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0" r:id="rId84" name="Spinner 82">
              <controlPr defaultSize="0" autoPict="0">
                <anchor moveWithCells="1" sizeWithCells="1">
                  <from>
                    <xdr:col>9</xdr:col>
                    <xdr:colOff>685800</xdr:colOff>
                    <xdr:row>12</xdr:row>
                    <xdr:rowOff>9525</xdr:rowOff>
                  </from>
                  <to>
                    <xdr:col>9</xdr:col>
                    <xdr:colOff>809625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85" name="Drop Down 84">
              <controlPr defaultSize="0" autoLine="0" autoPict="0">
                <anchor moveWithCells="1">
                  <from>
                    <xdr:col>8</xdr:col>
                    <xdr:colOff>47625</xdr:colOff>
                    <xdr:row>23</xdr:row>
                    <xdr:rowOff>180975</xdr:rowOff>
                  </from>
                  <to>
                    <xdr:col>9</xdr:col>
                    <xdr:colOff>590550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3" r:id="rId86" name="Drop Down 85">
              <controlPr defaultSize="0" autoLine="0" autoPict="0">
                <anchor moveWithCells="1">
                  <from>
                    <xdr:col>8</xdr:col>
                    <xdr:colOff>57150</xdr:colOff>
                    <xdr:row>25</xdr:row>
                    <xdr:rowOff>9525</xdr:rowOff>
                  </from>
                  <to>
                    <xdr:col>9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87" name="Pos">
              <controlPr defaultSize="0" autoLine="0" autoPict="0">
                <anchor moveWithCells="1">
                  <from>
                    <xdr:col>8</xdr:col>
                    <xdr:colOff>66675</xdr:colOff>
                    <xdr:row>20</xdr:row>
                    <xdr:rowOff>9525</xdr:rowOff>
                  </from>
                  <to>
                    <xdr:col>10</xdr:col>
                    <xdr:colOff>685800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88" name="Spinner 91">
              <controlPr defaultSize="0" autoPict="0">
                <anchor moveWithCells="1" sizeWithCells="1">
                  <from>
                    <xdr:col>4</xdr:col>
                    <xdr:colOff>685800</xdr:colOff>
                    <xdr:row>21</xdr:row>
                    <xdr:rowOff>9525</xdr:rowOff>
                  </from>
                  <to>
                    <xdr:col>4</xdr:col>
                    <xdr:colOff>809625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89" name="Spinner 92">
              <controlPr defaultSize="0" autoPict="0">
                <anchor moveWithCells="1" sizeWithCells="1">
                  <from>
                    <xdr:col>6</xdr:col>
                    <xdr:colOff>685800</xdr:colOff>
                    <xdr:row>21</xdr:row>
                    <xdr:rowOff>9525</xdr:rowOff>
                  </from>
                  <to>
                    <xdr:col>6</xdr:col>
                    <xdr:colOff>809625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90" name="Drop Down 93">
              <controlPr defaultSize="0" autoLine="0" autoPict="0">
                <anchor moveWithCells="1">
                  <from>
                    <xdr:col>8</xdr:col>
                    <xdr:colOff>47625</xdr:colOff>
                    <xdr:row>24</xdr:row>
                    <xdr:rowOff>180975</xdr:rowOff>
                  </from>
                  <to>
                    <xdr:col>9</xdr:col>
                    <xdr:colOff>590550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91" name="Drop Down 94">
              <controlPr defaultSize="0" autoLine="0" autoPict="0">
                <anchor moveWithCells="1">
                  <from>
                    <xdr:col>8</xdr:col>
                    <xdr:colOff>47625</xdr:colOff>
                    <xdr:row>25</xdr:row>
                    <xdr:rowOff>180975</xdr:rowOff>
                  </from>
                  <to>
                    <xdr:col>9</xdr:col>
                    <xdr:colOff>590550</xdr:colOff>
                    <xdr:row>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92" name="Drop Down 97">
              <controlPr defaultSize="0" autoLine="0" autoPict="0" macro="[0]!Vervolgkeuzelijst97_BijWijzigen">
                <anchor moveWithCells="1">
                  <from>
                    <xdr:col>1</xdr:col>
                    <xdr:colOff>0</xdr:colOff>
                    <xdr:row>39</xdr:row>
                    <xdr:rowOff>0</xdr:rowOff>
                  </from>
                  <to>
                    <xdr:col>2</xdr:col>
                    <xdr:colOff>190500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93" name="Spinner 98">
              <controlPr defaultSize="0" autoPict="0">
                <anchor moveWithCells="1" sizeWithCells="1">
                  <from>
                    <xdr:col>4</xdr:col>
                    <xdr:colOff>152400</xdr:colOff>
                    <xdr:row>39</xdr:row>
                    <xdr:rowOff>0</xdr:rowOff>
                  </from>
                  <to>
                    <xdr:col>4</xdr:col>
                    <xdr:colOff>276225</xdr:colOff>
                    <xdr:row>39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7" r:id="rId94" name="Spinner 99">
              <controlPr defaultSize="0" autoPict="0">
                <anchor moveWithCells="1" sizeWithCells="1">
                  <from>
                    <xdr:col>3</xdr:col>
                    <xdr:colOff>9525</xdr:colOff>
                    <xdr:row>38</xdr:row>
                    <xdr:rowOff>190500</xdr:rowOff>
                  </from>
                  <to>
                    <xdr:col>3</xdr:col>
                    <xdr:colOff>133350</xdr:colOff>
                    <xdr:row>39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95" name="Drop Down 100">
              <controlPr defaultSize="0" autoLine="0" autoPict="0">
                <anchor moveWithCells="1">
                  <from>
                    <xdr:col>4</xdr:col>
                    <xdr:colOff>323850</xdr:colOff>
                    <xdr:row>39</xdr:row>
                    <xdr:rowOff>0</xdr:rowOff>
                  </from>
                  <to>
                    <xdr:col>5</xdr:col>
                    <xdr:colOff>609600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96" name="Drop Down 101">
              <controlPr defaultSize="0" autoLine="0" autoPict="0" macro="[0]!Vervolgkeuzelijst101_BijWijzigen">
                <anchor moveWithCells="1">
                  <from>
                    <xdr:col>4</xdr:col>
                    <xdr:colOff>323850</xdr:colOff>
                    <xdr:row>41</xdr:row>
                    <xdr:rowOff>0</xdr:rowOff>
                  </from>
                  <to>
                    <xdr:col>5</xdr:col>
                    <xdr:colOff>609600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97" name="Spinner 102">
              <controlPr defaultSize="0" autoPict="0">
                <anchor moveWithCells="1" sizeWithCells="1">
                  <from>
                    <xdr:col>7</xdr:col>
                    <xdr:colOff>19050</xdr:colOff>
                    <xdr:row>41</xdr:row>
                    <xdr:rowOff>9525</xdr:rowOff>
                  </from>
                  <to>
                    <xdr:col>7</xdr:col>
                    <xdr:colOff>142875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98" name="Check Box 103">
              <controlPr defaultSize="0" autoFill="0" autoLine="0" autoPict="0">
                <anchor moveWithCells="1">
                  <from>
                    <xdr:col>9</xdr:col>
                    <xdr:colOff>295275</xdr:colOff>
                    <xdr:row>41</xdr:row>
                    <xdr:rowOff>0</xdr:rowOff>
                  </from>
                  <to>
                    <xdr:col>9</xdr:col>
                    <xdr:colOff>600075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99" name="Drop Down 104">
              <controlPr defaultSize="0" autoLine="0" autoPict="0" macro="[0]!Vervolgkeuzelijst104_BijWijzigen">
                <anchor moveWithCells="1">
                  <from>
                    <xdr:col>4</xdr:col>
                    <xdr:colOff>323850</xdr:colOff>
                    <xdr:row>42</xdr:row>
                    <xdr:rowOff>0</xdr:rowOff>
                  </from>
                  <to>
                    <xdr:col>5</xdr:col>
                    <xdr:colOff>609600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100" name="Spinner 105">
              <controlPr defaultSize="0" autoPict="0">
                <anchor moveWithCells="1" sizeWithCells="1">
                  <from>
                    <xdr:col>7</xdr:col>
                    <xdr:colOff>19050</xdr:colOff>
                    <xdr:row>42</xdr:row>
                    <xdr:rowOff>9525</xdr:rowOff>
                  </from>
                  <to>
                    <xdr:col>7</xdr:col>
                    <xdr:colOff>142875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101" name="Check Box 106">
              <controlPr defaultSize="0" autoFill="0" autoLine="0" autoPict="0">
                <anchor moveWithCells="1">
                  <from>
                    <xdr:col>9</xdr:col>
                    <xdr:colOff>295275</xdr:colOff>
                    <xdr:row>42</xdr:row>
                    <xdr:rowOff>0</xdr:rowOff>
                  </from>
                  <to>
                    <xdr:col>9</xdr:col>
                    <xdr:colOff>600075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102" name="Check Box 107">
              <controlPr defaultSize="0" autoFill="0" autoLine="0" autoPict="0">
                <anchor moveWithCells="1">
                  <from>
                    <xdr:col>9</xdr:col>
                    <xdr:colOff>295275</xdr:colOff>
                    <xdr:row>42</xdr:row>
                    <xdr:rowOff>0</xdr:rowOff>
                  </from>
                  <to>
                    <xdr:col>9</xdr:col>
                    <xdr:colOff>600075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103" name="Drop Down 108">
              <controlPr defaultSize="0" autoLine="0" autoPict="0" macro="[0]!Vervolgkeuzelijst108_BijWijzigen">
                <anchor moveWithCells="1">
                  <from>
                    <xdr:col>4</xdr:col>
                    <xdr:colOff>323850</xdr:colOff>
                    <xdr:row>43</xdr:row>
                    <xdr:rowOff>0</xdr:rowOff>
                  </from>
                  <to>
                    <xdr:col>5</xdr:col>
                    <xdr:colOff>609600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104" name="Spinner 109">
              <controlPr defaultSize="0" autoPict="0">
                <anchor moveWithCells="1" sizeWithCells="1">
                  <from>
                    <xdr:col>7</xdr:col>
                    <xdr:colOff>19050</xdr:colOff>
                    <xdr:row>43</xdr:row>
                    <xdr:rowOff>9525</xdr:rowOff>
                  </from>
                  <to>
                    <xdr:col>7</xdr:col>
                    <xdr:colOff>142875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105" name="Check Box 110">
              <controlPr defaultSize="0" autoFill="0" autoLine="0" autoPict="0">
                <anchor moveWithCells="1">
                  <from>
                    <xdr:col>9</xdr:col>
                    <xdr:colOff>295275</xdr:colOff>
                    <xdr:row>43</xdr:row>
                    <xdr:rowOff>0</xdr:rowOff>
                  </from>
                  <to>
                    <xdr:col>9</xdr:col>
                    <xdr:colOff>600075</xdr:colOff>
                    <xdr:row>44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106" name="Drop Down 112">
              <controlPr defaultSize="0" autoLine="0" autoPict="0">
                <anchor moveWithCells="1">
                  <from>
                    <xdr:col>12</xdr:col>
                    <xdr:colOff>47625</xdr:colOff>
                    <xdr:row>23</xdr:row>
                    <xdr:rowOff>180975</xdr:rowOff>
                  </from>
                  <to>
                    <xdr:col>13</xdr:col>
                    <xdr:colOff>895350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1" r:id="rId107" name="Drop Down 113">
              <controlPr defaultSize="0" autoLine="0" autoPict="0">
                <anchor moveWithCells="1">
                  <from>
                    <xdr:col>12</xdr:col>
                    <xdr:colOff>57150</xdr:colOff>
                    <xdr:row>25</xdr:row>
                    <xdr:rowOff>9525</xdr:rowOff>
                  </from>
                  <to>
                    <xdr:col>13</xdr:col>
                    <xdr:colOff>904875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108" name="Drop Down 118">
              <controlPr defaultSize="0" autoLine="0" autoPict="0">
                <anchor moveWithCells="1">
                  <from>
                    <xdr:col>12</xdr:col>
                    <xdr:colOff>47625</xdr:colOff>
                    <xdr:row>24</xdr:row>
                    <xdr:rowOff>180975</xdr:rowOff>
                  </from>
                  <to>
                    <xdr:col>13</xdr:col>
                    <xdr:colOff>895350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109" name="Drop Down 119">
              <controlPr defaultSize="0" autoLine="0" autoPict="0">
                <anchor moveWithCells="1">
                  <from>
                    <xdr:col>12</xdr:col>
                    <xdr:colOff>47625</xdr:colOff>
                    <xdr:row>25</xdr:row>
                    <xdr:rowOff>180975</xdr:rowOff>
                  </from>
                  <to>
                    <xdr:col>13</xdr:col>
                    <xdr:colOff>895350</xdr:colOff>
                    <xdr:row>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0" r:id="rId110" name="Drop Down 122">
              <controlPr defaultSize="0" autoLine="0" autoPict="0" macro="[0]!Voeding_BijWijzigen">
                <anchor moveWithCells="1">
                  <from>
                    <xdr:col>13</xdr:col>
                    <xdr:colOff>1114425</xdr:colOff>
                    <xdr:row>23</xdr:row>
                    <xdr:rowOff>0</xdr:rowOff>
                  </from>
                  <to>
                    <xdr:col>14</xdr:col>
                    <xdr:colOff>533400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3" r:id="rId111" name="Drop Down 125">
              <controlPr defaultSize="0" autoLine="0" autoPict="0">
                <anchor moveWithCells="1">
                  <from>
                    <xdr:col>13</xdr:col>
                    <xdr:colOff>1114425</xdr:colOff>
                    <xdr:row>23</xdr:row>
                    <xdr:rowOff>190500</xdr:rowOff>
                  </from>
                  <to>
                    <xdr:col>15</xdr:col>
                    <xdr:colOff>38100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4" r:id="rId112" name="Drop Down 126">
              <controlPr defaultSize="0" autoLine="0" autoPict="0">
                <anchor moveWithCells="1">
                  <from>
                    <xdr:col>13</xdr:col>
                    <xdr:colOff>1114425</xdr:colOff>
                    <xdr:row>24</xdr:row>
                    <xdr:rowOff>190500</xdr:rowOff>
                  </from>
                  <to>
                    <xdr:col>15</xdr:col>
                    <xdr:colOff>38100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6" r:id="rId113" name="Drop Down 128">
              <controlPr defaultSize="0" autoLine="0" autoPict="0">
                <anchor moveWithCells="1">
                  <from>
                    <xdr:col>13</xdr:col>
                    <xdr:colOff>1114425</xdr:colOff>
                    <xdr:row>25</xdr:row>
                    <xdr:rowOff>190500</xdr:rowOff>
                  </from>
                  <to>
                    <xdr:col>15</xdr:col>
                    <xdr:colOff>38100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114" name="Drop Down 129">
              <controlPr defaultSize="0" autoLine="0" autoPict="0">
                <anchor moveWithCells="1">
                  <from>
                    <xdr:col>8</xdr:col>
                    <xdr:colOff>47625</xdr:colOff>
                    <xdr:row>22</xdr:row>
                    <xdr:rowOff>180975</xdr:rowOff>
                  </from>
                  <to>
                    <xdr:col>9</xdr:col>
                    <xdr:colOff>590550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115" name="Drop Down 131">
              <controlPr defaultSize="0" autoLine="0" autoPict="0">
                <anchor moveWithCells="1">
                  <from>
                    <xdr:col>12</xdr:col>
                    <xdr:colOff>47625</xdr:colOff>
                    <xdr:row>22</xdr:row>
                    <xdr:rowOff>180975</xdr:rowOff>
                  </from>
                  <to>
                    <xdr:col>13</xdr:col>
                    <xdr:colOff>895350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1" r:id="rId116" name="Drop Down 133">
              <controlPr defaultSize="0" autoLine="0" autoPict="0">
                <anchor moveWithCells="1">
                  <from>
                    <xdr:col>13</xdr:col>
                    <xdr:colOff>1114425</xdr:colOff>
                    <xdr:row>22</xdr:row>
                    <xdr:rowOff>190500</xdr:rowOff>
                  </from>
                  <to>
                    <xdr:col>15</xdr:col>
                    <xdr:colOff>38100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2" r:id="rId117" name="Drop Down 134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0</xdr:rowOff>
                  </from>
                  <to>
                    <xdr:col>11</xdr:col>
                    <xdr:colOff>66675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3" r:id="rId118" name="Drop Down 135">
              <controlPr defaultSize="0" autoLine="0" autoPict="0">
                <anchor moveWithCells="1">
                  <from>
                    <xdr:col>10</xdr:col>
                    <xdr:colOff>0</xdr:colOff>
                    <xdr:row>23</xdr:row>
                    <xdr:rowOff>180975</xdr:rowOff>
                  </from>
                  <to>
                    <xdr:col>11</xdr:col>
                    <xdr:colOff>66675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4" r:id="rId119" name="Drop Down 136">
              <controlPr defaultSize="0" autoLine="0" autoPict="0">
                <anchor moveWithCells="1">
                  <from>
                    <xdr:col>10</xdr:col>
                    <xdr:colOff>0</xdr:colOff>
                    <xdr:row>24</xdr:row>
                    <xdr:rowOff>180975</xdr:rowOff>
                  </from>
                  <to>
                    <xdr:col>11</xdr:col>
                    <xdr:colOff>66675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5" r:id="rId120" name="Drop Down 137">
              <controlPr defaultSize="0" autoLine="0" autoPict="0">
                <anchor moveWithCells="1">
                  <from>
                    <xdr:col>10</xdr:col>
                    <xdr:colOff>0</xdr:colOff>
                    <xdr:row>25</xdr:row>
                    <xdr:rowOff>180975</xdr:rowOff>
                  </from>
                  <to>
                    <xdr:col>11</xdr:col>
                    <xdr:colOff>66675</xdr:colOff>
                    <xdr:row>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6" r:id="rId121" name="Drop Down 138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180975</xdr:rowOff>
                  </from>
                  <to>
                    <xdr:col>11</xdr:col>
                    <xdr:colOff>66675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122" name="Check Box 140">
              <controlPr defaultSize="0" autoFill="0" autoLine="0" autoPict="0">
                <anchor moveWithCells="1">
                  <from>
                    <xdr:col>1</xdr:col>
                    <xdr:colOff>161925</xdr:colOff>
                    <xdr:row>25</xdr:row>
                    <xdr:rowOff>142875</xdr:rowOff>
                  </from>
                  <to>
                    <xdr:col>2</xdr:col>
                    <xdr:colOff>800100</xdr:colOff>
                    <xdr:row>26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9" r:id="rId123" name="Spinner 141">
              <controlPr defaultSize="0" autoPict="0">
                <anchor moveWithCells="1" sizeWithCells="1">
                  <from>
                    <xdr:col>7</xdr:col>
                    <xdr:colOff>19050</xdr:colOff>
                    <xdr:row>32</xdr:row>
                    <xdr:rowOff>9525</xdr:rowOff>
                  </from>
                  <to>
                    <xdr:col>7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124" name="Spinner 142">
              <controlPr defaultSize="0" autoPict="0">
                <anchor moveWithCells="1" sizeWithCells="1">
                  <from>
                    <xdr:col>7</xdr:col>
                    <xdr:colOff>19050</xdr:colOff>
                    <xdr:row>33</xdr:row>
                    <xdr:rowOff>9525</xdr:rowOff>
                  </from>
                  <to>
                    <xdr:col>7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125" name="Spinner 143">
              <controlPr defaultSize="0" autoPict="0">
                <anchor moveWithCells="1" sizeWithCells="1">
                  <from>
                    <xdr:col>7</xdr:col>
                    <xdr:colOff>19050</xdr:colOff>
                    <xdr:row>34</xdr:row>
                    <xdr:rowOff>9525</xdr:rowOff>
                  </from>
                  <to>
                    <xdr:col>7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126" name="Spinner 144">
              <controlPr defaultSize="0" autoPict="0">
                <anchor moveWithCells="1" sizeWithCells="1">
                  <from>
                    <xdr:col>7</xdr:col>
                    <xdr:colOff>19050</xdr:colOff>
                    <xdr:row>35</xdr:row>
                    <xdr:rowOff>9525</xdr:rowOff>
                  </from>
                  <to>
                    <xdr:col>7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27" name="Spinner 145">
              <controlPr defaultSize="0" autoPict="0">
                <anchor moveWithCells="1" sizeWithCells="1">
                  <from>
                    <xdr:col>7</xdr:col>
                    <xdr:colOff>19050</xdr:colOff>
                    <xdr:row>36</xdr:row>
                    <xdr:rowOff>9525</xdr:rowOff>
                  </from>
                  <to>
                    <xdr:col>7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28" name="Spinner 146">
              <controlPr defaultSize="0" autoPict="0">
                <anchor moveWithCells="1" sizeWithCells="1">
                  <from>
                    <xdr:col>7</xdr:col>
                    <xdr:colOff>19050</xdr:colOff>
                    <xdr:row>37</xdr:row>
                    <xdr:rowOff>9525</xdr:rowOff>
                  </from>
                  <to>
                    <xdr:col>7</xdr:col>
                    <xdr:colOff>142875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29" name="Spinner 147">
              <controlPr defaultSize="0" autoPict="0">
                <anchor moveWithCells="1" sizeWithCells="1">
                  <from>
                    <xdr:col>7</xdr:col>
                    <xdr:colOff>19050</xdr:colOff>
                    <xdr:row>38</xdr:row>
                    <xdr:rowOff>9525</xdr:rowOff>
                  </from>
                  <to>
                    <xdr:col>7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30" name="Spinner 148">
              <controlPr defaultSize="0" autoPict="0">
                <anchor moveWithCells="1" sizeWithCells="1">
                  <from>
                    <xdr:col>7</xdr:col>
                    <xdr:colOff>19050</xdr:colOff>
                    <xdr:row>39</xdr:row>
                    <xdr:rowOff>9525</xdr:rowOff>
                  </from>
                  <to>
                    <xdr:col>7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31" name="Drop Down 149">
              <controlPr defaultSize="0" autoLine="0" autoPict="0" macro="[0]!Vervolgkeuzelijst97_BijWijzigen">
                <anchor moveWithCells="1">
                  <from>
                    <xdr:col>1</xdr:col>
                    <xdr:colOff>0</xdr:colOff>
                    <xdr:row>47</xdr:row>
                    <xdr:rowOff>0</xdr:rowOff>
                  </from>
                  <to>
                    <xdr:col>3</xdr:col>
                    <xdr:colOff>28575</xdr:colOff>
                    <xdr:row>47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2DD022E6-CA7F-414B-90BF-E4BC32099D26}">
            <xm:f>IF(NeoBerInfB!B20&gt;1,IF(AND(H32&lt;&gt;"",H32&gt;=INDEX(tbl_Neo_MedIV,NeoBerInfB!B20,9)),TRUE,FALSE),FALSE)</xm:f>
            <x14:dxf>
              <fill>
                <patternFill>
                  <bgColor rgb="FFFF0000"/>
                </patternFill>
              </fill>
            </x14:dxf>
          </x14:cfRule>
          <x14:cfRule type="expression" priority="2" id="{12CC08A1-8384-4E86-A641-011803A44F1A}">
            <xm:f>IF(AND(C32&lt;&gt;0,G32&lt;&gt;""),IF(AND(H32&gt;=INDEX(tbl_Neo_MedIV,NeoBerInfB!$B20,7),H32&lt;=INDEX(tbl_Neo_MedIV,NeoBerInfB!$B20,8)),TRUE,FALSE),TRUE)=FALSE</xm:f>
            <x14:dxf>
              <fill>
                <patternFill>
                  <bgColor rgb="FFFFC000"/>
                </patternFill>
              </fill>
            </x14:dxf>
          </x14:cfRule>
          <xm:sqref>H32:H40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InfB">
    <tabColor rgb="FF92D050"/>
  </sheetPr>
  <dimension ref="A1:Y116"/>
  <sheetViews>
    <sheetView workbookViewId="0">
      <pane xSplit="1" ySplit="1" topLeftCell="D14" activePane="bottomRight" state="frozenSplit"/>
      <selection activeCell="J34" sqref="J34"/>
      <selection pane="topRight" activeCell="J34" sqref="J34"/>
      <selection pane="bottomLeft" activeCell="J34" sqref="J34"/>
      <selection pane="bottomRight" activeCell="L1" sqref="L1:W1"/>
    </sheetView>
  </sheetViews>
  <sheetFormatPr defaultColWidth="9.140625" defaultRowHeight="12.75" x14ac:dyDescent="0.2"/>
  <cols>
    <col min="1" max="1" width="40.140625" style="154" customWidth="1"/>
    <col min="2" max="3" width="13.85546875" style="154" customWidth="1"/>
    <col min="4" max="4" width="11.7109375" style="154" customWidth="1"/>
    <col min="5" max="5" width="10.7109375" style="154" customWidth="1"/>
    <col min="6" max="6" width="10" style="154" customWidth="1"/>
    <col min="7" max="7" width="10.7109375" style="154" bestFit="1" customWidth="1"/>
    <col min="8" max="8" width="12.42578125" style="154" bestFit="1" customWidth="1"/>
    <col min="9" max="11" width="9.140625" style="154"/>
    <col min="12" max="12" width="13.28515625" style="154" bestFit="1" customWidth="1"/>
    <col min="13" max="22" width="9.140625" style="154"/>
    <col min="23" max="23" width="9.140625" style="485"/>
    <col min="24" max="16384" width="9.140625" style="154"/>
  </cols>
  <sheetData>
    <row r="1" spans="1:25" x14ac:dyDescent="0.2">
      <c r="A1" s="355" t="s">
        <v>28</v>
      </c>
      <c r="B1" s="154" t="s">
        <v>296</v>
      </c>
      <c r="C1" s="154" t="s">
        <v>630</v>
      </c>
      <c r="G1" s="154" t="s">
        <v>4947</v>
      </c>
      <c r="H1" s="154" t="s">
        <v>5072</v>
      </c>
      <c r="J1" s="154" t="s">
        <v>526</v>
      </c>
      <c r="K1" s="154" t="s">
        <v>311</v>
      </c>
      <c r="L1" s="154" t="s">
        <v>229</v>
      </c>
      <c r="M1" s="154" t="s">
        <v>230</v>
      </c>
      <c r="N1" s="154" t="s">
        <v>231</v>
      </c>
      <c r="O1" s="154" t="s">
        <v>232</v>
      </c>
      <c r="P1" s="154" t="s">
        <v>549</v>
      </c>
      <c r="Q1" s="154" t="s">
        <v>228</v>
      </c>
      <c r="R1" s="154" t="s">
        <v>550</v>
      </c>
      <c r="S1" s="154" t="s">
        <v>551</v>
      </c>
      <c r="T1" s="154" t="s">
        <v>552</v>
      </c>
      <c r="U1" s="154" t="s">
        <v>603</v>
      </c>
      <c r="V1" s="154" t="s">
        <v>561</v>
      </c>
      <c r="W1" s="485" t="s">
        <v>948</v>
      </c>
      <c r="X1" s="154" t="s">
        <v>580</v>
      </c>
      <c r="Y1" s="154" t="s">
        <v>631</v>
      </c>
    </row>
    <row r="2" spans="1:25" x14ac:dyDescent="0.2">
      <c r="A2" s="154" t="s">
        <v>518</v>
      </c>
      <c r="B2" s="154">
        <f>__1_Bed</f>
        <v>0</v>
      </c>
    </row>
    <row r="3" spans="1:25" x14ac:dyDescent="0.2">
      <c r="A3" s="154" t="s">
        <v>565</v>
      </c>
      <c r="B3" s="312">
        <f>__4_GebDatum</f>
        <v>1462</v>
      </c>
      <c r="C3" s="307">
        <v>0</v>
      </c>
      <c r="E3" s="154" t="s">
        <v>632</v>
      </c>
      <c r="F3" s="154">
        <f>__0_PatNum</f>
        <v>0</v>
      </c>
    </row>
    <row r="4" spans="1:25" x14ac:dyDescent="0.2">
      <c r="A4" s="154" t="s">
        <v>536</v>
      </c>
      <c r="B4" s="313">
        <f>_Pat_Gewicht/10</f>
        <v>0</v>
      </c>
      <c r="C4" s="171" t="s">
        <v>633</v>
      </c>
      <c r="D4" s="311">
        <v>0</v>
      </c>
    </row>
    <row r="5" spans="1:25" x14ac:dyDescent="0.2">
      <c r="A5" s="154" t="s">
        <v>304</v>
      </c>
      <c r="B5" s="312">
        <f>_Pat_OpnDatum</f>
        <v>1462</v>
      </c>
      <c r="C5" s="171" t="s">
        <v>634</v>
      </c>
      <c r="D5" s="311">
        <v>0</v>
      </c>
    </row>
    <row r="6" spans="1:25" x14ac:dyDescent="0.2">
      <c r="A6" s="355" t="s">
        <v>635</v>
      </c>
      <c r="B6" s="307">
        <f ca="1">TODAY()-B3+1+C3</f>
        <v>41289</v>
      </c>
      <c r="C6" s="154">
        <f ca="1">IF(B6&lt;7,B6,6)</f>
        <v>6</v>
      </c>
    </row>
    <row r="7" spans="1:25" x14ac:dyDescent="0.2">
      <c r="A7" s="154" t="s">
        <v>186</v>
      </c>
    </row>
    <row r="8" spans="1:25" x14ac:dyDescent="0.2">
      <c r="A8" s="154" t="s">
        <v>569</v>
      </c>
    </row>
    <row r="9" spans="1:25" x14ac:dyDescent="0.2">
      <c r="A9" s="154" t="s">
        <v>636</v>
      </c>
    </row>
    <row r="10" spans="1:25" x14ac:dyDescent="0.2">
      <c r="A10" s="154" t="s">
        <v>295</v>
      </c>
      <c r="D10" s="154">
        <v>4</v>
      </c>
    </row>
    <row r="11" spans="1:25" x14ac:dyDescent="0.2">
      <c r="A11" s="154" t="s">
        <v>572</v>
      </c>
      <c r="D11" s="154">
        <v>10</v>
      </c>
      <c r="L11" s="154">
        <v>2</v>
      </c>
      <c r="M11" s="154">
        <v>3</v>
      </c>
      <c r="N11" s="154">
        <v>4</v>
      </c>
      <c r="O11" s="154">
        <v>5</v>
      </c>
      <c r="P11" s="154">
        <v>6</v>
      </c>
      <c r="Q11" s="154">
        <v>7</v>
      </c>
      <c r="R11" s="154">
        <v>8</v>
      </c>
      <c r="S11" s="154">
        <v>9</v>
      </c>
      <c r="T11" s="154">
        <v>10</v>
      </c>
      <c r="U11" s="154">
        <v>11</v>
      </c>
      <c r="V11" s="154">
        <v>12</v>
      </c>
    </row>
    <row r="12" spans="1:25" x14ac:dyDescent="0.2">
      <c r="A12" s="154" t="s">
        <v>295</v>
      </c>
      <c r="D12" s="154">
        <v>2</v>
      </c>
    </row>
    <row r="13" spans="1:25" x14ac:dyDescent="0.2">
      <c r="A13" s="154" t="s">
        <v>572</v>
      </c>
      <c r="D13" s="154">
        <v>20</v>
      </c>
    </row>
    <row r="14" spans="1:25" x14ac:dyDescent="0.2">
      <c r="A14" s="154" t="s">
        <v>284</v>
      </c>
      <c r="D14" s="154">
        <v>3</v>
      </c>
      <c r="J14" s="154">
        <v>2</v>
      </c>
      <c r="K14" s="154">
        <f>IF(AND(Var_Neo_InfB_Cont_VochtExtra_01=2,Var_Neo_InfB_Ent_Voeding&gt;1),(D10*D11+D12*D13)/10,0)</f>
        <v>8</v>
      </c>
      <c r="L14" s="405">
        <f>INDEX(Tbl_Neo_Voed,$D14,L$51)*$K14</f>
        <v>0.24347679999999999</v>
      </c>
      <c r="M14" s="405">
        <f>INDEX(Tbl_Neo_Voed,$D14,M$51)*$K14</f>
        <v>0.16410240000000001</v>
      </c>
      <c r="N14" s="405">
        <f>INDEX(Tbl_Neo_Voed,$D14,N$51)*$K14</f>
        <v>0.19919999999999999</v>
      </c>
      <c r="O14" s="405">
        <f>INDEX(Tbl_Neo_Voed,$D14,O$51)*$K14</f>
        <v>2.6330239999999998E-2</v>
      </c>
      <c r="P14" s="405">
        <f>INDEX(Tbl_Neo_Voed,$D14,P$51)*$K14</f>
        <v>0.14465471999999999</v>
      </c>
      <c r="Q14" s="405">
        <f>INDEX(Tbl_Neo_Voed,$D14,Q$51)*$K14</f>
        <v>0.20800000000000002</v>
      </c>
      <c r="R14" s="405">
        <f>INDEX(Tbl_Neo_Voed,$D14,R$51)*$K14</f>
        <v>0.67200000000000004</v>
      </c>
      <c r="S14" s="405">
        <f>INDEX(Tbl_Neo_Voed,$D14,S$51)*$K14</f>
        <v>0.312</v>
      </c>
      <c r="T14" s="405">
        <f>INDEX(Tbl_Neo_Voed,$D14,T$51)*$K14</f>
        <v>6.4</v>
      </c>
      <c r="U14" s="405">
        <f>INDEX(Tbl_Neo_Voed,$D14,U$51)*$K14</f>
        <v>0.19180079999999999</v>
      </c>
      <c r="V14" s="405">
        <f>INDEX(Tbl_Neo_Voed,$D14,V$51)*$K14</f>
        <v>9.6</v>
      </c>
      <c r="W14" s="405">
        <f>INDEX(Tbl_Neo_Voed,$D14,W$51)*$K14</f>
        <v>2.2911999999999997E-3</v>
      </c>
    </row>
    <row r="15" spans="1:25" x14ac:dyDescent="0.2">
      <c r="A15" s="154" t="s">
        <v>571</v>
      </c>
      <c r="B15" s="154">
        <v>1</v>
      </c>
    </row>
    <row r="16" spans="1:25" x14ac:dyDescent="0.2">
      <c r="A16" s="154" t="s">
        <v>637</v>
      </c>
      <c r="B16" s="154">
        <f ca="1">IF(AND(D4&lt;37,(_Pat_Gewicht/10)&gt;=1),INDEX(NeoBerAdvies!B4:G4,1,NeoBerInfB!C6),IF((_Pat_Gewicht/10)&lt;1,INDEX(NeoBerAdvies!B5:G5,1,NeoBerInfB!C6),INDEX(NeoBerAdvies!B6:G6,1,NeoBerInfB!C6)))+IF(B15=1,20,0)</f>
        <v>180</v>
      </c>
      <c r="C16" s="154">
        <f ca="1">ROUND(B16/5,0)*5+(D16-5000)</f>
        <v>195</v>
      </c>
      <c r="D16" s="154">
        <v>5015</v>
      </c>
    </row>
    <row r="17" spans="1:25" x14ac:dyDescent="0.2">
      <c r="A17" s="154" t="s">
        <v>638</v>
      </c>
      <c r="B17" s="154" t="b">
        <v>0</v>
      </c>
      <c r="C17" s="154">
        <f ca="1">ROUND(C16*(_Pat_Gewicht/10)-K14,0)</f>
        <v>-8</v>
      </c>
    </row>
    <row r="18" spans="1:25" x14ac:dyDescent="0.2">
      <c r="A18" s="154" t="s">
        <v>744</v>
      </c>
      <c r="B18" s="154">
        <v>0</v>
      </c>
      <c r="J18" s="154" t="b">
        <v>0</v>
      </c>
      <c r="K18" s="154">
        <f>IF(J18,0,B18*2.4)</f>
        <v>0</v>
      </c>
      <c r="L18" s="154">
        <f>0.155*K18/2</f>
        <v>0</v>
      </c>
    </row>
    <row r="19" spans="1:25" x14ac:dyDescent="0.2">
      <c r="B19" s="154" t="s">
        <v>600</v>
      </c>
      <c r="C19" s="154" t="s">
        <v>639</v>
      </c>
      <c r="D19" s="154" t="s">
        <v>640</v>
      </c>
      <c r="E19" s="154" t="s">
        <v>153</v>
      </c>
      <c r="F19" s="154" t="s">
        <v>51</v>
      </c>
      <c r="G19" s="154" t="s">
        <v>332</v>
      </c>
      <c r="H19" s="154" t="s">
        <v>641</v>
      </c>
      <c r="I19" s="154" t="s">
        <v>602</v>
      </c>
    </row>
    <row r="20" spans="1:25" x14ac:dyDescent="0.2">
      <c r="A20" s="154" t="s">
        <v>642</v>
      </c>
      <c r="B20" s="154">
        <v>1</v>
      </c>
      <c r="C20" s="154">
        <v>0</v>
      </c>
      <c r="D20" s="154">
        <v>0</v>
      </c>
      <c r="E20" s="154">
        <v>1</v>
      </c>
      <c r="F20" s="154">
        <v>0</v>
      </c>
      <c r="G20" s="154">
        <f>IF(INDEX(tbl_Neo_MedIV,NeoBerInfB!B20,5)=0,1,INDEX(tbl_Neo_MedIV,NeoBerInfB!B20,5))</f>
        <v>1</v>
      </c>
      <c r="H20" s="154">
        <f t="shared" ref="H20:H28" si="0">IF(D20&gt;0,(F20*IF(Y20*10&gt;=24,2.4,2.4)*((C20/10)/D20))/($B$4)/I20,0)</f>
        <v>0</v>
      </c>
      <c r="I20" s="154">
        <f>IF(NeoBerInfB!G20&gt;1,INDEX(NeoTblLijst!$K$3:$K$11,NeoBerInfB!G20),1)</f>
        <v>1</v>
      </c>
      <c r="J20" s="154">
        <v>0</v>
      </c>
      <c r="K20" s="154">
        <f t="shared" ref="K20:K31" si="1">IF(J20,0,F20*2.4)</f>
        <v>0</v>
      </c>
      <c r="L20" s="154">
        <f t="shared" ref="L20:L31" si="2">IF($E20&gt;1,INDEX(tbl_Neo_Opl,$E20,3),0)*$K20</f>
        <v>0</v>
      </c>
      <c r="M20" s="154">
        <f t="shared" ref="M20:M31" si="3">IF($E20&gt;1,INDEX(tbl_Neo_Opl,$E20,4),0)*$K20</f>
        <v>0</v>
      </c>
      <c r="N20" s="154">
        <f t="shared" ref="N20:N31" si="4">IF($E20&gt;1,INDEX(tbl_Neo_Opl,$E20,6),0)*$K20</f>
        <v>0</v>
      </c>
      <c r="O20" s="154">
        <f t="shared" ref="O20:O31" si="5">IF($E20&gt;1,INDEX(tbl_Neo_Opl,$E20,7),0)*$K20</f>
        <v>0</v>
      </c>
      <c r="P20" s="154">
        <f t="shared" ref="P20:P31" si="6">IF($E20&gt;1,INDEX(tbl_Neo_Opl,$E20,8),0)*$K20</f>
        <v>0</v>
      </c>
      <c r="Q20" s="154">
        <f t="shared" ref="Q20:Q31" si="7">IF($E20&gt;1,INDEX(tbl_Neo_Opl,$E20,5),0)*$K20</f>
        <v>0</v>
      </c>
      <c r="R20" s="154">
        <f t="shared" ref="R20:R31" si="8">IF($E20&gt;1,INDEX(tbl_Neo_Opl,$E20,2),0)*$K20</f>
        <v>0</v>
      </c>
      <c r="X20" s="154">
        <f>ROUND(IF(Y20*10&gt;1,Y20*10,Y20*600),0)</f>
        <v>0</v>
      </c>
      <c r="Y20" s="154">
        <f t="shared" ref="Y20:Y31" si="9">IF(F20&gt;0,D20/F20,0)</f>
        <v>0</v>
      </c>
    </row>
    <row r="21" spans="1:25" x14ac:dyDescent="0.2">
      <c r="A21" s="154" t="s">
        <v>643</v>
      </c>
      <c r="B21" s="154">
        <v>1</v>
      </c>
      <c r="C21" s="154">
        <v>0</v>
      </c>
      <c r="D21" s="154">
        <v>0</v>
      </c>
      <c r="E21" s="154">
        <v>1</v>
      </c>
      <c r="F21" s="154">
        <v>0</v>
      </c>
      <c r="G21" s="154">
        <f>IF(INDEX(tbl_Neo_MedIV,NeoBerInfB!B21,5)=0,1,INDEX(tbl_Neo_MedIV,NeoBerInfB!B21,5))</f>
        <v>1</v>
      </c>
      <c r="H21" s="154">
        <f t="shared" si="0"/>
        <v>0</v>
      </c>
      <c r="I21" s="463">
        <f>IF(NeoBerInfB!G21&gt;1,INDEX(NeoTblLijst!$K$3:$K$11,NeoBerInfB!G21),1)</f>
        <v>1</v>
      </c>
      <c r="J21" s="154">
        <v>0</v>
      </c>
      <c r="K21" s="154">
        <f t="shared" si="1"/>
        <v>0</v>
      </c>
      <c r="L21" s="154">
        <f t="shared" si="2"/>
        <v>0</v>
      </c>
      <c r="M21" s="154">
        <f t="shared" si="3"/>
        <v>0</v>
      </c>
      <c r="N21" s="154">
        <f t="shared" si="4"/>
        <v>0</v>
      </c>
      <c r="O21" s="154">
        <f t="shared" si="5"/>
        <v>0</v>
      </c>
      <c r="P21" s="154">
        <f t="shared" si="6"/>
        <v>0</v>
      </c>
      <c r="Q21" s="154">
        <f t="shared" si="7"/>
        <v>0</v>
      </c>
      <c r="R21" s="154">
        <f t="shared" si="8"/>
        <v>0</v>
      </c>
      <c r="X21" s="154">
        <f t="shared" ref="X21:X28" si="10">ROUND(IF(Y21*10&gt;1,Y21*10,Y21*600),0)</f>
        <v>0</v>
      </c>
      <c r="Y21" s="154">
        <f t="shared" si="9"/>
        <v>0</v>
      </c>
    </row>
    <row r="22" spans="1:25" x14ac:dyDescent="0.2">
      <c r="A22" s="154" t="s">
        <v>644</v>
      </c>
      <c r="B22" s="154">
        <v>1</v>
      </c>
      <c r="C22" s="154">
        <v>0</v>
      </c>
      <c r="D22" s="154">
        <v>0</v>
      </c>
      <c r="E22" s="154">
        <v>1</v>
      </c>
      <c r="F22" s="154">
        <v>0</v>
      </c>
      <c r="G22" s="154">
        <f>IF(INDEX(tbl_Neo_MedIV,NeoBerInfB!B22,5)=0,1,INDEX(tbl_Neo_MedIV,NeoBerInfB!B22,5))</f>
        <v>1</v>
      </c>
      <c r="H22" s="154">
        <f t="shared" si="0"/>
        <v>0</v>
      </c>
      <c r="I22" s="463">
        <f>IF(NeoBerInfB!G22&gt;1,INDEX(NeoTblLijst!$K$3:$K$11,NeoBerInfB!G22),1)</f>
        <v>1</v>
      </c>
      <c r="J22" s="154">
        <v>0</v>
      </c>
      <c r="K22" s="154">
        <f t="shared" si="1"/>
        <v>0</v>
      </c>
      <c r="L22" s="154">
        <f t="shared" si="2"/>
        <v>0</v>
      </c>
      <c r="M22" s="154">
        <f t="shared" si="3"/>
        <v>0</v>
      </c>
      <c r="N22" s="154">
        <f t="shared" si="4"/>
        <v>0</v>
      </c>
      <c r="O22" s="154">
        <f t="shared" si="5"/>
        <v>0</v>
      </c>
      <c r="P22" s="154">
        <f t="shared" si="6"/>
        <v>0</v>
      </c>
      <c r="Q22" s="154">
        <f t="shared" si="7"/>
        <v>0</v>
      </c>
      <c r="R22" s="154">
        <f t="shared" si="8"/>
        <v>0</v>
      </c>
      <c r="X22" s="154">
        <f t="shared" si="10"/>
        <v>0</v>
      </c>
      <c r="Y22" s="154">
        <f t="shared" si="9"/>
        <v>0</v>
      </c>
    </row>
    <row r="23" spans="1:25" x14ac:dyDescent="0.2">
      <c r="A23" s="154" t="s">
        <v>645</v>
      </c>
      <c r="B23" s="154">
        <v>1</v>
      </c>
      <c r="C23" s="154">
        <v>0</v>
      </c>
      <c r="D23" s="154">
        <v>0</v>
      </c>
      <c r="E23" s="154">
        <v>1</v>
      </c>
      <c r="F23" s="154">
        <v>0</v>
      </c>
      <c r="G23" s="154">
        <f>IF(INDEX(tbl_Neo_MedIV,NeoBerInfB!B23,5)=0,1,INDEX(tbl_Neo_MedIV,NeoBerInfB!B23,5))</f>
        <v>1</v>
      </c>
      <c r="H23" s="154">
        <f t="shared" si="0"/>
        <v>0</v>
      </c>
      <c r="I23" s="463">
        <f>IF(NeoBerInfB!G23&gt;1,INDEX(NeoTblLijst!$K$3:$K$11,NeoBerInfB!G23),1)</f>
        <v>1</v>
      </c>
      <c r="J23" s="154">
        <v>0</v>
      </c>
      <c r="K23" s="154">
        <f t="shared" si="1"/>
        <v>0</v>
      </c>
      <c r="L23" s="154">
        <f t="shared" si="2"/>
        <v>0</v>
      </c>
      <c r="M23" s="154">
        <f t="shared" si="3"/>
        <v>0</v>
      </c>
      <c r="N23" s="154">
        <f t="shared" si="4"/>
        <v>0</v>
      </c>
      <c r="O23" s="154">
        <f t="shared" si="5"/>
        <v>0</v>
      </c>
      <c r="P23" s="154">
        <f t="shared" si="6"/>
        <v>0</v>
      </c>
      <c r="Q23" s="154">
        <f t="shared" si="7"/>
        <v>0</v>
      </c>
      <c r="R23" s="154">
        <f t="shared" si="8"/>
        <v>0</v>
      </c>
      <c r="X23" s="154">
        <f t="shared" si="10"/>
        <v>0</v>
      </c>
      <c r="Y23" s="154">
        <f t="shared" si="9"/>
        <v>0</v>
      </c>
    </row>
    <row r="24" spans="1:25" x14ac:dyDescent="0.2">
      <c r="A24" s="154" t="s">
        <v>646</v>
      </c>
      <c r="B24" s="154">
        <v>1</v>
      </c>
      <c r="C24" s="154">
        <v>0</v>
      </c>
      <c r="D24" s="154">
        <v>0</v>
      </c>
      <c r="E24" s="154">
        <v>1</v>
      </c>
      <c r="F24" s="154">
        <v>0</v>
      </c>
      <c r="G24" s="154">
        <f>IF(INDEX(tbl_Neo_MedIV,NeoBerInfB!B24,5)=0,1,INDEX(tbl_Neo_MedIV,NeoBerInfB!B24,5))</f>
        <v>1</v>
      </c>
      <c r="H24" s="154">
        <f t="shared" si="0"/>
        <v>0</v>
      </c>
      <c r="I24" s="463">
        <f>IF(NeoBerInfB!G24&gt;1,INDEX(NeoTblLijst!$K$3:$K$11,NeoBerInfB!G24),1)</f>
        <v>1</v>
      </c>
      <c r="J24" s="154">
        <v>0</v>
      </c>
      <c r="K24" s="154">
        <f t="shared" si="1"/>
        <v>0</v>
      </c>
      <c r="L24" s="154">
        <f t="shared" si="2"/>
        <v>0</v>
      </c>
      <c r="M24" s="154">
        <f t="shared" si="3"/>
        <v>0</v>
      </c>
      <c r="N24" s="154">
        <f t="shared" si="4"/>
        <v>0</v>
      </c>
      <c r="O24" s="154">
        <f t="shared" si="5"/>
        <v>0</v>
      </c>
      <c r="P24" s="154">
        <f t="shared" si="6"/>
        <v>0</v>
      </c>
      <c r="Q24" s="154">
        <f t="shared" si="7"/>
        <v>0</v>
      </c>
      <c r="R24" s="154">
        <f t="shared" si="8"/>
        <v>0</v>
      </c>
      <c r="X24" s="154">
        <f t="shared" si="10"/>
        <v>0</v>
      </c>
      <c r="Y24" s="154">
        <f t="shared" si="9"/>
        <v>0</v>
      </c>
    </row>
    <row r="25" spans="1:25" x14ac:dyDescent="0.2">
      <c r="A25" s="154" t="s">
        <v>647</v>
      </c>
      <c r="B25" s="154">
        <v>1</v>
      </c>
      <c r="C25" s="154">
        <v>0</v>
      </c>
      <c r="D25" s="154">
        <v>0</v>
      </c>
      <c r="E25" s="154">
        <v>1</v>
      </c>
      <c r="F25" s="154">
        <v>0</v>
      </c>
      <c r="G25" s="154">
        <f>IF(INDEX(tbl_Neo_MedIV,NeoBerInfB!B25,5)=0,1,INDEX(tbl_Neo_MedIV,NeoBerInfB!B25,5))</f>
        <v>1</v>
      </c>
      <c r="H25" s="154">
        <f t="shared" si="0"/>
        <v>0</v>
      </c>
      <c r="I25" s="463">
        <f>IF(NeoBerInfB!G25&gt;1,INDEX(NeoTblLijst!$K$3:$K$11,NeoBerInfB!G25),1)</f>
        <v>1</v>
      </c>
      <c r="J25" s="154">
        <v>0</v>
      </c>
      <c r="K25" s="154">
        <f t="shared" si="1"/>
        <v>0</v>
      </c>
      <c r="L25" s="154">
        <f t="shared" si="2"/>
        <v>0</v>
      </c>
      <c r="M25" s="154">
        <f t="shared" si="3"/>
        <v>0</v>
      </c>
      <c r="N25" s="154">
        <f t="shared" si="4"/>
        <v>0</v>
      </c>
      <c r="O25" s="154">
        <f t="shared" si="5"/>
        <v>0</v>
      </c>
      <c r="P25" s="154">
        <f t="shared" si="6"/>
        <v>0</v>
      </c>
      <c r="Q25" s="154">
        <f t="shared" si="7"/>
        <v>0</v>
      </c>
      <c r="R25" s="154">
        <f t="shared" si="8"/>
        <v>0</v>
      </c>
      <c r="X25" s="154">
        <f t="shared" si="10"/>
        <v>0</v>
      </c>
      <c r="Y25" s="154">
        <f t="shared" si="9"/>
        <v>0</v>
      </c>
    </row>
    <row r="26" spans="1:25" x14ac:dyDescent="0.2">
      <c r="A26" s="154" t="s">
        <v>648</v>
      </c>
      <c r="B26" s="154">
        <v>1</v>
      </c>
      <c r="C26" s="154">
        <v>0</v>
      </c>
      <c r="D26" s="154">
        <v>0</v>
      </c>
      <c r="E26" s="154">
        <v>1</v>
      </c>
      <c r="F26" s="154">
        <v>0</v>
      </c>
      <c r="G26" s="154">
        <f>IF(INDEX(tbl_Neo_MedIV,NeoBerInfB!B26,5)=0,1,INDEX(tbl_Neo_MedIV,NeoBerInfB!B26,5))</f>
        <v>1</v>
      </c>
      <c r="H26" s="154">
        <f t="shared" si="0"/>
        <v>0</v>
      </c>
      <c r="I26" s="463">
        <f>IF(NeoBerInfB!G26&gt;1,INDEX(NeoTblLijst!$K$3:$K$11,NeoBerInfB!G26),1)</f>
        <v>1</v>
      </c>
      <c r="J26" s="154">
        <v>0</v>
      </c>
      <c r="K26" s="154">
        <f t="shared" si="1"/>
        <v>0</v>
      </c>
      <c r="L26" s="154">
        <f t="shared" si="2"/>
        <v>0</v>
      </c>
      <c r="M26" s="154">
        <f t="shared" si="3"/>
        <v>0</v>
      </c>
      <c r="N26" s="154">
        <f t="shared" si="4"/>
        <v>0</v>
      </c>
      <c r="O26" s="154">
        <f t="shared" si="5"/>
        <v>0</v>
      </c>
      <c r="P26" s="154">
        <f t="shared" si="6"/>
        <v>0</v>
      </c>
      <c r="Q26" s="154">
        <f t="shared" si="7"/>
        <v>0</v>
      </c>
      <c r="R26" s="154">
        <f t="shared" si="8"/>
        <v>0</v>
      </c>
      <c r="X26" s="154">
        <f t="shared" si="10"/>
        <v>0</v>
      </c>
      <c r="Y26" s="154">
        <f t="shared" si="9"/>
        <v>0</v>
      </c>
    </row>
    <row r="27" spans="1:25" x14ac:dyDescent="0.2">
      <c r="A27" s="154" t="s">
        <v>649</v>
      </c>
      <c r="B27" s="154">
        <v>1</v>
      </c>
      <c r="C27" s="154">
        <v>0</v>
      </c>
      <c r="D27" s="154">
        <v>0</v>
      </c>
      <c r="E27" s="154">
        <v>1</v>
      </c>
      <c r="F27" s="154">
        <v>0</v>
      </c>
      <c r="G27" s="154">
        <f>IF(INDEX(tbl_Neo_MedIV,NeoBerInfB!B27,5)=0,1,INDEX(tbl_Neo_MedIV,NeoBerInfB!B27,5))</f>
        <v>1</v>
      </c>
      <c r="H27" s="154">
        <f t="shared" si="0"/>
        <v>0</v>
      </c>
      <c r="I27" s="463">
        <f>IF(NeoBerInfB!G27&gt;1,INDEX(NeoTblLijst!$K$3:$K$11,NeoBerInfB!G27),1)</f>
        <v>1</v>
      </c>
      <c r="J27" s="154">
        <v>0</v>
      </c>
      <c r="K27" s="154">
        <f t="shared" si="1"/>
        <v>0</v>
      </c>
      <c r="L27" s="154">
        <f t="shared" si="2"/>
        <v>0</v>
      </c>
      <c r="M27" s="154">
        <f t="shared" si="3"/>
        <v>0</v>
      </c>
      <c r="N27" s="154">
        <f t="shared" si="4"/>
        <v>0</v>
      </c>
      <c r="O27" s="154">
        <f t="shared" si="5"/>
        <v>0</v>
      </c>
      <c r="P27" s="154">
        <f t="shared" si="6"/>
        <v>0</v>
      </c>
      <c r="Q27" s="154">
        <f t="shared" si="7"/>
        <v>0</v>
      </c>
      <c r="R27" s="154">
        <f t="shared" si="8"/>
        <v>0</v>
      </c>
      <c r="X27" s="154">
        <f t="shared" si="10"/>
        <v>0</v>
      </c>
      <c r="Y27" s="154">
        <f t="shared" si="9"/>
        <v>0</v>
      </c>
    </row>
    <row r="28" spans="1:25" x14ac:dyDescent="0.2">
      <c r="A28" s="154" t="s">
        <v>650</v>
      </c>
      <c r="B28" s="154">
        <v>1</v>
      </c>
      <c r="C28" s="154">
        <v>0</v>
      </c>
      <c r="D28" s="154">
        <v>0</v>
      </c>
      <c r="E28" s="154">
        <v>1</v>
      </c>
      <c r="F28" s="154">
        <v>0</v>
      </c>
      <c r="G28" s="154">
        <f>IF(INDEX(tbl_Neo_MedIV,NeoBerInfB!B28,5)=0,1,INDEX(tbl_Neo_MedIV,NeoBerInfB!B28,5))</f>
        <v>1</v>
      </c>
      <c r="H28" s="154">
        <f t="shared" si="0"/>
        <v>0</v>
      </c>
      <c r="I28" s="463">
        <f>IF(NeoBerInfB!G28&gt;1,INDEX(NeoTblLijst!$K$3:$K$11,NeoBerInfB!G28),1)</f>
        <v>1</v>
      </c>
      <c r="J28" s="154">
        <v>0</v>
      </c>
      <c r="K28" s="154">
        <f t="shared" si="1"/>
        <v>0</v>
      </c>
      <c r="L28" s="154">
        <f t="shared" si="2"/>
        <v>0</v>
      </c>
      <c r="M28" s="154">
        <f t="shared" si="3"/>
        <v>0</v>
      </c>
      <c r="N28" s="154">
        <f t="shared" si="4"/>
        <v>0</v>
      </c>
      <c r="O28" s="154">
        <f t="shared" si="5"/>
        <v>0</v>
      </c>
      <c r="P28" s="154">
        <f t="shared" si="6"/>
        <v>0</v>
      </c>
      <c r="Q28" s="154">
        <f t="shared" si="7"/>
        <v>0</v>
      </c>
      <c r="R28" s="154">
        <f t="shared" si="8"/>
        <v>0</v>
      </c>
      <c r="X28" s="154">
        <f t="shared" si="10"/>
        <v>0</v>
      </c>
      <c r="Y28" s="154">
        <f t="shared" si="9"/>
        <v>0</v>
      </c>
    </row>
    <row r="29" spans="1:25" x14ac:dyDescent="0.2">
      <c r="A29" s="154" t="s">
        <v>581</v>
      </c>
      <c r="E29" s="154">
        <v>0</v>
      </c>
      <c r="F29" s="154">
        <v>0</v>
      </c>
      <c r="J29" s="154" t="b">
        <v>0</v>
      </c>
      <c r="K29" s="154">
        <f t="shared" si="1"/>
        <v>0</v>
      </c>
      <c r="L29" s="154">
        <f t="shared" si="2"/>
        <v>0</v>
      </c>
      <c r="M29" s="154">
        <f t="shared" si="3"/>
        <v>0</v>
      </c>
      <c r="N29" s="154">
        <f t="shared" si="4"/>
        <v>0</v>
      </c>
      <c r="O29" s="154">
        <f t="shared" si="5"/>
        <v>0</v>
      </c>
      <c r="P29" s="154">
        <f t="shared" si="6"/>
        <v>0</v>
      </c>
      <c r="Q29" s="154">
        <f t="shared" si="7"/>
        <v>0</v>
      </c>
      <c r="R29" s="154">
        <f t="shared" si="8"/>
        <v>0</v>
      </c>
      <c r="X29" s="154">
        <f>ROUND(IF(Y29*10&gt;1,Y29*10,Y29*600),0)</f>
        <v>0</v>
      </c>
      <c r="Y29" s="154">
        <f t="shared" si="9"/>
        <v>0</v>
      </c>
    </row>
    <row r="30" spans="1:25" x14ac:dyDescent="0.2">
      <c r="A30" s="154" t="s">
        <v>582</v>
      </c>
      <c r="E30" s="154">
        <v>0</v>
      </c>
      <c r="F30" s="154">
        <v>0</v>
      </c>
      <c r="J30" s="154" t="b">
        <v>0</v>
      </c>
      <c r="K30" s="154">
        <f t="shared" si="1"/>
        <v>0</v>
      </c>
      <c r="L30" s="154">
        <f t="shared" si="2"/>
        <v>0</v>
      </c>
      <c r="M30" s="154">
        <f t="shared" si="3"/>
        <v>0</v>
      </c>
      <c r="N30" s="154">
        <f t="shared" si="4"/>
        <v>0</v>
      </c>
      <c r="O30" s="154">
        <f t="shared" si="5"/>
        <v>0</v>
      </c>
      <c r="P30" s="154">
        <f t="shared" si="6"/>
        <v>0</v>
      </c>
      <c r="Q30" s="154">
        <f t="shared" si="7"/>
        <v>0</v>
      </c>
      <c r="R30" s="154">
        <f t="shared" si="8"/>
        <v>0</v>
      </c>
      <c r="X30" s="154">
        <f>ROUND(IF(Y30*10&gt;1,Y30*10,Y30*600),0)</f>
        <v>0</v>
      </c>
      <c r="Y30" s="154">
        <f t="shared" si="9"/>
        <v>0</v>
      </c>
    </row>
    <row r="31" spans="1:25" x14ac:dyDescent="0.2">
      <c r="A31" s="154" t="s">
        <v>583</v>
      </c>
      <c r="E31" s="154">
        <v>0</v>
      </c>
      <c r="F31" s="154">
        <v>0</v>
      </c>
      <c r="J31" s="154" t="b">
        <v>0</v>
      </c>
      <c r="K31" s="154">
        <f t="shared" si="1"/>
        <v>0</v>
      </c>
      <c r="L31" s="154">
        <f t="shared" si="2"/>
        <v>0</v>
      </c>
      <c r="M31" s="154">
        <f t="shared" si="3"/>
        <v>0</v>
      </c>
      <c r="N31" s="154">
        <f t="shared" si="4"/>
        <v>0</v>
      </c>
      <c r="O31" s="154">
        <f t="shared" si="5"/>
        <v>0</v>
      </c>
      <c r="P31" s="154">
        <f t="shared" si="6"/>
        <v>0</v>
      </c>
      <c r="Q31" s="154">
        <f t="shared" si="7"/>
        <v>0</v>
      </c>
      <c r="R31" s="154">
        <f t="shared" si="8"/>
        <v>0</v>
      </c>
      <c r="X31" s="154">
        <f>ROUND(IF(Y31*10&gt;1,Y31*10,Y31*600),0)</f>
        <v>0</v>
      </c>
      <c r="Y31" s="154">
        <f t="shared" si="9"/>
        <v>0</v>
      </c>
    </row>
    <row r="32" spans="1:25" x14ac:dyDescent="0.2">
      <c r="A32" s="407" t="s">
        <v>1099</v>
      </c>
    </row>
    <row r="33" spans="1:22" x14ac:dyDescent="0.2">
      <c r="A33" s="407" t="s">
        <v>1100</v>
      </c>
    </row>
    <row r="34" spans="1:22" x14ac:dyDescent="0.2">
      <c r="B34" s="154" t="s">
        <v>651</v>
      </c>
      <c r="C34" s="154" t="s">
        <v>652</v>
      </c>
      <c r="D34" s="154" t="s">
        <v>653</v>
      </c>
      <c r="F34" s="154" t="s">
        <v>1111</v>
      </c>
    </row>
    <row r="35" spans="1:22" x14ac:dyDescent="0.2">
      <c r="A35" s="154" t="str">
        <f>INDEX(tbl_Neo_IntralipidSmof,Var_Neo_InfB_TPN_IntralipidSmof)</f>
        <v>Intralipid 20% (incl vitintra)</v>
      </c>
      <c r="B35" s="307">
        <f ca="1">ROUND((_Pat_Gewicht/10)*INDEX(NeoBerAdvies!$B$9:$G$16,8,NeoBerInfB!$C$6),0)</f>
        <v>0</v>
      </c>
      <c r="C35" s="154">
        <f ca="1">ROUND(IF(AND(B17,B35+(D35-5000)&gt;0),B35+(D35-5000),0),0)</f>
        <v>0</v>
      </c>
      <c r="D35" s="154">
        <v>5000</v>
      </c>
      <c r="F35" s="154">
        <v>1</v>
      </c>
      <c r="K35" s="154">
        <f ca="1">C35</f>
        <v>0</v>
      </c>
      <c r="S35" s="154">
        <f ca="1">0.2*K35*10/12</f>
        <v>0</v>
      </c>
      <c r="V35" s="154">
        <f ca="1">40*C35*2/12</f>
        <v>0</v>
      </c>
    </row>
    <row r="36" spans="1:22" x14ac:dyDescent="0.2">
      <c r="A36" s="154" t="s">
        <v>585</v>
      </c>
      <c r="B36" s="307"/>
      <c r="D36" s="154">
        <v>1</v>
      </c>
    </row>
    <row r="37" spans="1:22" x14ac:dyDescent="0.2">
      <c r="A37" s="154" t="s">
        <v>335</v>
      </c>
      <c r="B37" s="307">
        <f ca="1">ROUND((_Pat_Gewicht/10)*INDEX(NeoBerAdvies!$B$9:$G$16,2,NeoBerInfB!$C$6),0)</f>
        <v>0</v>
      </c>
      <c r="C37" s="154">
        <f ca="1">IF(AND($B$17,B37+(D37-5000)/10&gt;0),ROUND(B37+(D37-5000)/10,1),0)</f>
        <v>0</v>
      </c>
      <c r="D37" s="154">
        <v>5000</v>
      </c>
      <c r="K37" s="154">
        <f ca="1">IF(OR($D$36=1,$D$36=3),C37,0)</f>
        <v>0</v>
      </c>
      <c r="L37" s="154">
        <f ca="1">K37*0.5</f>
        <v>0</v>
      </c>
      <c r="U37" s="154">
        <f ca="1">K37*0.5</f>
        <v>0</v>
      </c>
    </row>
    <row r="38" spans="1:22" x14ac:dyDescent="0.2">
      <c r="A38" s="154" t="s">
        <v>586</v>
      </c>
      <c r="B38" s="307">
        <f ca="1">ROUND((_Pat_Gewicht/10)*INDEX(NeoBerAdvies!$B$9:$G$16,3,NeoBerInfB!$C$6),0)</f>
        <v>0</v>
      </c>
      <c r="C38" s="154">
        <f ca="1">IF(AND($B$17,B38+(D38-5000)/10&gt;0),ROUND(B38+(D38-5000)/10,1),0)</f>
        <v>0</v>
      </c>
      <c r="D38" s="154">
        <v>5000</v>
      </c>
      <c r="K38" s="154">
        <f ca="1">IF(OR($D$36=1,$D$36=3),C38,0)</f>
        <v>0</v>
      </c>
      <c r="M38" s="154">
        <f ca="1">K38</f>
        <v>0</v>
      </c>
    </row>
    <row r="39" spans="1:22" x14ac:dyDescent="0.2">
      <c r="A39" s="154" t="s">
        <v>587</v>
      </c>
      <c r="B39" s="307">
        <f ca="1">ROUND((_Pat_Gewicht/10)*INDEX(NeoBerAdvies!$B$9:$G$16,4,NeoBerInfB!$C$6),0)</f>
        <v>0</v>
      </c>
      <c r="C39" s="154">
        <f ca="1">IF(AND($B$17,B39+(D39-5000)/10&gt;0),ROUND(B39+(D39-5000)/10,1),0)</f>
        <v>0</v>
      </c>
      <c r="D39" s="154">
        <v>5000</v>
      </c>
      <c r="K39" s="154">
        <f ca="1">IF($D$36=1,C39,0)</f>
        <v>0</v>
      </c>
      <c r="N39" s="154">
        <f ca="1">K39*0.225</f>
        <v>0</v>
      </c>
      <c r="U39" s="154">
        <f ca="1">K39*0.225*2</f>
        <v>0</v>
      </c>
    </row>
    <row r="40" spans="1:22" x14ac:dyDescent="0.2">
      <c r="A40" s="154" t="s">
        <v>588</v>
      </c>
      <c r="B40" s="307">
        <f ca="1">ROUND((_Pat_Gewicht/10)*INDEX(NeoBerAdvies!$B$9:$G$16,5,NeoBerInfB!$C$6),1)</f>
        <v>0</v>
      </c>
      <c r="C40" s="154">
        <f ca="1">IF(AND($B$17,B40+(D40-5000)/10&gt;0),ROUND(B40+(D40-5000)/10,1),0)</f>
        <v>0</v>
      </c>
      <c r="D40" s="154">
        <v>5000</v>
      </c>
      <c r="K40" s="154">
        <f ca="1">IF($D$36=1,C40,0)</f>
        <v>0</v>
      </c>
      <c r="O40" s="154">
        <f ca="1">K40*0.5</f>
        <v>0</v>
      </c>
      <c r="U40" s="154">
        <f ca="1">K40*0.5*2</f>
        <v>0</v>
      </c>
    </row>
    <row r="41" spans="1:22" x14ac:dyDescent="0.2">
      <c r="A41" s="154" t="s">
        <v>201</v>
      </c>
      <c r="B41" s="307">
        <f ca="1">ROUND((_Pat_Gewicht/10)*INDEX(NeoBerAdvies!$B$9:$G$16,6,NeoBerInfB!$C$6),1)</f>
        <v>0</v>
      </c>
      <c r="C41" s="154">
        <f ca="1">IF(AND($B$17,B41+(D41-5000)/10&gt;0),ROUND(B41+(D41-5000)/10,1),0)</f>
        <v>0</v>
      </c>
      <c r="D41" s="154">
        <v>5000</v>
      </c>
      <c r="K41" s="154">
        <f ca="1">IF($D$36=1,C41,0)</f>
        <v>0</v>
      </c>
      <c r="V41" s="154">
        <f ca="1">40*C41</f>
        <v>0</v>
      </c>
    </row>
    <row r="42" spans="1:22" x14ac:dyDescent="0.2">
      <c r="A42" s="154" t="s">
        <v>543</v>
      </c>
      <c r="B42" s="307">
        <f ca="1">ROUND((_Pat_Gewicht/10)*INDEX(NeoBerAdvies!$B$9:$G$16,7,NeoBerInfB!$C$6),0)</f>
        <v>0</v>
      </c>
      <c r="C42" s="154">
        <f ca="1">IF(AND($B$17,B42+(D42-5000)&gt;0),ROUND(B42+(D42-5000),0),0)</f>
        <v>0</v>
      </c>
      <c r="D42" s="154">
        <v>5000</v>
      </c>
      <c r="K42" s="154">
        <f ca="1">IF($D$36=1,C42,0)</f>
        <v>0</v>
      </c>
      <c r="Q42" s="154">
        <f ca="1">0.1*K42</f>
        <v>0</v>
      </c>
    </row>
    <row r="43" spans="1:22" x14ac:dyDescent="0.2">
      <c r="A43" s="154" t="s">
        <v>544</v>
      </c>
      <c r="B43" s="307">
        <f ca="1">ROUND((_Pat_Gewicht/10)*INDEX(NeoBerAdvies!$B$9:$G$16,1,NeoBerInfB!$C$6),1)</f>
        <v>0</v>
      </c>
      <c r="C43" s="154">
        <f ca="1">ROUND(IF(AND($B$17,B43+(D43-5000)&gt;0),B43+(D43-5000),0),0)</f>
        <v>0</v>
      </c>
      <c r="D43" s="154">
        <v>5000</v>
      </c>
      <c r="K43" s="154">
        <f>IF(D36=2,C43,0)</f>
        <v>0</v>
      </c>
      <c r="L43" s="154">
        <f>INDEX(tbl_Neo_TpnNICU,2,L11)*$K$43</f>
        <v>0</v>
      </c>
      <c r="M43" s="154">
        <f t="shared" ref="M43:T43" si="11">INDEX(tbl_Neo_TpnNICU,2,M11)*$K$43</f>
        <v>0</v>
      </c>
      <c r="N43" s="154">
        <f t="shared" si="11"/>
        <v>0</v>
      </c>
      <c r="O43" s="154">
        <f t="shared" si="11"/>
        <v>0</v>
      </c>
      <c r="P43" s="154">
        <f t="shared" si="11"/>
        <v>0</v>
      </c>
      <c r="Q43" s="154">
        <f t="shared" si="11"/>
        <v>0</v>
      </c>
      <c r="R43" s="154">
        <f t="shared" si="11"/>
        <v>0</v>
      </c>
      <c r="S43" s="154">
        <f t="shared" si="11"/>
        <v>0</v>
      </c>
      <c r="T43" s="154">
        <f t="shared" si="11"/>
        <v>0</v>
      </c>
    </row>
    <row r="44" spans="1:22" x14ac:dyDescent="0.2">
      <c r="A44" s="154" t="s">
        <v>333</v>
      </c>
      <c r="B44" s="307">
        <f ca="1">ROUND((_Pat_Gewicht/10)*INDEX(NeoBerAdvies!$B$9:$G$16,1,NeoBerInfB!$C$6),1)</f>
        <v>0</v>
      </c>
      <c r="C44" s="154">
        <f ca="1">ROUND(IF(AND($B$17,B44+(D44-5000)&gt;0),B44+(D44-5000),0),0)</f>
        <v>0</v>
      </c>
      <c r="D44" s="154">
        <v>5000</v>
      </c>
      <c r="K44" s="154">
        <f>IF(D36=3,C44,0)</f>
        <v>0</v>
      </c>
      <c r="L44" s="154">
        <f>INDEX(tbl_Neo_TpnNICU,1,L11)*$K$44</f>
        <v>0</v>
      </c>
      <c r="M44" s="154">
        <f t="shared" ref="M44:T44" si="12">INDEX(tbl_Neo_TpnNICU,1,M11)*$K$44</f>
        <v>0</v>
      </c>
      <c r="N44" s="154">
        <f t="shared" si="12"/>
        <v>0</v>
      </c>
      <c r="O44" s="154">
        <f t="shared" si="12"/>
        <v>0</v>
      </c>
      <c r="P44" s="154">
        <f t="shared" si="12"/>
        <v>0</v>
      </c>
      <c r="Q44" s="154">
        <f t="shared" si="12"/>
        <v>0</v>
      </c>
      <c r="R44" s="154">
        <f t="shared" si="12"/>
        <v>0</v>
      </c>
      <c r="S44" s="154">
        <f t="shared" si="12"/>
        <v>0</v>
      </c>
      <c r="T44" s="154">
        <f t="shared" si="12"/>
        <v>0</v>
      </c>
    </row>
    <row r="45" spans="1:22" x14ac:dyDescent="0.2">
      <c r="A45" s="154" t="s">
        <v>654</v>
      </c>
      <c r="D45" s="154">
        <v>2</v>
      </c>
      <c r="K45" s="154">
        <f>IF(B17,ROUND(C17-SUM(K18:K44),1),0)</f>
        <v>0</v>
      </c>
      <c r="R45" s="154">
        <f>INDEX(tbl_Neo_Opl,D45+1,2)*K45</f>
        <v>0</v>
      </c>
    </row>
    <row r="47" spans="1:22" x14ac:dyDescent="0.2">
      <c r="A47" s="154" t="s">
        <v>112</v>
      </c>
      <c r="K47" s="154">
        <f ca="1">K49+K50</f>
        <v>8</v>
      </c>
      <c r="L47" s="154">
        <f t="shared" ref="L47:V47" ca="1" si="13">L49+L50</f>
        <v>0.24347679999999999</v>
      </c>
      <c r="M47" s="154">
        <f t="shared" ca="1" si="13"/>
        <v>0.16410240000000001</v>
      </c>
      <c r="N47" s="154">
        <f t="shared" ca="1" si="13"/>
        <v>0.19919999999999999</v>
      </c>
      <c r="O47" s="154">
        <f t="shared" ca="1" si="13"/>
        <v>2.6330239999999998E-2</v>
      </c>
      <c r="P47" s="154">
        <f t="shared" si="13"/>
        <v>0.14465471999999999</v>
      </c>
      <c r="Q47" s="154">
        <f t="shared" ca="1" si="13"/>
        <v>0.20800000000000002</v>
      </c>
      <c r="R47" s="154">
        <f t="shared" si="13"/>
        <v>0.67200000000000004</v>
      </c>
      <c r="S47" s="154">
        <f t="shared" ca="1" si="13"/>
        <v>0.312</v>
      </c>
      <c r="T47" s="154">
        <f t="shared" ca="1" si="13"/>
        <v>6.4</v>
      </c>
      <c r="U47" s="154">
        <f t="shared" ca="1" si="13"/>
        <v>0.19180079999999999</v>
      </c>
      <c r="V47" s="154">
        <f t="shared" ca="1" si="13"/>
        <v>9.6</v>
      </c>
    </row>
    <row r="49" spans="1:23" x14ac:dyDescent="0.2">
      <c r="A49" s="154" t="s">
        <v>204</v>
      </c>
      <c r="K49" s="154">
        <f>K14</f>
        <v>8</v>
      </c>
      <c r="L49" s="154">
        <f t="shared" ref="L49:V49" si="14">L14+IF(INDEX(tbl_Neo_LijstVoeding,Var_Neo_InfB_Ent_Voeding,14)="MM",L57,L62)</f>
        <v>0.24347679999999999</v>
      </c>
      <c r="M49" s="407">
        <f t="shared" si="14"/>
        <v>0.16410240000000001</v>
      </c>
      <c r="N49" s="407">
        <f t="shared" si="14"/>
        <v>0.19919999999999999</v>
      </c>
      <c r="O49" s="407">
        <f t="shared" si="14"/>
        <v>2.6330239999999998E-2</v>
      </c>
      <c r="P49" s="407">
        <f t="shared" si="14"/>
        <v>0.14465471999999999</v>
      </c>
      <c r="Q49" s="407">
        <f t="shared" si="14"/>
        <v>0.20800000000000002</v>
      </c>
      <c r="R49" s="407">
        <f t="shared" si="14"/>
        <v>0.67200000000000004</v>
      </c>
      <c r="S49" s="407">
        <f t="shared" si="14"/>
        <v>0.312</v>
      </c>
      <c r="T49" s="407">
        <f t="shared" si="14"/>
        <v>6.4</v>
      </c>
      <c r="U49" s="407">
        <f t="shared" si="14"/>
        <v>0.19180079999999999</v>
      </c>
      <c r="V49" s="407">
        <f t="shared" si="14"/>
        <v>9.6</v>
      </c>
    </row>
    <row r="50" spans="1:23" x14ac:dyDescent="0.2">
      <c r="A50" s="154" t="s">
        <v>202</v>
      </c>
      <c r="K50" s="154">
        <f ca="1">SUM(K18:K45)</f>
        <v>0</v>
      </c>
      <c r="L50" s="154">
        <f t="shared" ref="L50:V50" ca="1" si="15">SUM(L18:L45)</f>
        <v>0</v>
      </c>
      <c r="M50" s="154">
        <f t="shared" ca="1" si="15"/>
        <v>0</v>
      </c>
      <c r="N50" s="154">
        <f t="shared" ca="1" si="15"/>
        <v>0</v>
      </c>
      <c r="O50" s="154">
        <f t="shared" ca="1" si="15"/>
        <v>0</v>
      </c>
      <c r="P50" s="154">
        <f t="shared" si="15"/>
        <v>0</v>
      </c>
      <c r="Q50" s="154">
        <f t="shared" ca="1" si="15"/>
        <v>0</v>
      </c>
      <c r="R50" s="154">
        <f t="shared" si="15"/>
        <v>0</v>
      </c>
      <c r="S50" s="154">
        <f t="shared" ca="1" si="15"/>
        <v>0</v>
      </c>
      <c r="T50" s="154">
        <f ca="1">S50*9+R50*4+Q50*4</f>
        <v>0</v>
      </c>
      <c r="U50" s="154">
        <f t="shared" ca="1" si="15"/>
        <v>0</v>
      </c>
      <c r="V50" s="154">
        <f t="shared" ca="1" si="15"/>
        <v>0</v>
      </c>
    </row>
    <row r="51" spans="1:23" x14ac:dyDescent="0.2">
      <c r="L51" s="154">
        <v>6</v>
      </c>
      <c r="M51" s="154">
        <v>7</v>
      </c>
      <c r="N51" s="154">
        <v>8</v>
      </c>
      <c r="O51" s="154">
        <v>10</v>
      </c>
      <c r="P51" s="154">
        <v>9</v>
      </c>
      <c r="Q51" s="154">
        <v>3</v>
      </c>
      <c r="R51" s="154">
        <v>4</v>
      </c>
      <c r="S51" s="154">
        <v>5</v>
      </c>
      <c r="T51" s="154">
        <v>2</v>
      </c>
      <c r="U51" s="154">
        <v>13</v>
      </c>
      <c r="V51" s="154">
        <v>12</v>
      </c>
      <c r="W51" s="485">
        <v>11</v>
      </c>
    </row>
    <row r="52" spans="1:23" x14ac:dyDescent="0.2">
      <c r="A52" s="154" t="s">
        <v>947</v>
      </c>
      <c r="B52" s="154">
        <v>2</v>
      </c>
      <c r="J52" s="154">
        <v>1</v>
      </c>
      <c r="K52" s="463">
        <f>INDEX(tbl_Neo_NutrBMFWaard,NeoBerInfB!J52)</f>
        <v>0</v>
      </c>
      <c r="L52" s="405">
        <f>INDEX(Tbl_Neo_PoedMM,$B52,L$51)*$K52</f>
        <v>0</v>
      </c>
      <c r="M52" s="405">
        <f>INDEX(Tbl_Neo_PoedMM,$B52,M$51)*$K52</f>
        <v>0</v>
      </c>
      <c r="N52" s="405">
        <f>INDEX(Tbl_Neo_PoedMM,$B52,N$51)*$K52</f>
        <v>0</v>
      </c>
      <c r="O52" s="405">
        <f>INDEX(Tbl_Neo_PoedMM,$B52,O$51)*$K52</f>
        <v>0</v>
      </c>
      <c r="P52" s="405">
        <f>INDEX(Tbl_Neo_PoedMM,$B52,P$51)*$K52</f>
        <v>0</v>
      </c>
      <c r="Q52" s="405">
        <f>INDEX(Tbl_Neo_PoedMM,$B52,Q$51)*$K52</f>
        <v>0</v>
      </c>
      <c r="R52" s="405">
        <f>INDEX(Tbl_Neo_PoedMM,$B52,R$51)*$K52</f>
        <v>0</v>
      </c>
      <c r="S52" s="405">
        <f>INDEX(Tbl_Neo_PoedMM,$B52,S$51)*$K52</f>
        <v>0</v>
      </c>
      <c r="T52" s="405">
        <f>INDEX(Tbl_Neo_PoedMM,$B52,T$51)*$K52</f>
        <v>0</v>
      </c>
      <c r="U52" s="405">
        <f>INDEX(Tbl_Neo_PoedMM,$B52,U$51)*$K52</f>
        <v>0</v>
      </c>
      <c r="V52" s="405">
        <f>INDEX(Tbl_Neo_PoedMM,$B52,V$51)*$K52</f>
        <v>0</v>
      </c>
      <c r="W52" s="405">
        <f>INDEX(Tbl_Neo_PoedMM,$B52,W$51)*$K52</f>
        <v>0</v>
      </c>
    </row>
    <row r="53" spans="1:23" x14ac:dyDescent="0.2">
      <c r="A53" s="154" t="s">
        <v>938</v>
      </c>
      <c r="B53" s="154">
        <v>1</v>
      </c>
      <c r="C53" s="154">
        <f>Var_Neo_InfB_Ent_Toevoeging_1+1</f>
        <v>2</v>
      </c>
      <c r="J53" s="154">
        <v>1</v>
      </c>
      <c r="K53" s="463">
        <f>INDEX(tbl_Neo_NutrToevWaard,NeoBerInfB!J53)</f>
        <v>0</v>
      </c>
      <c r="L53" s="405">
        <f>INDEX(Tbl_Neo_PoedMM,$B53,L$51)*$K53</f>
        <v>0</v>
      </c>
      <c r="M53" s="405">
        <f>INDEX(Tbl_Neo_PoedMM,$B53,M$51)*$K53</f>
        <v>0</v>
      </c>
      <c r="N53" s="405">
        <f>INDEX(Tbl_Neo_PoedMM,$B53,N$51)*$K53</f>
        <v>0</v>
      </c>
      <c r="O53" s="405">
        <f>INDEX(Tbl_Neo_PoedMM,$B53,O$51)*$K53</f>
        <v>0</v>
      </c>
      <c r="P53" s="405">
        <f>INDEX(Tbl_Neo_PoedMM,$B53,P$51)*$K53</f>
        <v>0</v>
      </c>
      <c r="Q53" s="405">
        <f>INDEX(Tbl_Neo_PoedMM,$B53,Q$51)*$K53</f>
        <v>0</v>
      </c>
      <c r="R53" s="405">
        <f>INDEX(Tbl_Neo_PoedMM,$B53,R$51)*$K53</f>
        <v>0</v>
      </c>
      <c r="S53" s="405">
        <f>INDEX(Tbl_Neo_PoedMM,$B53,S$51)*$K53</f>
        <v>0</v>
      </c>
      <c r="T53" s="405">
        <f>INDEX(Tbl_Neo_PoedMM,$B53,T$51)*$K53</f>
        <v>0</v>
      </c>
      <c r="U53" s="405">
        <f>INDEX(Tbl_Neo_PoedMM,$B53,U$51)*$K53</f>
        <v>0</v>
      </c>
      <c r="V53" s="405">
        <f>INDEX(Tbl_Neo_PoedMM,$B53,V$51)*$K53</f>
        <v>0</v>
      </c>
      <c r="W53" s="405">
        <f>INDEX(Tbl_Neo_PoedMM,$B53,W$51)*$K53</f>
        <v>0</v>
      </c>
    </row>
    <row r="54" spans="1:23" x14ac:dyDescent="0.2">
      <c r="A54" s="154" t="s">
        <v>939</v>
      </c>
      <c r="B54" s="154">
        <v>1</v>
      </c>
      <c r="C54" s="397">
        <f>Var_Neo_InfB_Ent_Toevoeging_2+1</f>
        <v>2</v>
      </c>
      <c r="J54" s="154">
        <v>1</v>
      </c>
      <c r="K54" s="463">
        <f>INDEX(tbl_Neo_NutrToevWaard,NeoBerInfB!J54)</f>
        <v>0</v>
      </c>
      <c r="L54" s="405">
        <f>INDEX(Tbl_Neo_PoedMM,$B54,L$51)*$K54</f>
        <v>0</v>
      </c>
      <c r="M54" s="405">
        <f>INDEX(Tbl_Neo_PoedMM,$B54,M$51)*$K54</f>
        <v>0</v>
      </c>
      <c r="N54" s="405">
        <f>INDEX(Tbl_Neo_PoedMM,$B54,N$51)*$K54</f>
        <v>0</v>
      </c>
      <c r="O54" s="405">
        <f>INDEX(Tbl_Neo_PoedMM,$B54,O$51)*$K54</f>
        <v>0</v>
      </c>
      <c r="P54" s="405">
        <f>INDEX(Tbl_Neo_PoedMM,$B54,P$51)*$K54</f>
        <v>0</v>
      </c>
      <c r="Q54" s="405">
        <f>INDEX(Tbl_Neo_PoedMM,$B54,Q$51)*$K54</f>
        <v>0</v>
      </c>
      <c r="R54" s="405">
        <f>INDEX(Tbl_Neo_PoedMM,$B54,R$51)*$K54</f>
        <v>0</v>
      </c>
      <c r="S54" s="405">
        <f>INDEX(Tbl_Neo_PoedMM,$B54,S$51)*$K54</f>
        <v>0</v>
      </c>
      <c r="T54" s="405">
        <f>INDEX(Tbl_Neo_PoedMM,$B54,T$51)*$K54</f>
        <v>0</v>
      </c>
      <c r="U54" s="405">
        <f>INDEX(Tbl_Neo_PoedMM,$B54,U$51)*$K54</f>
        <v>0</v>
      </c>
      <c r="V54" s="405">
        <f>INDEX(Tbl_Neo_PoedMM,$B54,V$51)*$K54</f>
        <v>0</v>
      </c>
      <c r="W54" s="405">
        <f>INDEX(Tbl_Neo_PoedMM,$B54,W$51)*$K54</f>
        <v>0</v>
      </c>
    </row>
    <row r="55" spans="1:23" x14ac:dyDescent="0.2">
      <c r="A55" s="154" t="s">
        <v>940</v>
      </c>
      <c r="B55" s="154">
        <v>1</v>
      </c>
      <c r="C55" s="397">
        <f>Var_Neo_InfB_Ent_Toevoeging_3+1</f>
        <v>2</v>
      </c>
      <c r="J55" s="154">
        <v>1</v>
      </c>
      <c r="K55" s="463">
        <f>INDEX(tbl_Neo_NutrToevWaard,NeoBerInfB!J55)</f>
        <v>0</v>
      </c>
      <c r="L55" s="405">
        <f>INDEX(Tbl_Neo_PoedMM,$B55,L$51)*$K55</f>
        <v>0</v>
      </c>
      <c r="M55" s="405">
        <f>INDEX(Tbl_Neo_PoedMM,$B55,M$51)*$K55</f>
        <v>0</v>
      </c>
      <c r="N55" s="405">
        <f>INDEX(Tbl_Neo_PoedMM,$B55,N$51)*$K55</f>
        <v>0</v>
      </c>
      <c r="O55" s="405">
        <f>INDEX(Tbl_Neo_PoedMM,$B55,O$51)*$K55</f>
        <v>0</v>
      </c>
      <c r="P55" s="405">
        <f>INDEX(Tbl_Neo_PoedMM,$B55,P$51)*$K55</f>
        <v>0</v>
      </c>
      <c r="Q55" s="405">
        <f>INDEX(Tbl_Neo_PoedMM,$B55,Q$51)*$K55</f>
        <v>0</v>
      </c>
      <c r="R55" s="405">
        <f>INDEX(Tbl_Neo_PoedMM,$B55,R$51)*$K55</f>
        <v>0</v>
      </c>
      <c r="S55" s="405">
        <f>INDEX(Tbl_Neo_PoedMM,$B55,S$51)*$K55</f>
        <v>0</v>
      </c>
      <c r="T55" s="405">
        <f>INDEX(Tbl_Neo_PoedMM,$B55,T$51)*$K55</f>
        <v>0</v>
      </c>
      <c r="U55" s="405">
        <f>INDEX(Tbl_Neo_PoedMM,$B55,U$51)*$K55</f>
        <v>0</v>
      </c>
      <c r="V55" s="405">
        <f>INDEX(Tbl_Neo_PoedMM,$B55,V$51)*$K55</f>
        <v>0</v>
      </c>
      <c r="W55" s="405">
        <f>INDEX(Tbl_Neo_PoedMM,$B55,W$51)*$K55</f>
        <v>0</v>
      </c>
    </row>
    <row r="56" spans="1:23" x14ac:dyDescent="0.2">
      <c r="A56" s="154" t="s">
        <v>941</v>
      </c>
      <c r="B56" s="154">
        <v>1</v>
      </c>
      <c r="C56" s="397">
        <f>Var_Neo_InfB_Ent_Toevoeging_4+1</f>
        <v>2</v>
      </c>
      <c r="J56" s="154">
        <v>1</v>
      </c>
      <c r="K56" s="463">
        <f>INDEX(tbl_Neo_NutrToevWaard,NeoBerInfB!J56)</f>
        <v>0</v>
      </c>
      <c r="L56" s="405">
        <f>INDEX(Tbl_Neo_PoedMM,$B56,L$51)*$K56</f>
        <v>0</v>
      </c>
      <c r="M56" s="405">
        <f>INDEX(Tbl_Neo_PoedMM,$B56,M$51)*$K56</f>
        <v>0</v>
      </c>
      <c r="N56" s="405">
        <f>INDEX(Tbl_Neo_PoedMM,$B56,N$51)*$K56</f>
        <v>0</v>
      </c>
      <c r="O56" s="405">
        <f>INDEX(Tbl_Neo_PoedMM,$B56,O$51)*$K56</f>
        <v>0</v>
      </c>
      <c r="P56" s="405">
        <f>INDEX(Tbl_Neo_PoedMM,$B56,P$51)*$K56</f>
        <v>0</v>
      </c>
      <c r="Q56" s="405">
        <f>INDEX(Tbl_Neo_PoedMM,$B56,Q$51)*$K56</f>
        <v>0</v>
      </c>
      <c r="R56" s="405">
        <f>INDEX(Tbl_Neo_PoedMM,$B56,R$51)*$K56</f>
        <v>0</v>
      </c>
      <c r="S56" s="405">
        <f>INDEX(Tbl_Neo_PoedMM,$B56,S$51)*$K56</f>
        <v>0</v>
      </c>
      <c r="T56" s="405">
        <f>INDEX(Tbl_Neo_PoedMM,$B56,T$51)*$K56</f>
        <v>0</v>
      </c>
      <c r="U56" s="405">
        <f>INDEX(Tbl_Neo_PoedMM,$B56,U$51)*$K56</f>
        <v>0</v>
      </c>
      <c r="V56" s="405">
        <f>INDEX(Tbl_Neo_PoedMM,$B56,V$51)*$K56</f>
        <v>0</v>
      </c>
      <c r="W56" s="405">
        <f>INDEX(Tbl_Neo_PoedMM,$B56,W$51)*$K56</f>
        <v>0</v>
      </c>
    </row>
    <row r="57" spans="1:23" x14ac:dyDescent="0.2">
      <c r="A57" s="154" t="s">
        <v>1032</v>
      </c>
      <c r="C57" s="397"/>
      <c r="K57" s="463"/>
      <c r="L57" s="405">
        <f>SUM(L52:L56)</f>
        <v>0</v>
      </c>
      <c r="M57" s="405">
        <f t="shared" ref="M57:W57" si="16">SUM(M52:M56)</f>
        <v>0</v>
      </c>
      <c r="N57" s="405">
        <f t="shared" si="16"/>
        <v>0</v>
      </c>
      <c r="O57" s="405">
        <f t="shared" si="16"/>
        <v>0</v>
      </c>
      <c r="P57" s="405">
        <f t="shared" si="16"/>
        <v>0</v>
      </c>
      <c r="Q57" s="405">
        <f t="shared" si="16"/>
        <v>0</v>
      </c>
      <c r="R57" s="405">
        <f t="shared" si="16"/>
        <v>0</v>
      </c>
      <c r="S57" s="405">
        <f t="shared" si="16"/>
        <v>0</v>
      </c>
      <c r="T57" s="405">
        <f t="shared" si="16"/>
        <v>0</v>
      </c>
      <c r="U57" s="405">
        <f t="shared" si="16"/>
        <v>0</v>
      </c>
      <c r="V57" s="405">
        <f t="shared" si="16"/>
        <v>0</v>
      </c>
      <c r="W57" s="405">
        <f t="shared" si="16"/>
        <v>0</v>
      </c>
    </row>
    <row r="58" spans="1:23" x14ac:dyDescent="0.2">
      <c r="A58" s="154" t="s">
        <v>942</v>
      </c>
      <c r="B58" s="154">
        <v>1</v>
      </c>
      <c r="C58" s="397">
        <f>Var_Neo_InfB_Ent_Toevoeging_5+1</f>
        <v>2</v>
      </c>
      <c r="J58" s="154">
        <v>1</v>
      </c>
      <c r="K58" s="463">
        <f>INDEX(tbl_Neo_NutrToevWaard,NeoBerInfB!J58)</f>
        <v>0</v>
      </c>
      <c r="L58" s="405">
        <f>INDEX(Tbl_Neo_PoedKV,$B58,L$51)*$K58</f>
        <v>0</v>
      </c>
      <c r="M58" s="405">
        <f>INDEX(Tbl_Neo_PoedKV,$B58,M$51)*$K58</f>
        <v>0</v>
      </c>
      <c r="N58" s="405">
        <f>INDEX(Tbl_Neo_PoedKV,$B58,N$51)*$K58</f>
        <v>0</v>
      </c>
      <c r="O58" s="405">
        <f>INDEX(Tbl_Neo_PoedKV,$B58,O$51)*$K58</f>
        <v>0</v>
      </c>
      <c r="P58" s="405">
        <f>INDEX(Tbl_Neo_PoedKV,$B58,P$51)*$K58</f>
        <v>0</v>
      </c>
      <c r="Q58" s="405">
        <f>INDEX(Tbl_Neo_PoedKV,$B58,Q$51)*$K58</f>
        <v>0</v>
      </c>
      <c r="R58" s="405">
        <f>INDEX(Tbl_Neo_PoedKV,$B58,R$51)*$K58</f>
        <v>0</v>
      </c>
      <c r="S58" s="405">
        <f>INDEX(Tbl_Neo_PoedKV,$B58,S$51)*$K58</f>
        <v>0</v>
      </c>
      <c r="T58" s="405">
        <f>INDEX(Tbl_Neo_PoedKV,$B58,T$51)*$K58</f>
        <v>0</v>
      </c>
      <c r="U58" s="405">
        <f>INDEX(Tbl_Neo_PoedKV,$B58,U$51)*$K58</f>
        <v>0</v>
      </c>
      <c r="V58" s="405">
        <f>INDEX(Tbl_Neo_PoedKV,$B58,V$51)*$K58</f>
        <v>0</v>
      </c>
      <c r="W58" s="405">
        <f>INDEX(Tbl_Neo_PoedKV,$B58,W$51)*$K58</f>
        <v>0</v>
      </c>
    </row>
    <row r="59" spans="1:23" x14ac:dyDescent="0.2">
      <c r="A59" s="154" t="s">
        <v>943</v>
      </c>
      <c r="B59" s="154">
        <v>1</v>
      </c>
      <c r="C59" s="397">
        <f>Var_Neo_InfB_Ent_Toevoeging_6+1</f>
        <v>2</v>
      </c>
      <c r="J59" s="154">
        <v>1</v>
      </c>
      <c r="K59" s="463">
        <f>INDEX(tbl_Neo_NutrToevWaard,NeoBerInfB!J59)</f>
        <v>0</v>
      </c>
      <c r="L59" s="405">
        <f>INDEX(Tbl_Neo_PoedKV,$B59,L$51)*$K59</f>
        <v>0</v>
      </c>
      <c r="M59" s="405">
        <f>INDEX(Tbl_Neo_PoedKV,$B59,M$51)*$K59</f>
        <v>0</v>
      </c>
      <c r="N59" s="405">
        <f>INDEX(Tbl_Neo_PoedKV,$B59,N$51)*$K59</f>
        <v>0</v>
      </c>
      <c r="O59" s="405">
        <f>INDEX(Tbl_Neo_PoedKV,$B59,O$51)*$K59</f>
        <v>0</v>
      </c>
      <c r="P59" s="405">
        <f>INDEX(Tbl_Neo_PoedKV,$B59,P$51)*$K59</f>
        <v>0</v>
      </c>
      <c r="Q59" s="405">
        <f>INDEX(Tbl_Neo_PoedKV,$B59,Q$51)*$K59</f>
        <v>0</v>
      </c>
      <c r="R59" s="405">
        <f>INDEX(Tbl_Neo_PoedKV,$B59,R$51)*$K59</f>
        <v>0</v>
      </c>
      <c r="S59" s="405">
        <f>INDEX(Tbl_Neo_PoedKV,$B59,S$51)*$K59</f>
        <v>0</v>
      </c>
      <c r="T59" s="405">
        <f>INDEX(Tbl_Neo_PoedKV,$B59,T$51)*$K59</f>
        <v>0</v>
      </c>
      <c r="U59" s="405">
        <f>INDEX(Tbl_Neo_PoedKV,$B59,U$51)*$K59</f>
        <v>0</v>
      </c>
      <c r="V59" s="405">
        <f>INDEX(Tbl_Neo_PoedKV,$B59,V$51)*$K59</f>
        <v>0</v>
      </c>
      <c r="W59" s="405">
        <f>INDEX(Tbl_Neo_PoedKV,$B59,W$51)*$K59</f>
        <v>0</v>
      </c>
    </row>
    <row r="60" spans="1:23" x14ac:dyDescent="0.2">
      <c r="A60" s="154" t="s">
        <v>944</v>
      </c>
      <c r="B60" s="154">
        <v>1</v>
      </c>
      <c r="C60" s="397">
        <f>Var_Neo_InfB_Ent_Toevoeging_7+1</f>
        <v>2</v>
      </c>
      <c r="J60" s="154">
        <v>1</v>
      </c>
      <c r="K60" s="463">
        <f>INDEX(tbl_Neo_NutrToevWaard,NeoBerInfB!J60)</f>
        <v>0</v>
      </c>
      <c r="L60" s="405">
        <f>INDEX(Tbl_Neo_PoedKV,$B60,L$51)*$K60</f>
        <v>0</v>
      </c>
      <c r="M60" s="405">
        <f>INDEX(Tbl_Neo_PoedKV,$B60,M$51)*$K60</f>
        <v>0</v>
      </c>
      <c r="N60" s="405">
        <f>INDEX(Tbl_Neo_PoedKV,$B60,N$51)*$K60</f>
        <v>0</v>
      </c>
      <c r="O60" s="405">
        <f>INDEX(Tbl_Neo_PoedKV,$B60,O$51)*$K60</f>
        <v>0</v>
      </c>
      <c r="P60" s="405">
        <f>INDEX(Tbl_Neo_PoedKV,$B60,P$51)*$K60</f>
        <v>0</v>
      </c>
      <c r="Q60" s="405">
        <f>INDEX(Tbl_Neo_PoedKV,$B60,Q$51)*$K60</f>
        <v>0</v>
      </c>
      <c r="R60" s="405">
        <f>INDEX(Tbl_Neo_PoedKV,$B60,R$51)*$K60</f>
        <v>0</v>
      </c>
      <c r="S60" s="405">
        <f>INDEX(Tbl_Neo_PoedKV,$B60,S$51)*$K60</f>
        <v>0</v>
      </c>
      <c r="T60" s="405">
        <f>INDEX(Tbl_Neo_PoedKV,$B60,T$51)*$K60</f>
        <v>0</v>
      </c>
      <c r="U60" s="405">
        <f>INDEX(Tbl_Neo_PoedKV,$B60,U$51)*$K60</f>
        <v>0</v>
      </c>
      <c r="V60" s="405">
        <f>INDEX(Tbl_Neo_PoedKV,$B60,V$51)*$K60</f>
        <v>0</v>
      </c>
      <c r="W60" s="405">
        <f>INDEX(Tbl_Neo_PoedKV,$B60,W$51)*$K60</f>
        <v>0</v>
      </c>
    </row>
    <row r="61" spans="1:23" x14ac:dyDescent="0.2">
      <c r="A61" s="154" t="s">
        <v>945</v>
      </c>
      <c r="B61" s="154">
        <v>1</v>
      </c>
      <c r="C61" s="397">
        <f>Var_Neo_InfB_Ent_Toevoeging_8+1</f>
        <v>2</v>
      </c>
      <c r="J61" s="154">
        <v>1</v>
      </c>
      <c r="K61" s="463">
        <f>INDEX(tbl_Neo_NutrToevWaard,NeoBerInfB!J61)</f>
        <v>0</v>
      </c>
      <c r="L61" s="405">
        <f>INDEX(Tbl_Neo_PoedKV,$B61,L$51)*$K61</f>
        <v>0</v>
      </c>
      <c r="M61" s="405">
        <f>INDEX(Tbl_Neo_PoedKV,$B61,M$51)*$K61</f>
        <v>0</v>
      </c>
      <c r="N61" s="405">
        <f>INDEX(Tbl_Neo_PoedKV,$B61,N$51)*$K61</f>
        <v>0</v>
      </c>
      <c r="O61" s="405">
        <f>INDEX(Tbl_Neo_PoedKV,$B61,O$51)*$K61</f>
        <v>0</v>
      </c>
      <c r="P61" s="405">
        <f>INDEX(Tbl_Neo_PoedKV,$B61,P$51)*$K61</f>
        <v>0</v>
      </c>
      <c r="Q61" s="405">
        <f>INDEX(Tbl_Neo_PoedKV,$B61,Q$51)*$K61</f>
        <v>0</v>
      </c>
      <c r="R61" s="405">
        <f>INDEX(Tbl_Neo_PoedKV,$B61,R$51)*$K61</f>
        <v>0</v>
      </c>
      <c r="S61" s="405">
        <f>INDEX(Tbl_Neo_PoedKV,$B61,S$51)*$K61</f>
        <v>0</v>
      </c>
      <c r="T61" s="405">
        <f>INDEX(Tbl_Neo_PoedKV,$B61,T$51)*$K61</f>
        <v>0</v>
      </c>
      <c r="U61" s="405">
        <f>INDEX(Tbl_Neo_PoedKV,$B61,U$51)*$K61</f>
        <v>0</v>
      </c>
      <c r="V61" s="405">
        <f>INDEX(Tbl_Neo_PoedKV,$B61,V$51)*$K61</f>
        <v>0</v>
      </c>
      <c r="W61" s="405">
        <f>INDEX(Tbl_Neo_PoedKV,$B61,W$51)*$K61</f>
        <v>0</v>
      </c>
    </row>
    <row r="62" spans="1:23" x14ac:dyDescent="0.2">
      <c r="A62" s="154" t="s">
        <v>1033</v>
      </c>
      <c r="L62" s="405">
        <f>SUM(L58:L61)</f>
        <v>0</v>
      </c>
      <c r="M62" s="405">
        <f t="shared" ref="M62:W62" si="17">SUM(M58:M61)</f>
        <v>0</v>
      </c>
      <c r="N62" s="405">
        <f t="shared" si="17"/>
        <v>0</v>
      </c>
      <c r="O62" s="405">
        <f t="shared" si="17"/>
        <v>0</v>
      </c>
      <c r="P62" s="405">
        <f t="shared" si="17"/>
        <v>0</v>
      </c>
      <c r="Q62" s="405">
        <f t="shared" si="17"/>
        <v>0</v>
      </c>
      <c r="R62" s="405">
        <f t="shared" si="17"/>
        <v>0</v>
      </c>
      <c r="S62" s="405">
        <f t="shared" si="17"/>
        <v>0</v>
      </c>
      <c r="T62" s="405">
        <f t="shared" si="17"/>
        <v>0</v>
      </c>
      <c r="U62" s="405">
        <f t="shared" si="17"/>
        <v>0</v>
      </c>
      <c r="V62" s="405">
        <f t="shared" si="17"/>
        <v>0</v>
      </c>
      <c r="W62" s="405">
        <f t="shared" si="17"/>
        <v>0</v>
      </c>
    </row>
    <row r="65" spans="1:12" x14ac:dyDescent="0.2">
      <c r="A65" s="154" t="s">
        <v>582</v>
      </c>
    </row>
    <row r="70" spans="1:12" x14ac:dyDescent="0.2">
      <c r="B70" s="168"/>
      <c r="C70" s="162"/>
      <c r="D70" s="162"/>
      <c r="E70" s="162"/>
      <c r="F70" s="169"/>
      <c r="G70" s="162"/>
      <c r="H70" s="162"/>
    </row>
    <row r="71" spans="1:12" x14ac:dyDescent="0.2">
      <c r="L71" s="398"/>
    </row>
    <row r="73" spans="1:12" x14ac:dyDescent="0.2">
      <c r="A73" s="154" t="s">
        <v>913</v>
      </c>
      <c r="B73" s="154" t="e">
        <f ca="1">IF(NeoGuiInfB!E18=0,"",CONCATENATE(NeoGuiInfB!B18,": ",NeoGuiInfB!E18," ",NeoGuiInfB!F18," = "&amp;NeoBerInfB!K47&amp;" ml"))</f>
        <v>#DIV/0!</v>
      </c>
    </row>
    <row r="74" spans="1:12" x14ac:dyDescent="0.2">
      <c r="A74" s="154" t="s">
        <v>914</v>
      </c>
      <c r="B74" s="154" t="str">
        <f>IF(INDEX(tbl_Neo_Pos,NeoBerInfB!D14,1)=0,"",CONCATENATE(NeoGuiInfB!H21," ",INDEX(tbl_Neo_Pos,NeoBerInfB!D14,1)))</f>
        <v>Voeding: Nutrilon Nenatal Start</v>
      </c>
    </row>
    <row r="75" spans="1:12" x14ac:dyDescent="0.2">
      <c r="A75" s="154" t="s">
        <v>915</v>
      </c>
      <c r="B75" s="407" t="str">
        <f>IF(INDEX(tbl_Neo_Pos,NeoBerInfB!D14,1)=0,"",CONCATENATE("Hoeveelheid 1:  ",NeoGuiInfB!E21," ",NeoGuiInfB!F21," ",NeoGuiInfB!G21))</f>
        <v>Hoeveelheid 1:  4 maal 1 ml</v>
      </c>
    </row>
    <row r="76" spans="1:12" x14ac:dyDescent="0.2">
      <c r="A76" s="154" t="s">
        <v>916</v>
      </c>
      <c r="B76" s="154" t="str">
        <f>IF(INDEX(tbl_Neo_Pos,NeoBerInfB!D14,1)=0,"",CONCATENATE("Hoeveelheid 2:  ",NeoGuiInfB!E22," ",NeoGuiInfB!F22," ",NeoGuiInfB!G22))</f>
        <v>Hoeveelheid 2:  2 maal 2 ml</v>
      </c>
    </row>
    <row r="77" spans="1:12" x14ac:dyDescent="0.2">
      <c r="A77" s="154" t="s">
        <v>917</v>
      </c>
      <c r="B77" s="407" t="str">
        <f>IF(AND(INDEX(tbl_Neo_LijstVoeding,Var_Neo_InfB_Ent_Voeding,14)="MM",Var_Neo_Percentage_0 &gt; 0), CONCATENATE("Toev MM: BMF ",Var_Neo_Percentage_0," %"),"")</f>
        <v/>
      </c>
    </row>
    <row r="78" spans="1:12" x14ac:dyDescent="0.2">
      <c r="A78" s="154" t="s">
        <v>918</v>
      </c>
      <c r="B78" s="407" t="str">
        <f>IF(AND(INDEX(tbl_Neo_LijstVoeding,Var_Neo_InfB_Ent_Voeding,14)="MM",Var_Neo_InfB_Ent_Toevoeging_1 &gt; 1,Var_Neo_Percentage_1 &gt; 0), CONCATENATE("Toev MM: ",INDEX(tbl_Neo_NutrMMToev,Var_Neo_InfB_Ent_Toevoeging_1,1)," ",Var_Neo_Percentage_1," %"),"")</f>
        <v/>
      </c>
    </row>
    <row r="79" spans="1:12" x14ac:dyDescent="0.2">
      <c r="A79" s="154" t="s">
        <v>919</v>
      </c>
      <c r="B79" s="407" t="str">
        <f>IF(AND(INDEX(tbl_Neo_LijstVoeding,Var_Neo_InfB_Ent_Voeding,14)="MM",Var_Neo_InfB_Ent_Toevoeging_2 &gt; 1,Var_Neo_Percentage_2 &gt; 0), CONCATENATE("Toev MM: ",INDEX(tbl_Neo_NutrMMToev,Var_Neo_InfB_Ent_Toevoeging_2,1)," ",Var_Neo_Percentage_2," %"),"")</f>
        <v/>
      </c>
    </row>
    <row r="80" spans="1:12" x14ac:dyDescent="0.2">
      <c r="A80" s="154" t="s">
        <v>920</v>
      </c>
      <c r="B80" s="407" t="str">
        <f>IF(AND(INDEX(tbl_Neo_LijstVoeding,Var_Neo_InfB_Ent_Voeding,14)="MM",Var_Neo_InfB_Ent_Toevoeging_3 &gt; 1,Var_Neo_Percentage_3 &gt; 0), CONCATENATE("Toev MM: ",INDEX(tbl_Neo_NutrMMToev,Var_Neo_InfB_Ent_Toevoeging_3,1)," ",Var_Neo_Percentage_3," %"),"")</f>
        <v/>
      </c>
    </row>
    <row r="81" spans="1:2" x14ac:dyDescent="0.2">
      <c r="A81" s="154" t="s">
        <v>921</v>
      </c>
      <c r="B81" s="407" t="str">
        <f>IF(AND(INDEX(tbl_Neo_LijstVoeding,Var_Neo_InfB_Ent_Voeding,14)="MM",Var_Neo_InfB_Ent_Toevoeging_4 &gt; 1,Var_Neo_Percentage_4 &gt; 0), CONCATENATE("Toev MM: ",INDEX(tbl_Neo_NutrMMToev,Var_Neo_InfB_Ent_Toevoeging_4,1)," ",Var_Neo_Percentage_4," %"),"")</f>
        <v/>
      </c>
    </row>
    <row r="82" spans="1:2" x14ac:dyDescent="0.2">
      <c r="A82" s="154" t="s">
        <v>922</v>
      </c>
      <c r="B82" s="407" t="str">
        <f>IF(AND(INDEX(tbl_Neo_LijstVoeding,Var_Neo_InfB_Ent_Voeding,14)="KV",Var_Neo_InfB_Ent_Toevoeging_5 &gt; 1,Var_Neo_Percentage_5 &gt; 0), CONCATENATE("Toev KV: ",INDEX(tbl_Neo_NutrKunstToev,Var_Neo_InfB_Ent_Toevoeging_5,1)," ",Var_Neo_Percentage_5," %"),"")</f>
        <v/>
      </c>
    </row>
    <row r="83" spans="1:2" x14ac:dyDescent="0.2">
      <c r="A83" s="407" t="s">
        <v>1057</v>
      </c>
      <c r="B83" s="407" t="str">
        <f>IF(AND(INDEX(tbl_Neo_LijstVoeding,Var_Neo_InfB_Ent_Voeding,14)="KV",Var_Neo_InfB_Ent_Toevoeging_6 &gt; 1,Var_Neo_Percentage_6 &gt; 0), CONCATENATE("Toev KV: ",INDEX(tbl_Neo_NutrKunstToev,Var_Neo_InfB_Ent_Toevoeging_6,1)," ",Var_Neo_Percentage_6," %"),"")</f>
        <v/>
      </c>
    </row>
    <row r="84" spans="1:2" x14ac:dyDescent="0.2">
      <c r="A84" s="407" t="s">
        <v>1058</v>
      </c>
      <c r="B84" s="407" t="str">
        <f>IF(AND(INDEX(tbl_Neo_LijstVoeding,Var_Neo_InfB_Ent_Voeding,14)="KV",Var_Neo_InfB_Ent_Toevoeging_7 &gt; 1,Var_Neo_Percentage_7 &gt; 0), CONCATENATE("Toev KV: ",INDEX(tbl_Neo_NutrKunstToev,Var_Neo_InfB_Ent_Toevoeging_7,1)," ",Var_Neo_Percentage_7," %"),"")</f>
        <v/>
      </c>
    </row>
    <row r="85" spans="1:2" x14ac:dyDescent="0.2">
      <c r="A85" s="407" t="s">
        <v>1059</v>
      </c>
      <c r="B85" s="407" t="str">
        <f>IF(AND(INDEX(tbl_Neo_LijstVoeding,Var_Neo_InfB_Ent_Voeding,14)="KV",Var_Neo_InfB_Ent_Toevoeging_8 &gt; 1,Var_Neo_Percentage_8 &gt; 0), CONCATENATE("Toev KV: ",INDEX(tbl_Neo_NutrKunstToev,Var_Neo_InfB_Ent_Toevoeging_8,1)," ",Var_Neo_Percentage_8," %"),"")</f>
        <v/>
      </c>
    </row>
    <row r="86" spans="1:2" x14ac:dyDescent="0.2">
      <c r="A86" s="407" t="s">
        <v>1060</v>
      </c>
      <c r="B86" s="154" t="str">
        <f ca="1">IF(NeoGuiInfB!E28&gt;0,CONCATENATE(NeoGuiInfB!B28," ",NeoGuiInfB!E28," ",NeoGuiInfB!F28),"")</f>
        <v/>
      </c>
    </row>
    <row r="87" spans="1:2" x14ac:dyDescent="0.2">
      <c r="A87" s="407" t="s">
        <v>1061</v>
      </c>
      <c r="B87" s="154" t="str">
        <f>CONCATENATE(NeoGuiInfB!B19,": ",IF(NeoBerInfB!B15=1,"Ja","Nee"))</f>
        <v>Fototherapie: Ja</v>
      </c>
    </row>
    <row r="90" spans="1:2" x14ac:dyDescent="0.2">
      <c r="A90" s="316" t="s">
        <v>1097</v>
      </c>
      <c r="B90" s="154" t="str">
        <f>IF(NeoBerInfB!B20&gt;1,INDEX(tbl_Neo_MedIV,NeoBerInfB!B20, 1)&amp;" "&amp;NeoGuiInfB!C32&amp;" "&amp;NeoGuiInfB!D32&amp;" "&amp; INDEX(tbl_Neo_Opl,NeoBerInfB!E20,1)&amp;" " &amp; NeoGuiInfB!G32&amp;" (="&amp;NeoGuiInfB!H32&amp;" "&amp;NeoGuiInfB!I32&amp;"), inlooptijd: "&amp;NeoGuiInfB!N32,"")</f>
        <v/>
      </c>
    </row>
    <row r="91" spans="1:2" x14ac:dyDescent="0.2">
      <c r="A91" s="316" t="s">
        <v>1097</v>
      </c>
      <c r="B91" s="463" t="str">
        <f>IF(NeoBerInfB!B21&gt;1,INDEX(tbl_Neo_MedIV,NeoBerInfB!B21, 1)&amp;" "&amp;NeoGuiInfB!C33&amp;" "&amp;NeoGuiInfB!D33&amp;" "&amp; INDEX(tbl_Neo_Opl,NeoBerInfB!E21,1)&amp;" " &amp; NeoGuiInfB!G33&amp;" (="&amp;NeoGuiInfB!H33&amp;" "&amp;NeoGuiInfB!I33&amp;"), inlooptijd: "&amp;NeoGuiInfB!N33,"")</f>
        <v/>
      </c>
    </row>
    <row r="92" spans="1:2" x14ac:dyDescent="0.2">
      <c r="A92" s="316" t="s">
        <v>1097</v>
      </c>
      <c r="B92" s="463" t="str">
        <f>IF(NeoBerInfB!B22&gt;1,INDEX(tbl_Neo_MedIV,NeoBerInfB!B22, 1)&amp;" "&amp;NeoGuiInfB!C34&amp;" "&amp;NeoGuiInfB!D34&amp;" "&amp; INDEX(tbl_Neo_Opl,NeoBerInfB!E22,1)&amp;" " &amp; NeoGuiInfB!G34&amp;" (="&amp;NeoGuiInfB!H34&amp;" "&amp;NeoGuiInfB!I34&amp;"), inlooptijd: "&amp;NeoGuiInfB!N34,"")</f>
        <v/>
      </c>
    </row>
    <row r="93" spans="1:2" x14ac:dyDescent="0.2">
      <c r="A93" s="316" t="s">
        <v>1097</v>
      </c>
      <c r="B93" s="463" t="str">
        <f>IF(NeoBerInfB!B23&gt;1,INDEX(tbl_Neo_MedIV,NeoBerInfB!B23, 1)&amp;" "&amp;NeoGuiInfB!C35&amp;" "&amp;NeoGuiInfB!D35&amp;" "&amp; INDEX(tbl_Neo_Opl,NeoBerInfB!E23,1)&amp;" " &amp; NeoGuiInfB!G35&amp;" (="&amp;NeoGuiInfB!H35&amp;" "&amp;NeoGuiInfB!I35&amp;"), inlooptijd: "&amp;NeoGuiInfB!N35,"")</f>
        <v/>
      </c>
    </row>
    <row r="94" spans="1:2" x14ac:dyDescent="0.2">
      <c r="A94" s="316" t="s">
        <v>1097</v>
      </c>
      <c r="B94" s="463" t="str">
        <f>IF(NeoBerInfB!B24&gt;1,INDEX(tbl_Neo_MedIV,NeoBerInfB!B24, 1)&amp;" "&amp;NeoGuiInfB!C36&amp;" "&amp;NeoGuiInfB!D36&amp;" "&amp; INDEX(tbl_Neo_Opl,NeoBerInfB!E24,1)&amp;" " &amp; NeoGuiInfB!G36&amp;" (="&amp;NeoGuiInfB!H36&amp;" "&amp;NeoGuiInfB!I36&amp;"), inlooptijd: "&amp;NeoGuiInfB!N36,"")</f>
        <v/>
      </c>
    </row>
    <row r="95" spans="1:2" x14ac:dyDescent="0.2">
      <c r="A95" s="316" t="s">
        <v>1097</v>
      </c>
      <c r="B95" s="463" t="str">
        <f>IF(NeoBerInfB!B25&gt;1,INDEX(tbl_Neo_MedIV,NeoBerInfB!B25, 1)&amp;" "&amp;NeoGuiInfB!C37&amp;" "&amp;NeoGuiInfB!D37&amp;" "&amp; INDEX(tbl_Neo_Opl,NeoBerInfB!E25,1)&amp;" " &amp; NeoGuiInfB!G37&amp;" (="&amp;NeoGuiInfB!H37&amp;" "&amp;NeoGuiInfB!I37&amp;"), inlooptijd: "&amp;NeoGuiInfB!N37,"")</f>
        <v/>
      </c>
    </row>
    <row r="96" spans="1:2" x14ac:dyDescent="0.2">
      <c r="A96" s="316" t="s">
        <v>1097</v>
      </c>
      <c r="B96" s="463" t="str">
        <f>IF(NeoBerInfB!B26&gt;1,INDEX(tbl_Neo_MedIV,NeoBerInfB!B26, 1)&amp;" "&amp;NeoGuiInfB!C38&amp;" "&amp;NeoGuiInfB!D38&amp;" "&amp; INDEX(tbl_Neo_Opl,NeoBerInfB!E26,1)&amp;" " &amp; NeoGuiInfB!G38&amp;" (="&amp;NeoGuiInfB!H38&amp;" "&amp;NeoGuiInfB!I38&amp;"), inlooptijd: "&amp;NeoGuiInfB!N38,"")</f>
        <v/>
      </c>
    </row>
    <row r="97" spans="1:2" x14ac:dyDescent="0.2">
      <c r="A97" s="316" t="s">
        <v>1097</v>
      </c>
      <c r="B97" s="463" t="str">
        <f>IF(NeoBerInfB!B27&gt;1,INDEX(tbl_Neo_MedIV,NeoBerInfB!B27, 1)&amp;" "&amp;NeoGuiInfB!C39&amp;" "&amp;NeoGuiInfB!D39&amp;" "&amp; INDEX(tbl_Neo_Opl,NeoBerInfB!E27,1)&amp;" " &amp; NeoGuiInfB!G39&amp;" (="&amp;NeoGuiInfB!H39&amp;" "&amp;NeoGuiInfB!I39&amp;"), inlooptijd: "&amp;NeoGuiInfB!N39,"")</f>
        <v/>
      </c>
    </row>
    <row r="98" spans="1:2" x14ac:dyDescent="0.2">
      <c r="A98" s="316" t="s">
        <v>1097</v>
      </c>
      <c r="B98" s="463" t="str">
        <f>IF(NeoBerInfB!B28&gt;1,INDEX(tbl_Neo_MedIV,NeoBerInfB!B28, 1)&amp;" "&amp;NeoGuiInfB!C40&amp;" "&amp;NeoGuiInfB!D40&amp;" "&amp; INDEX(tbl_Neo_Opl,NeoBerInfB!E28,1)&amp;" " &amp; NeoGuiInfB!G40&amp;" (="&amp;NeoGuiInfB!H40&amp;" "&amp;NeoGuiInfB!I40&amp;"), inlooptijd: "&amp;NeoGuiInfB!N40,"")</f>
        <v/>
      </c>
    </row>
    <row r="99" spans="1:2" x14ac:dyDescent="0.2">
      <c r="A99" s="316" t="s">
        <v>1097</v>
      </c>
      <c r="B99" s="463" t="str">
        <f>IF(NeoBerInfB!E29&lt;&gt;0, NeoGuiInfB!B42&amp;": "&amp; INDEX(tbl_Neo_Opl,NeoBerInfB!$E29,1)&amp;" " &amp; NeoGuiInfB!G42,"")</f>
        <v/>
      </c>
    </row>
    <row r="100" spans="1:2" x14ac:dyDescent="0.2">
      <c r="A100" s="316" t="s">
        <v>1097</v>
      </c>
      <c r="B100" s="463" t="str">
        <f>IF(NeoBerInfB!E30&lt;&gt;0, NeoGuiInfB!B43&amp;": "&amp; INDEX(tbl_Neo_Opl,NeoBerInfB!$E30,1)&amp;" " &amp; NeoGuiInfB!G43,"")</f>
        <v/>
      </c>
    </row>
    <row r="101" spans="1:2" x14ac:dyDescent="0.2">
      <c r="A101" s="316" t="s">
        <v>1097</v>
      </c>
      <c r="B101" s="463" t="str">
        <f>IF(NeoBerInfB!E31&lt;&gt;0, NeoGuiInfB!B44&amp;": "&amp; INDEX(tbl_Neo_Opl,NeoBerInfB!$E31,1)&amp;" " &amp; NeoGuiInfB!G44,"")</f>
        <v/>
      </c>
    </row>
    <row r="102" spans="1:2" x14ac:dyDescent="0.2">
      <c r="A102" s="316" t="s">
        <v>1097</v>
      </c>
      <c r="B102" s="154" t="str">
        <f>IF(NeoBerInfB!B32="","",NeoBerInfB!B32)</f>
        <v/>
      </c>
    </row>
    <row r="103" spans="1:2" x14ac:dyDescent="0.2">
      <c r="A103" s="316" t="s">
        <v>1097</v>
      </c>
      <c r="B103" s="463" t="str">
        <f>IF(NeoBerInfB!B33="","",NeoBerInfB!B33)</f>
        <v/>
      </c>
    </row>
    <row r="104" spans="1:2" x14ac:dyDescent="0.2">
      <c r="A104" s="316" t="s">
        <v>1097</v>
      </c>
      <c r="B104" s="154" t="str">
        <f ca="1">IF(NeoBerInfB!C35&lt;&gt;0,CONCATENATE("Intralipid 20% (incl.vitintra) ",ROUNDUP(NeoBerInfB!C35/24,1)," ml/uur"),"")</f>
        <v/>
      </c>
    </row>
    <row r="105" spans="1:2" x14ac:dyDescent="0.2">
      <c r="A105" s="316" t="s">
        <v>1097</v>
      </c>
      <c r="B105" s="154" t="str">
        <f ca="1">IF(Txt_Neo_Wb_TPN_Stand&lt;&gt;"",CONCATENATE("TPN: ",Txt_Neo_Wb_TPN_Stand, " ml/uur"),"")</f>
        <v/>
      </c>
    </row>
    <row r="106" spans="1:2" x14ac:dyDescent="0.2">
      <c r="A106" s="316" t="s">
        <v>1097</v>
      </c>
      <c r="B106" s="154" t="str">
        <f ca="1">IF(Txt_Neo_Wb_TPN_Stand&lt;&gt;"",CONCATENATE("TPN Totaal: ",Txt_Neo_Wb_TPN_TotaalGeheel,",",  ROUND(Txt_Neo_Wb_TPN_TotaalBreuk,0), " ml"),"")</f>
        <v/>
      </c>
    </row>
    <row r="107" spans="1:2" x14ac:dyDescent="0.2">
      <c r="A107" s="316" t="s">
        <v>1097</v>
      </c>
      <c r="B107" s="154" t="str">
        <f ca="1">IF(OR(Txt_Neo_Wb_TPN_NaClGeheel&lt;&gt;"",Txt_Neo_Wb_TPN_NaClBreuk&lt;&gt;""),CONCATENATE(Txt_Neo_Wb_TPN_NaCLTekst," ",Txt_Neo_Wb_TPN_NaClGeheel,",", Txt_Neo_Wb_TPN_NaClBreuk, " ml"),"")</f>
        <v/>
      </c>
    </row>
    <row r="108" spans="1:2" x14ac:dyDescent="0.2">
      <c r="A108" s="316" t="s">
        <v>1097</v>
      </c>
      <c r="B108" s="154" t="str">
        <f ca="1">IF(OR(Txt_Neo_Wb_TPN_KacetaatGeheel&lt;&gt;"",Txt_Neo_Wb_TPN_KacetaatBreuk&lt;&gt;""),CONCATENATE(Txt_Neo_Wb_TPN_KacetaatTekst," ",Txt_Neo_Wb_TPN_KacetaatGeheel,",", Txt_Neo_Wb_TPN_KacetaatBreuk, " ml"),"")</f>
        <v/>
      </c>
    </row>
    <row r="109" spans="1:2" x14ac:dyDescent="0.2">
      <c r="A109" s="316" t="s">
        <v>1097</v>
      </c>
      <c r="B109" s="154" t="str">
        <f ca="1">IF(OR(Txt_Neo_Wb_TPN_CaClGeheel&lt;&gt;"",Txt_Neo_Wb_TPN_CaClBreuk&lt;&gt;""),CONCATENATE(Txt_Neo_Wb_TPN_CaClTekst," ",Txt_Neo_Wb_TPN_CaClGeheel,",", Txt_Neo_Wb_TPN_CaClBreuk, " ml"),"")</f>
        <v/>
      </c>
    </row>
    <row r="110" spans="1:2" x14ac:dyDescent="0.2">
      <c r="A110" s="316" t="s">
        <v>1097</v>
      </c>
      <c r="B110" s="154" t="str">
        <f ca="1">IF(OR(Txt_Neo_Wb_TPN_MgClGeheel&lt;&gt;"",Txt_Neo_Wb_TPN_MgClBreuk&lt;&gt;""),CONCATENATE(Txt_Neo_Wb_TPN_MgClTekst," ",Txt_Neo_Wb_TPN_MgClGeheel,",", Txt_Neo_Wb_TPN_MgClBreuk, " ml"),"")</f>
        <v/>
      </c>
    </row>
    <row r="111" spans="1:2" x14ac:dyDescent="0.2">
      <c r="A111" s="316" t="s">
        <v>1097</v>
      </c>
      <c r="B111" s="154" t="str">
        <f ca="1">IF(OR(Txt_Neo_Wb_TPN_SoluvitGeheel&lt;&gt;"",Txt_Neo_Wb_TPN_SoluvitBreuk&lt;&gt;""),CONCATENATE(Txt_Neo_Wb_TPN_SoluvitTekst," ",Txt_Neo_Wb_TPN_SoluvitGeheel,",", Txt_Neo_Wb_TPN_SoluvitBreuk, " ml"),"")</f>
        <v/>
      </c>
    </row>
    <row r="112" spans="1:2" x14ac:dyDescent="0.2">
      <c r="A112" s="316" t="s">
        <v>1097</v>
      </c>
      <c r="B112" s="154" t="str">
        <f ca="1">IF(OR(Txt_Neo_Wb_TPN_PrimeneGeheel&lt;&gt;"",Txt_Neo_Wb_TPN_PrimeneBreuk&lt;&gt;""),CONCATENATE(Txt_Neo_Wb_TPN_PrimeneTekst," ",Txt_Neo_Wb_TPN_PrimeneGeheel,",", Txt_Neo_Wb_TPN_PrimeneBreuk, " ml"),"")</f>
        <v/>
      </c>
    </row>
    <row r="113" spans="1:2" x14ac:dyDescent="0.2">
      <c r="A113" s="316" t="s">
        <v>1097</v>
      </c>
      <c r="B113" s="154" t="str">
        <f>IF(OR(Txt_Neo_Wb_TPN_NICUmixGeheel&lt;&gt;"",Txt_Neo_Wb_TPN_NICUmixBreuk&lt;&gt;""),CONCATENATE(Txt_Neo_Wb_TPN_NICUmixTekst," ",Txt_Neo_Wb_TPN_NICUmixGeheel,",", Txt_Neo_Wb_TPN_NICUmixBreuk, " ml"),"")</f>
        <v/>
      </c>
    </row>
    <row r="114" spans="1:2" x14ac:dyDescent="0.2">
      <c r="A114" s="316" t="s">
        <v>1097</v>
      </c>
      <c r="B114" s="154" t="str">
        <f>IF(OR(Txt_Neo_Wb_TPN_SamBGeheel&lt;&gt;"",Txt_Neo_Wb_TPN_SamBBreuk&lt;&gt;""),CONCATENATE(Txt_Neo_Wb_TPN_SamBTekst," ",Txt_Neo_Wb_TPN_SamBGeheel,",", Txt_Neo_Wb_TPN_SamBBreuk, " ml"),"")</f>
        <v/>
      </c>
    </row>
    <row r="115" spans="1:2" x14ac:dyDescent="0.2">
      <c r="A115" s="316" t="s">
        <v>1097</v>
      </c>
      <c r="B115" s="154" t="str">
        <f>IF(OR(Txt_Neo_Wb_TPN_GlucGeheel&lt;&gt;"",Txt_Neo_Wb_TPN_GlucBreuk&lt;&gt;""),CONCATENATE(Txt_Neo_Wb_TPN_GlucTekst," ",Txt_Neo_Wb_TPN_GlucGeheel,",", ROUND(Txt_Neo_Wb_TPN_GlucBreuk,2), " ml"),"")</f>
        <v/>
      </c>
    </row>
    <row r="116" spans="1:2" x14ac:dyDescent="0.2">
      <c r="A116" s="316" t="s">
        <v>1097</v>
      </c>
      <c r="B116" s="154" t="str">
        <f>IF(Txt_Neo_Wb_IVAcc_Stand&lt;&gt;"",CONCATENATE(Txt_Neo_Wb_IVAcc_Tekst," ",Txt_Neo_Wb_IVAcc_Stand, " ml/uur"),"")</f>
        <v/>
      </c>
    </row>
  </sheetData>
  <pageMargins left="0.21" right="0.23" top="0.17" bottom="0.16" header="0.17" footer="0.16"/>
  <pageSetup paperSize="9" orientation="landscape" r:id="rId1"/>
  <headerFooter alignWithMargins="0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DataInfB"/>
  <dimension ref="A1:H106"/>
  <sheetViews>
    <sheetView workbookViewId="0">
      <selection activeCell="D98" sqref="D98"/>
    </sheetView>
  </sheetViews>
  <sheetFormatPr defaultRowHeight="12.75" x14ac:dyDescent="0.2"/>
  <cols>
    <col min="1" max="1" width="34.28515625" customWidth="1"/>
    <col min="2" max="2" width="13.85546875" customWidth="1"/>
    <col min="3" max="3" width="27.28515625" customWidth="1"/>
    <col min="4" max="4" width="14.7109375" customWidth="1"/>
    <col min="5" max="5" width="37" customWidth="1"/>
    <col min="8" max="8" width="31.5703125" customWidth="1"/>
  </cols>
  <sheetData>
    <row r="1" spans="1:8" x14ac:dyDescent="0.2">
      <c r="A1" s="316" t="s">
        <v>4734</v>
      </c>
      <c r="B1" s="316" t="s">
        <v>4736</v>
      </c>
      <c r="C1" s="859" t="s">
        <v>4735</v>
      </c>
      <c r="D1" s="316" t="s">
        <v>4736</v>
      </c>
      <c r="E1" s="316" t="s">
        <v>4983</v>
      </c>
      <c r="F1" s="316" t="s">
        <v>4984</v>
      </c>
    </row>
    <row r="2" spans="1:8" x14ac:dyDescent="0.2">
      <c r="A2" s="315" t="str">
        <f>H2</f>
        <v>_Neo_InfB_Cont_ArtLijn</v>
      </c>
      <c r="B2">
        <v>0</v>
      </c>
      <c r="C2" s="315" t="str">
        <f t="shared" ref="C2:C33" si="0">REPLACE(A2,6,4,"1700")</f>
        <v>_Neo_1700_Cont_ArtLijn</v>
      </c>
      <c r="D2">
        <v>0</v>
      </c>
      <c r="E2" t="s">
        <v>5305</v>
      </c>
      <c r="F2" t="b">
        <f t="shared" ref="F2:F33" si="1">"Var"&amp;A2=E2</f>
        <v>1</v>
      </c>
      <c r="H2" s="315" t="s">
        <v>5178</v>
      </c>
    </row>
    <row r="3" spans="1:8" x14ac:dyDescent="0.2">
      <c r="A3" s="315" t="str">
        <f t="shared" ref="A3:A66" si="2">H3</f>
        <v>_Neo_InfB_Cont_MedKeuze_1</v>
      </c>
      <c r="B3">
        <v>1</v>
      </c>
      <c r="C3" s="315" t="str">
        <f t="shared" si="0"/>
        <v>_Neo_1700_Cont_MedKeuze_1</v>
      </c>
      <c r="D3">
        <v>1</v>
      </c>
      <c r="E3" t="s">
        <v>5306</v>
      </c>
      <c r="F3" s="315" t="b">
        <f t="shared" si="1"/>
        <v>1</v>
      </c>
      <c r="H3" s="315" t="s">
        <v>5179</v>
      </c>
    </row>
    <row r="4" spans="1:8" x14ac:dyDescent="0.2">
      <c r="A4" s="315" t="str">
        <f t="shared" si="2"/>
        <v>_Neo_InfB_Cont_MedKeuze_2</v>
      </c>
      <c r="B4">
        <v>1</v>
      </c>
      <c r="C4" s="315" t="str">
        <f t="shared" si="0"/>
        <v>_Neo_1700_Cont_MedKeuze_2</v>
      </c>
      <c r="D4">
        <v>1</v>
      </c>
      <c r="E4" t="s">
        <v>5307</v>
      </c>
      <c r="F4" s="315" t="b">
        <f t="shared" si="1"/>
        <v>1</v>
      </c>
      <c r="H4" s="315" t="s">
        <v>5180</v>
      </c>
    </row>
    <row r="5" spans="1:8" x14ac:dyDescent="0.2">
      <c r="A5" s="315" t="str">
        <f t="shared" si="2"/>
        <v>_Neo_InfB_Cont_MedKeuze_3</v>
      </c>
      <c r="B5">
        <v>1</v>
      </c>
      <c r="C5" s="315" t="str">
        <f t="shared" si="0"/>
        <v>_Neo_1700_Cont_MedKeuze_3</v>
      </c>
      <c r="D5">
        <v>1</v>
      </c>
      <c r="E5" t="s">
        <v>5308</v>
      </c>
      <c r="F5" s="315" t="b">
        <f t="shared" si="1"/>
        <v>1</v>
      </c>
      <c r="H5" s="315" t="s">
        <v>5181</v>
      </c>
    </row>
    <row r="6" spans="1:8" x14ac:dyDescent="0.2">
      <c r="A6" s="315" t="str">
        <f t="shared" si="2"/>
        <v>_Neo_InfB_Cont_MedKeuze_4</v>
      </c>
      <c r="B6">
        <v>1</v>
      </c>
      <c r="C6" s="315" t="str">
        <f t="shared" si="0"/>
        <v>_Neo_1700_Cont_MedKeuze_4</v>
      </c>
      <c r="D6">
        <v>1</v>
      </c>
      <c r="E6" t="s">
        <v>5309</v>
      </c>
      <c r="F6" s="315" t="b">
        <f t="shared" si="1"/>
        <v>1</v>
      </c>
      <c r="H6" s="315" t="s">
        <v>5182</v>
      </c>
    </row>
    <row r="7" spans="1:8" x14ac:dyDescent="0.2">
      <c r="A7" s="315" t="str">
        <f t="shared" si="2"/>
        <v>_Neo_InfB_Cont_MedKeuze_5</v>
      </c>
      <c r="B7">
        <v>1</v>
      </c>
      <c r="C7" s="315" t="str">
        <f t="shared" si="0"/>
        <v>_Neo_1700_Cont_MedKeuze_5</v>
      </c>
      <c r="D7">
        <v>1</v>
      </c>
      <c r="E7" t="s">
        <v>5310</v>
      </c>
      <c r="F7" s="315" t="b">
        <f t="shared" si="1"/>
        <v>1</v>
      </c>
      <c r="H7" s="315" t="s">
        <v>5183</v>
      </c>
    </row>
    <row r="8" spans="1:8" x14ac:dyDescent="0.2">
      <c r="A8" s="315" t="str">
        <f t="shared" si="2"/>
        <v>_Neo_InfB_Cont_MedKeuze_6</v>
      </c>
      <c r="B8">
        <v>1</v>
      </c>
      <c r="C8" s="315" t="str">
        <f t="shared" si="0"/>
        <v>_Neo_1700_Cont_MedKeuze_6</v>
      </c>
      <c r="D8">
        <v>1</v>
      </c>
      <c r="E8" t="s">
        <v>5311</v>
      </c>
      <c r="F8" s="315" t="b">
        <f t="shared" si="1"/>
        <v>1</v>
      </c>
      <c r="H8" s="315" t="s">
        <v>5184</v>
      </c>
    </row>
    <row r="9" spans="1:8" x14ac:dyDescent="0.2">
      <c r="A9" s="315" t="str">
        <f t="shared" si="2"/>
        <v>_Neo_InfB_Cont_MedKeuze_7</v>
      </c>
      <c r="B9">
        <v>1</v>
      </c>
      <c r="C9" s="315" t="str">
        <f t="shared" si="0"/>
        <v>_Neo_1700_Cont_MedKeuze_7</v>
      </c>
      <c r="D9">
        <v>1</v>
      </c>
      <c r="E9" t="s">
        <v>5312</v>
      </c>
      <c r="F9" s="315" t="b">
        <f t="shared" si="1"/>
        <v>1</v>
      </c>
      <c r="H9" s="315" t="s">
        <v>5185</v>
      </c>
    </row>
    <row r="10" spans="1:8" x14ac:dyDescent="0.2">
      <c r="A10" s="315" t="str">
        <f t="shared" si="2"/>
        <v>_Neo_InfB_Cont_MedKeuze_8</v>
      </c>
      <c r="B10">
        <v>1</v>
      </c>
      <c r="C10" s="315" t="str">
        <f t="shared" si="0"/>
        <v>_Neo_1700_Cont_MedKeuze_8</v>
      </c>
      <c r="D10">
        <v>1</v>
      </c>
      <c r="E10" t="s">
        <v>5313</v>
      </c>
      <c r="F10" s="315" t="b">
        <f t="shared" si="1"/>
        <v>1</v>
      </c>
      <c r="H10" s="315" t="s">
        <v>5186</v>
      </c>
    </row>
    <row r="11" spans="1:8" x14ac:dyDescent="0.2">
      <c r="A11" s="315" t="str">
        <f t="shared" si="2"/>
        <v>_Neo_InfB_Cont_MedKeuze_9</v>
      </c>
      <c r="B11">
        <v>1</v>
      </c>
      <c r="C11" s="315" t="str">
        <f t="shared" si="0"/>
        <v>_Neo_1700_Cont_MedKeuze_9</v>
      </c>
      <c r="D11">
        <v>1</v>
      </c>
      <c r="E11" t="s">
        <v>5314</v>
      </c>
      <c r="F11" s="315" t="b">
        <f t="shared" si="1"/>
        <v>1</v>
      </c>
      <c r="H11" s="315" t="s">
        <v>5187</v>
      </c>
    </row>
    <row r="12" spans="1:8" x14ac:dyDescent="0.2">
      <c r="A12" s="315" t="str">
        <f t="shared" si="2"/>
        <v>_Neo_InfB_Cont_MedSterkte_1</v>
      </c>
      <c r="B12">
        <v>0</v>
      </c>
      <c r="C12" s="315" t="str">
        <f t="shared" si="0"/>
        <v>_Neo_1700_Cont_MedSterkte_1</v>
      </c>
      <c r="D12">
        <v>0</v>
      </c>
      <c r="E12" t="s">
        <v>5315</v>
      </c>
      <c r="F12" s="315" t="b">
        <f t="shared" si="1"/>
        <v>1</v>
      </c>
      <c r="G12" s="315"/>
      <c r="H12" s="315" t="s">
        <v>5188</v>
      </c>
    </row>
    <row r="13" spans="1:8" x14ac:dyDescent="0.2">
      <c r="A13" s="315" t="str">
        <f t="shared" si="2"/>
        <v>_Neo_InfB_Cont_MedSterkte_2</v>
      </c>
      <c r="B13">
        <v>0</v>
      </c>
      <c r="C13" s="315" t="str">
        <f t="shared" si="0"/>
        <v>_Neo_1700_Cont_MedSterkte_2</v>
      </c>
      <c r="D13">
        <v>0</v>
      </c>
      <c r="E13" t="s">
        <v>5316</v>
      </c>
      <c r="F13" s="315" t="b">
        <f t="shared" si="1"/>
        <v>1</v>
      </c>
      <c r="G13" s="315"/>
      <c r="H13" s="315" t="s">
        <v>5189</v>
      </c>
    </row>
    <row r="14" spans="1:8" x14ac:dyDescent="0.2">
      <c r="A14" s="315" t="str">
        <f t="shared" si="2"/>
        <v>_Neo_InfB_Cont_MedSterkte_3</v>
      </c>
      <c r="B14">
        <v>0</v>
      </c>
      <c r="C14" s="315" t="str">
        <f t="shared" si="0"/>
        <v>_Neo_1700_Cont_MedSterkte_3</v>
      </c>
      <c r="D14">
        <v>0</v>
      </c>
      <c r="E14" t="s">
        <v>5317</v>
      </c>
      <c r="F14" s="315" t="b">
        <f t="shared" si="1"/>
        <v>1</v>
      </c>
      <c r="G14" s="315"/>
      <c r="H14" s="315" t="s">
        <v>5190</v>
      </c>
    </row>
    <row r="15" spans="1:8" x14ac:dyDescent="0.2">
      <c r="A15" s="315" t="str">
        <f t="shared" si="2"/>
        <v>_Neo_InfB_Cont_MedSterkte_4</v>
      </c>
      <c r="B15">
        <v>0</v>
      </c>
      <c r="C15" s="315" t="str">
        <f t="shared" si="0"/>
        <v>_Neo_1700_Cont_MedSterkte_4</v>
      </c>
      <c r="D15">
        <v>0</v>
      </c>
      <c r="E15" t="s">
        <v>5318</v>
      </c>
      <c r="F15" s="315" t="b">
        <f t="shared" si="1"/>
        <v>1</v>
      </c>
      <c r="G15" s="315"/>
      <c r="H15" s="315" t="s">
        <v>5191</v>
      </c>
    </row>
    <row r="16" spans="1:8" x14ac:dyDescent="0.2">
      <c r="A16" s="315" t="str">
        <f t="shared" si="2"/>
        <v>_Neo_InfB_Cont_MedSterkte_5</v>
      </c>
      <c r="B16">
        <v>0</v>
      </c>
      <c r="C16" s="315" t="str">
        <f t="shared" si="0"/>
        <v>_Neo_1700_Cont_MedSterkte_5</v>
      </c>
      <c r="D16">
        <v>0</v>
      </c>
      <c r="E16" t="s">
        <v>5319</v>
      </c>
      <c r="F16" s="315" t="b">
        <f t="shared" si="1"/>
        <v>1</v>
      </c>
      <c r="G16" s="315"/>
      <c r="H16" s="315" t="s">
        <v>5192</v>
      </c>
    </row>
    <row r="17" spans="1:8" x14ac:dyDescent="0.2">
      <c r="A17" s="315" t="str">
        <f t="shared" si="2"/>
        <v>_Neo_InfB_Cont_MedSterkte_6</v>
      </c>
      <c r="B17">
        <v>0</v>
      </c>
      <c r="C17" s="315" t="str">
        <f t="shared" si="0"/>
        <v>_Neo_1700_Cont_MedSterkte_6</v>
      </c>
      <c r="D17">
        <v>0</v>
      </c>
      <c r="E17" t="s">
        <v>5320</v>
      </c>
      <c r="F17" s="315" t="b">
        <f t="shared" si="1"/>
        <v>1</v>
      </c>
      <c r="G17" s="315"/>
      <c r="H17" s="315" t="s">
        <v>5193</v>
      </c>
    </row>
    <row r="18" spans="1:8" x14ac:dyDescent="0.2">
      <c r="A18" s="315" t="str">
        <f t="shared" si="2"/>
        <v>_Neo_InfB_Cont_MedSterkte_7</v>
      </c>
      <c r="B18">
        <v>0</v>
      </c>
      <c r="C18" s="315" t="str">
        <f t="shared" si="0"/>
        <v>_Neo_1700_Cont_MedSterkte_7</v>
      </c>
      <c r="D18">
        <v>0</v>
      </c>
      <c r="E18" t="s">
        <v>5321</v>
      </c>
      <c r="F18" s="315" t="b">
        <f t="shared" si="1"/>
        <v>1</v>
      </c>
      <c r="G18" s="315"/>
      <c r="H18" s="315" t="s">
        <v>5194</v>
      </c>
    </row>
    <row r="19" spans="1:8" x14ac:dyDescent="0.2">
      <c r="A19" s="315" t="str">
        <f t="shared" si="2"/>
        <v>_Neo_InfB_Cont_MedSterkte_8</v>
      </c>
      <c r="B19">
        <v>0</v>
      </c>
      <c r="C19" s="315" t="str">
        <f t="shared" si="0"/>
        <v>_Neo_1700_Cont_MedSterkte_8</v>
      </c>
      <c r="D19">
        <v>0</v>
      </c>
      <c r="E19" t="s">
        <v>5322</v>
      </c>
      <c r="F19" s="315" t="b">
        <f t="shared" si="1"/>
        <v>1</v>
      </c>
      <c r="G19" s="315"/>
      <c r="H19" s="315" t="s">
        <v>5195</v>
      </c>
    </row>
    <row r="20" spans="1:8" x14ac:dyDescent="0.2">
      <c r="A20" s="315" t="str">
        <f t="shared" si="2"/>
        <v>_Neo_InfB_Cont_MedSterkte_9</v>
      </c>
      <c r="B20">
        <v>0</v>
      </c>
      <c r="C20" s="315" t="str">
        <f t="shared" si="0"/>
        <v>_Neo_1700_Cont_MedSterkte_9</v>
      </c>
      <c r="D20">
        <v>0</v>
      </c>
      <c r="E20" t="s">
        <v>5323</v>
      </c>
      <c r="F20" s="315" t="b">
        <f t="shared" si="1"/>
        <v>1</v>
      </c>
      <c r="G20" s="315"/>
      <c r="H20" s="315" t="s">
        <v>5196</v>
      </c>
    </row>
    <row r="21" spans="1:8" x14ac:dyDescent="0.2">
      <c r="A21" s="315" t="str">
        <f t="shared" si="2"/>
        <v>_Neo_InfB_Cont_MedTekst_1</v>
      </c>
      <c r="C21" s="315" t="str">
        <f t="shared" si="0"/>
        <v>_Neo_1700_Cont_MedTekst_1</v>
      </c>
      <c r="E21" t="s">
        <v>5324</v>
      </c>
      <c r="F21" s="315" t="b">
        <f t="shared" si="1"/>
        <v>1</v>
      </c>
      <c r="G21" s="315"/>
      <c r="H21" s="315" t="s">
        <v>5197</v>
      </c>
    </row>
    <row r="22" spans="1:8" x14ac:dyDescent="0.2">
      <c r="A22" s="315" t="str">
        <f t="shared" si="2"/>
        <v>_Neo_InfB_Cont_MedTekst_2</v>
      </c>
      <c r="C22" s="315" t="str">
        <f t="shared" si="0"/>
        <v>_Neo_1700_Cont_MedTekst_2</v>
      </c>
      <c r="E22" t="s">
        <v>5325</v>
      </c>
      <c r="F22" s="315" t="b">
        <f t="shared" si="1"/>
        <v>1</v>
      </c>
      <c r="G22" s="315"/>
      <c r="H22" s="315" t="s">
        <v>5198</v>
      </c>
    </row>
    <row r="23" spans="1:8" x14ac:dyDescent="0.2">
      <c r="A23" s="315" t="str">
        <f t="shared" si="2"/>
        <v>_Neo_InfB_Cont_OplHoev_1</v>
      </c>
      <c r="B23">
        <v>0</v>
      </c>
      <c r="C23" s="315" t="str">
        <f t="shared" si="0"/>
        <v>_Neo_1700_Cont_OplHoev_1</v>
      </c>
      <c r="D23">
        <v>0</v>
      </c>
      <c r="E23" t="s">
        <v>5326</v>
      </c>
      <c r="F23" s="315" t="b">
        <f t="shared" si="1"/>
        <v>1</v>
      </c>
      <c r="H23" s="315" t="s">
        <v>5199</v>
      </c>
    </row>
    <row r="24" spans="1:8" x14ac:dyDescent="0.2">
      <c r="A24" s="315" t="str">
        <f t="shared" si="2"/>
        <v>_Neo_InfB_Cont_OplHoev_2</v>
      </c>
      <c r="B24">
        <v>0</v>
      </c>
      <c r="C24" s="315" t="str">
        <f t="shared" si="0"/>
        <v>_Neo_1700_Cont_OplHoev_2</v>
      </c>
      <c r="D24">
        <v>0</v>
      </c>
      <c r="E24" t="s">
        <v>5327</v>
      </c>
      <c r="F24" s="315" t="b">
        <f t="shared" si="1"/>
        <v>1</v>
      </c>
      <c r="H24" s="315" t="s">
        <v>5200</v>
      </c>
    </row>
    <row r="25" spans="1:8" x14ac:dyDescent="0.2">
      <c r="A25" s="315" t="str">
        <f t="shared" si="2"/>
        <v>_Neo_InfB_Cont_OplHoev_3</v>
      </c>
      <c r="B25">
        <v>0</v>
      </c>
      <c r="C25" s="315" t="str">
        <f t="shared" si="0"/>
        <v>_Neo_1700_Cont_OplHoev_3</v>
      </c>
      <c r="D25">
        <v>0</v>
      </c>
      <c r="E25" t="s">
        <v>5328</v>
      </c>
      <c r="F25" s="315" t="b">
        <f t="shared" si="1"/>
        <v>1</v>
      </c>
      <c r="H25" s="315" t="s">
        <v>5201</v>
      </c>
    </row>
    <row r="26" spans="1:8" x14ac:dyDescent="0.2">
      <c r="A26" s="315" t="str">
        <f t="shared" si="2"/>
        <v>_Neo_InfB_Cont_OplHoev_4</v>
      </c>
      <c r="B26">
        <v>0</v>
      </c>
      <c r="C26" s="315" t="str">
        <f t="shared" si="0"/>
        <v>_Neo_1700_Cont_OplHoev_4</v>
      </c>
      <c r="D26">
        <v>0</v>
      </c>
      <c r="E26" t="s">
        <v>5329</v>
      </c>
      <c r="F26" s="315" t="b">
        <f t="shared" si="1"/>
        <v>1</v>
      </c>
      <c r="H26" s="315" t="s">
        <v>5202</v>
      </c>
    </row>
    <row r="27" spans="1:8" x14ac:dyDescent="0.2">
      <c r="A27" s="315" t="str">
        <f t="shared" si="2"/>
        <v>_Neo_InfB_Cont_OplHoev_5</v>
      </c>
      <c r="B27">
        <v>0</v>
      </c>
      <c r="C27" s="315" t="str">
        <f t="shared" si="0"/>
        <v>_Neo_1700_Cont_OplHoev_5</v>
      </c>
      <c r="D27">
        <v>0</v>
      </c>
      <c r="E27" t="s">
        <v>5330</v>
      </c>
      <c r="F27" s="315" t="b">
        <f t="shared" si="1"/>
        <v>1</v>
      </c>
      <c r="H27" s="315" t="s">
        <v>5203</v>
      </c>
    </row>
    <row r="28" spans="1:8" x14ac:dyDescent="0.2">
      <c r="A28" s="315" t="str">
        <f t="shared" si="2"/>
        <v>_Neo_InfB_Cont_OplHoev_6</v>
      </c>
      <c r="B28">
        <v>0</v>
      </c>
      <c r="C28" s="315" t="str">
        <f t="shared" si="0"/>
        <v>_Neo_1700_Cont_OplHoev_6</v>
      </c>
      <c r="D28">
        <v>0</v>
      </c>
      <c r="E28" t="s">
        <v>5331</v>
      </c>
      <c r="F28" s="315" t="b">
        <f t="shared" si="1"/>
        <v>1</v>
      </c>
      <c r="H28" s="315" t="s">
        <v>5204</v>
      </c>
    </row>
    <row r="29" spans="1:8" x14ac:dyDescent="0.2">
      <c r="A29" s="315" t="str">
        <f t="shared" si="2"/>
        <v>_Neo_InfB_Cont_OplHoev_7</v>
      </c>
      <c r="B29">
        <v>0</v>
      </c>
      <c r="C29" s="315" t="str">
        <f t="shared" si="0"/>
        <v>_Neo_1700_Cont_OplHoev_7</v>
      </c>
      <c r="D29">
        <v>0</v>
      </c>
      <c r="E29" t="s">
        <v>5332</v>
      </c>
      <c r="F29" s="315" t="b">
        <f t="shared" si="1"/>
        <v>1</v>
      </c>
      <c r="H29" s="315" t="s">
        <v>5205</v>
      </c>
    </row>
    <row r="30" spans="1:8" x14ac:dyDescent="0.2">
      <c r="A30" s="315" t="str">
        <f t="shared" si="2"/>
        <v>_Neo_InfB_Cont_OplHoev_8</v>
      </c>
      <c r="B30">
        <v>0</v>
      </c>
      <c r="C30" s="315" t="str">
        <f t="shared" si="0"/>
        <v>_Neo_1700_Cont_OplHoev_8</v>
      </c>
      <c r="D30">
        <v>0</v>
      </c>
      <c r="E30" t="s">
        <v>5333</v>
      </c>
      <c r="F30" s="315" t="b">
        <f t="shared" si="1"/>
        <v>1</v>
      </c>
      <c r="H30" s="315" t="s">
        <v>5206</v>
      </c>
    </row>
    <row r="31" spans="1:8" x14ac:dyDescent="0.2">
      <c r="A31" s="315" t="str">
        <f t="shared" si="2"/>
        <v>_Neo_InfB_Cont_OplHoev_9</v>
      </c>
      <c r="B31">
        <v>0</v>
      </c>
      <c r="C31" s="315" t="str">
        <f t="shared" si="0"/>
        <v>_Neo_1700_Cont_OplHoev_9</v>
      </c>
      <c r="D31">
        <v>0</v>
      </c>
      <c r="E31" t="s">
        <v>5334</v>
      </c>
      <c r="F31" s="315" t="b">
        <f t="shared" si="1"/>
        <v>1</v>
      </c>
      <c r="H31" s="315" t="s">
        <v>5207</v>
      </c>
    </row>
    <row r="32" spans="1:8" x14ac:dyDescent="0.2">
      <c r="A32" s="315" t="str">
        <f t="shared" si="2"/>
        <v>_Neo_InfB_Cont_Oplossing_01</v>
      </c>
      <c r="B32">
        <v>1</v>
      </c>
      <c r="C32" s="315" t="str">
        <f t="shared" si="0"/>
        <v>_Neo_1700_Cont_Oplossing_01</v>
      </c>
      <c r="D32">
        <v>1</v>
      </c>
      <c r="E32" t="s">
        <v>5335</v>
      </c>
      <c r="F32" s="315" t="b">
        <f t="shared" si="1"/>
        <v>1</v>
      </c>
      <c r="H32" s="315" t="s">
        <v>5208</v>
      </c>
    </row>
    <row r="33" spans="1:8" x14ac:dyDescent="0.2">
      <c r="A33" s="315" t="str">
        <f t="shared" si="2"/>
        <v>_Neo_InfB_Cont_Oplossing_02</v>
      </c>
      <c r="B33">
        <v>1</v>
      </c>
      <c r="C33" s="315" t="str">
        <f t="shared" si="0"/>
        <v>_Neo_1700_Cont_Oplossing_02</v>
      </c>
      <c r="D33">
        <v>1</v>
      </c>
      <c r="E33" t="s">
        <v>5336</v>
      </c>
      <c r="F33" s="315" t="b">
        <f t="shared" si="1"/>
        <v>1</v>
      </c>
      <c r="H33" s="315" t="s">
        <v>5209</v>
      </c>
    </row>
    <row r="34" spans="1:8" x14ac:dyDescent="0.2">
      <c r="A34" s="315" t="str">
        <f t="shared" si="2"/>
        <v>_Neo_InfB_Cont_Oplossing_03</v>
      </c>
      <c r="B34">
        <v>1</v>
      </c>
      <c r="C34" s="315" t="str">
        <f t="shared" ref="C34:C65" si="3">REPLACE(A34,6,4,"1700")</f>
        <v>_Neo_1700_Cont_Oplossing_03</v>
      </c>
      <c r="D34">
        <v>1</v>
      </c>
      <c r="E34" t="s">
        <v>5337</v>
      </c>
      <c r="F34" s="315" t="b">
        <f t="shared" ref="F34:F65" si="4">"Var"&amp;A34=E34</f>
        <v>1</v>
      </c>
      <c r="H34" s="315" t="s">
        <v>5210</v>
      </c>
    </row>
    <row r="35" spans="1:8" x14ac:dyDescent="0.2">
      <c r="A35" s="315" t="str">
        <f t="shared" si="2"/>
        <v>_Neo_InfB_Cont_Oplossing_04</v>
      </c>
      <c r="B35">
        <v>1</v>
      </c>
      <c r="C35" s="315" t="str">
        <f t="shared" si="3"/>
        <v>_Neo_1700_Cont_Oplossing_04</v>
      </c>
      <c r="D35">
        <v>1</v>
      </c>
      <c r="E35" t="s">
        <v>5338</v>
      </c>
      <c r="F35" s="315" t="b">
        <f t="shared" si="4"/>
        <v>1</v>
      </c>
      <c r="H35" s="315" t="s">
        <v>5211</v>
      </c>
    </row>
    <row r="36" spans="1:8" x14ac:dyDescent="0.2">
      <c r="A36" s="315" t="str">
        <f t="shared" si="2"/>
        <v>_Neo_InfB_Cont_Oplossing_05</v>
      </c>
      <c r="B36">
        <v>1</v>
      </c>
      <c r="C36" s="315" t="str">
        <f t="shared" si="3"/>
        <v>_Neo_1700_Cont_Oplossing_05</v>
      </c>
      <c r="D36">
        <v>1</v>
      </c>
      <c r="E36" t="s">
        <v>5339</v>
      </c>
      <c r="F36" s="315" t="b">
        <f t="shared" si="4"/>
        <v>1</v>
      </c>
      <c r="H36" s="315" t="s">
        <v>5212</v>
      </c>
    </row>
    <row r="37" spans="1:8" x14ac:dyDescent="0.2">
      <c r="A37" s="315" t="str">
        <f t="shared" si="2"/>
        <v>_Neo_InfB_Cont_Oplossing_06</v>
      </c>
      <c r="B37">
        <v>1</v>
      </c>
      <c r="C37" s="315" t="str">
        <f t="shared" si="3"/>
        <v>_Neo_1700_Cont_Oplossing_06</v>
      </c>
      <c r="D37">
        <v>1</v>
      </c>
      <c r="E37" t="s">
        <v>5340</v>
      </c>
      <c r="F37" s="315" t="b">
        <f t="shared" si="4"/>
        <v>1</v>
      </c>
      <c r="H37" s="315" t="s">
        <v>5213</v>
      </c>
    </row>
    <row r="38" spans="1:8" x14ac:dyDescent="0.2">
      <c r="A38" s="315" t="str">
        <f t="shared" si="2"/>
        <v>_Neo_InfB_Cont_Oplossing_07</v>
      </c>
      <c r="B38">
        <v>1</v>
      </c>
      <c r="C38" s="315" t="str">
        <f t="shared" si="3"/>
        <v>_Neo_1700_Cont_Oplossing_07</v>
      </c>
      <c r="D38">
        <v>1</v>
      </c>
      <c r="E38" t="s">
        <v>5341</v>
      </c>
      <c r="F38" s="315" t="b">
        <f t="shared" si="4"/>
        <v>1</v>
      </c>
      <c r="H38" s="315" t="s">
        <v>5214</v>
      </c>
    </row>
    <row r="39" spans="1:8" x14ac:dyDescent="0.2">
      <c r="A39" s="315" t="str">
        <f t="shared" si="2"/>
        <v>_Neo_InfB_Cont_Oplossing_08</v>
      </c>
      <c r="B39">
        <v>1</v>
      </c>
      <c r="C39" s="315" t="str">
        <f t="shared" si="3"/>
        <v>_Neo_1700_Cont_Oplossing_08</v>
      </c>
      <c r="D39">
        <v>1</v>
      </c>
      <c r="E39" t="s">
        <v>5342</v>
      </c>
      <c r="F39" s="315" t="b">
        <f t="shared" si="4"/>
        <v>1</v>
      </c>
      <c r="H39" s="315" t="s">
        <v>5215</v>
      </c>
    </row>
    <row r="40" spans="1:8" x14ac:dyDescent="0.2">
      <c r="A40" s="315" t="str">
        <f t="shared" si="2"/>
        <v>_Neo_InfB_Cont_Oplossing_09</v>
      </c>
      <c r="B40">
        <v>1</v>
      </c>
      <c r="C40" s="315" t="str">
        <f t="shared" si="3"/>
        <v>_Neo_1700_Cont_Oplossing_09</v>
      </c>
      <c r="D40">
        <v>1</v>
      </c>
      <c r="E40" t="s">
        <v>5343</v>
      </c>
      <c r="F40" s="315" t="b">
        <f t="shared" si="4"/>
        <v>1</v>
      </c>
      <c r="H40" s="315" t="s">
        <v>5216</v>
      </c>
    </row>
    <row r="41" spans="1:8" x14ac:dyDescent="0.2">
      <c r="A41" s="315" t="str">
        <f t="shared" si="2"/>
        <v>_Neo_InfB_Cont_Oplossing_10</v>
      </c>
      <c r="B41">
        <v>0</v>
      </c>
      <c r="C41" s="315" t="str">
        <f t="shared" si="3"/>
        <v>_Neo_1700_Cont_Oplossing_10</v>
      </c>
      <c r="D41">
        <v>0</v>
      </c>
      <c r="E41" t="s">
        <v>5344</v>
      </c>
      <c r="F41" s="315" t="b">
        <f t="shared" si="4"/>
        <v>1</v>
      </c>
      <c r="H41" s="315" t="s">
        <v>5217</v>
      </c>
    </row>
    <row r="42" spans="1:8" x14ac:dyDescent="0.2">
      <c r="A42" s="315" t="str">
        <f t="shared" si="2"/>
        <v>_Neo_InfB_Cont_Oplossing_11</v>
      </c>
      <c r="B42">
        <v>0</v>
      </c>
      <c r="C42" s="315" t="str">
        <f t="shared" si="3"/>
        <v>_Neo_1700_Cont_Oplossing_11</v>
      </c>
      <c r="D42">
        <v>0</v>
      </c>
      <c r="E42" t="s">
        <v>5345</v>
      </c>
      <c r="F42" s="315" t="b">
        <f t="shared" si="4"/>
        <v>1</v>
      </c>
      <c r="H42" s="315" t="s">
        <v>5218</v>
      </c>
    </row>
    <row r="43" spans="1:8" x14ac:dyDescent="0.2">
      <c r="A43" s="315" t="str">
        <f t="shared" si="2"/>
        <v>_Neo_InfB_Cont_Oplossing_12</v>
      </c>
      <c r="B43">
        <v>0</v>
      </c>
      <c r="C43" s="315" t="str">
        <f t="shared" si="3"/>
        <v>_Neo_1700_Cont_Oplossing_12</v>
      </c>
      <c r="D43">
        <v>0</v>
      </c>
      <c r="E43" t="s">
        <v>5346</v>
      </c>
      <c r="F43" s="315" t="b">
        <f t="shared" si="4"/>
        <v>1</v>
      </c>
      <c r="H43" s="315" t="s">
        <v>5219</v>
      </c>
    </row>
    <row r="44" spans="1:8" x14ac:dyDescent="0.2">
      <c r="A44" s="315" t="str">
        <f t="shared" si="2"/>
        <v>_Neo_InfB_Cont_Stand_01</v>
      </c>
      <c r="B44">
        <v>0</v>
      </c>
      <c r="C44" s="315" t="str">
        <f t="shared" si="3"/>
        <v>_Neo_1700_Cont_Stand_01</v>
      </c>
      <c r="D44">
        <v>0</v>
      </c>
      <c r="E44" t="s">
        <v>5347</v>
      </c>
      <c r="F44" s="315" t="b">
        <f t="shared" si="4"/>
        <v>1</v>
      </c>
      <c r="H44" s="315" t="s">
        <v>5220</v>
      </c>
    </row>
    <row r="45" spans="1:8" x14ac:dyDescent="0.2">
      <c r="A45" s="315" t="str">
        <f t="shared" si="2"/>
        <v>_Neo_InfB_Cont_Stand_02</v>
      </c>
      <c r="B45">
        <v>0</v>
      </c>
      <c r="C45" s="315" t="str">
        <f t="shared" si="3"/>
        <v>_Neo_1700_Cont_Stand_02</v>
      </c>
      <c r="D45">
        <v>0</v>
      </c>
      <c r="E45" t="s">
        <v>5348</v>
      </c>
      <c r="F45" s="315" t="b">
        <f t="shared" si="4"/>
        <v>1</v>
      </c>
      <c r="H45" s="315" t="s">
        <v>5221</v>
      </c>
    </row>
    <row r="46" spans="1:8" x14ac:dyDescent="0.2">
      <c r="A46" s="315" t="str">
        <f t="shared" si="2"/>
        <v>_Neo_InfB_Cont_Stand_03</v>
      </c>
      <c r="B46">
        <v>0</v>
      </c>
      <c r="C46" s="315" t="str">
        <f t="shared" si="3"/>
        <v>_Neo_1700_Cont_Stand_03</v>
      </c>
      <c r="D46">
        <v>0</v>
      </c>
      <c r="E46" t="s">
        <v>5349</v>
      </c>
      <c r="F46" s="315" t="b">
        <f t="shared" si="4"/>
        <v>1</v>
      </c>
      <c r="H46" s="315" t="s">
        <v>5222</v>
      </c>
    </row>
    <row r="47" spans="1:8" x14ac:dyDescent="0.2">
      <c r="A47" s="315" t="str">
        <f t="shared" si="2"/>
        <v>_Neo_InfB_Cont_Stand_04</v>
      </c>
      <c r="B47">
        <v>0</v>
      </c>
      <c r="C47" s="315" t="str">
        <f t="shared" si="3"/>
        <v>_Neo_1700_Cont_Stand_04</v>
      </c>
      <c r="D47">
        <v>0</v>
      </c>
      <c r="E47" t="s">
        <v>5350</v>
      </c>
      <c r="F47" s="315" t="b">
        <f t="shared" si="4"/>
        <v>1</v>
      </c>
      <c r="H47" s="315" t="s">
        <v>5223</v>
      </c>
    </row>
    <row r="48" spans="1:8" x14ac:dyDescent="0.2">
      <c r="A48" s="315" t="str">
        <f t="shared" si="2"/>
        <v>_Neo_InfB_Cont_Stand_05</v>
      </c>
      <c r="B48">
        <v>0</v>
      </c>
      <c r="C48" s="315" t="str">
        <f t="shared" si="3"/>
        <v>_Neo_1700_Cont_Stand_05</v>
      </c>
      <c r="D48">
        <v>0</v>
      </c>
      <c r="E48" t="s">
        <v>5351</v>
      </c>
      <c r="F48" s="315" t="b">
        <f t="shared" si="4"/>
        <v>1</v>
      </c>
      <c r="H48" s="315" t="s">
        <v>5224</v>
      </c>
    </row>
    <row r="49" spans="1:8" x14ac:dyDescent="0.2">
      <c r="A49" s="315" t="str">
        <f t="shared" si="2"/>
        <v>_Neo_InfB_Cont_Stand_06</v>
      </c>
      <c r="B49">
        <v>0</v>
      </c>
      <c r="C49" s="315" t="str">
        <f t="shared" si="3"/>
        <v>_Neo_1700_Cont_Stand_06</v>
      </c>
      <c r="D49">
        <v>0</v>
      </c>
      <c r="E49" t="s">
        <v>5352</v>
      </c>
      <c r="F49" s="315" t="b">
        <f t="shared" si="4"/>
        <v>1</v>
      </c>
      <c r="H49" s="315" t="s">
        <v>5225</v>
      </c>
    </row>
    <row r="50" spans="1:8" x14ac:dyDescent="0.2">
      <c r="A50" s="315" t="str">
        <f t="shared" si="2"/>
        <v>_Neo_InfB_Cont_Stand_07</v>
      </c>
      <c r="B50">
        <v>0</v>
      </c>
      <c r="C50" s="315" t="str">
        <f t="shared" si="3"/>
        <v>_Neo_1700_Cont_Stand_07</v>
      </c>
      <c r="D50">
        <v>0</v>
      </c>
      <c r="E50" t="s">
        <v>5353</v>
      </c>
      <c r="F50" s="315" t="b">
        <f t="shared" si="4"/>
        <v>1</v>
      </c>
      <c r="H50" s="315" t="s">
        <v>5226</v>
      </c>
    </row>
    <row r="51" spans="1:8" x14ac:dyDescent="0.2">
      <c r="A51" s="315" t="str">
        <f t="shared" si="2"/>
        <v>_Neo_InfB_Cont_Stand_08</v>
      </c>
      <c r="B51">
        <v>0</v>
      </c>
      <c r="C51" s="315" t="str">
        <f t="shared" si="3"/>
        <v>_Neo_1700_Cont_Stand_08</v>
      </c>
      <c r="D51">
        <v>0</v>
      </c>
      <c r="E51" t="s">
        <v>5354</v>
      </c>
      <c r="F51" s="315" t="b">
        <f t="shared" si="4"/>
        <v>1</v>
      </c>
      <c r="H51" s="315" t="s">
        <v>5227</v>
      </c>
    </row>
    <row r="52" spans="1:8" x14ac:dyDescent="0.2">
      <c r="A52" s="315" t="str">
        <f t="shared" si="2"/>
        <v>_Neo_InfB_Cont_Stand_09</v>
      </c>
      <c r="B52">
        <v>0</v>
      </c>
      <c r="C52" s="315" t="str">
        <f t="shared" si="3"/>
        <v>_Neo_1700_Cont_Stand_09</v>
      </c>
      <c r="D52">
        <v>0</v>
      </c>
      <c r="E52" t="s">
        <v>5355</v>
      </c>
      <c r="F52" s="315" t="b">
        <f t="shared" si="4"/>
        <v>1</v>
      </c>
      <c r="H52" s="315" t="s">
        <v>5228</v>
      </c>
    </row>
    <row r="53" spans="1:8" x14ac:dyDescent="0.2">
      <c r="A53" s="315" t="str">
        <f t="shared" si="2"/>
        <v>_Neo_InfB_Cont_Stand_10</v>
      </c>
      <c r="B53">
        <v>0</v>
      </c>
      <c r="C53" s="315" t="str">
        <f t="shared" si="3"/>
        <v>_Neo_1700_Cont_Stand_10</v>
      </c>
      <c r="D53">
        <v>0</v>
      </c>
      <c r="E53" t="s">
        <v>5356</v>
      </c>
      <c r="F53" s="315" t="b">
        <f t="shared" si="4"/>
        <v>1</v>
      </c>
      <c r="H53" s="315" t="s">
        <v>5229</v>
      </c>
    </row>
    <row r="54" spans="1:8" x14ac:dyDescent="0.2">
      <c r="A54" s="315" t="str">
        <f t="shared" si="2"/>
        <v>_Neo_InfB_Cont_Stand_11</v>
      </c>
      <c r="B54">
        <v>0</v>
      </c>
      <c r="C54" s="315" t="str">
        <f t="shared" si="3"/>
        <v>_Neo_1700_Cont_Stand_11</v>
      </c>
      <c r="D54">
        <v>0</v>
      </c>
      <c r="E54" t="s">
        <v>5357</v>
      </c>
      <c r="F54" s="315" t="b">
        <f t="shared" si="4"/>
        <v>1</v>
      </c>
      <c r="H54" s="315" t="s">
        <v>5230</v>
      </c>
    </row>
    <row r="55" spans="1:8" x14ac:dyDescent="0.2">
      <c r="A55" s="315" t="str">
        <f t="shared" si="2"/>
        <v>_Neo_InfB_Cont_Stand_12</v>
      </c>
      <c r="B55">
        <v>0</v>
      </c>
      <c r="C55" s="315" t="str">
        <f t="shared" si="3"/>
        <v>_Neo_1700_Cont_Stand_12</v>
      </c>
      <c r="D55">
        <v>0</v>
      </c>
      <c r="E55" t="s">
        <v>5358</v>
      </c>
      <c r="F55" s="315" t="b">
        <f t="shared" si="4"/>
        <v>1</v>
      </c>
      <c r="H55" s="315" t="s">
        <v>5231</v>
      </c>
    </row>
    <row r="56" spans="1:8" x14ac:dyDescent="0.2">
      <c r="A56" s="315" t="str">
        <f t="shared" si="2"/>
        <v>_Neo_InfB_Cont_VochtExtra_01</v>
      </c>
      <c r="B56">
        <v>0</v>
      </c>
      <c r="C56" s="315" t="str">
        <f t="shared" si="3"/>
        <v>_Neo_1700_Cont_VochtExtra_01</v>
      </c>
      <c r="D56">
        <v>0</v>
      </c>
      <c r="E56" t="s">
        <v>5359</v>
      </c>
      <c r="F56" s="315" t="b">
        <f t="shared" si="4"/>
        <v>1</v>
      </c>
      <c r="H56" s="315" t="s">
        <v>5232</v>
      </c>
    </row>
    <row r="57" spans="1:8" x14ac:dyDescent="0.2">
      <c r="A57" s="315" t="str">
        <f t="shared" si="2"/>
        <v>_Neo_InfB_Cont_VochtExtra_02</v>
      </c>
      <c r="B57">
        <v>0</v>
      </c>
      <c r="C57" s="315" t="str">
        <f t="shared" si="3"/>
        <v>_Neo_1700_Cont_VochtExtra_02</v>
      </c>
      <c r="D57">
        <v>0</v>
      </c>
      <c r="E57" t="s">
        <v>5360</v>
      </c>
      <c r="F57" s="315" t="b">
        <f t="shared" si="4"/>
        <v>1</v>
      </c>
      <c r="H57" s="315" t="s">
        <v>5233</v>
      </c>
    </row>
    <row r="58" spans="1:8" x14ac:dyDescent="0.2">
      <c r="A58" s="315" t="str">
        <f t="shared" si="2"/>
        <v>_Neo_InfB_Cont_VochtExtra_03</v>
      </c>
      <c r="B58">
        <v>0</v>
      </c>
      <c r="C58" s="315" t="str">
        <f t="shared" si="3"/>
        <v>_Neo_1700_Cont_VochtExtra_03</v>
      </c>
      <c r="D58">
        <v>0</v>
      </c>
      <c r="E58" t="s">
        <v>5361</v>
      </c>
      <c r="F58" s="315" t="b">
        <f t="shared" si="4"/>
        <v>1</v>
      </c>
      <c r="H58" s="315" t="s">
        <v>5234</v>
      </c>
    </row>
    <row r="59" spans="1:8" x14ac:dyDescent="0.2">
      <c r="A59" s="315" t="str">
        <f t="shared" si="2"/>
        <v>_Neo_InfB_Cont_VochtExtra_04</v>
      </c>
      <c r="B59">
        <v>0</v>
      </c>
      <c r="C59" s="315" t="str">
        <f t="shared" si="3"/>
        <v>_Neo_1700_Cont_VochtExtra_04</v>
      </c>
      <c r="D59">
        <v>0</v>
      </c>
      <c r="E59" t="s">
        <v>5362</v>
      </c>
      <c r="F59" s="315" t="b">
        <f t="shared" si="4"/>
        <v>1</v>
      </c>
      <c r="H59" s="315" t="s">
        <v>5235</v>
      </c>
    </row>
    <row r="60" spans="1:8" x14ac:dyDescent="0.2">
      <c r="A60" s="315" t="str">
        <f t="shared" si="2"/>
        <v>_Neo_InfB_Cont_VochtExtra_05</v>
      </c>
      <c r="B60">
        <v>0</v>
      </c>
      <c r="C60" s="315" t="str">
        <f t="shared" si="3"/>
        <v>_Neo_1700_Cont_VochtExtra_05</v>
      </c>
      <c r="D60">
        <v>0</v>
      </c>
      <c r="E60" t="s">
        <v>5363</v>
      </c>
      <c r="F60" s="315" t="b">
        <f t="shared" si="4"/>
        <v>1</v>
      </c>
      <c r="H60" s="315" t="s">
        <v>5236</v>
      </c>
    </row>
    <row r="61" spans="1:8" x14ac:dyDescent="0.2">
      <c r="A61" s="315" t="str">
        <f t="shared" si="2"/>
        <v>_Neo_InfB_Cont_VochtExtra_06</v>
      </c>
      <c r="B61">
        <v>0</v>
      </c>
      <c r="C61" s="315" t="str">
        <f t="shared" si="3"/>
        <v>_Neo_1700_Cont_VochtExtra_06</v>
      </c>
      <c r="D61">
        <v>0</v>
      </c>
      <c r="E61" t="s">
        <v>5364</v>
      </c>
      <c r="F61" s="315" t="b">
        <f t="shared" si="4"/>
        <v>1</v>
      </c>
      <c r="H61" s="315" t="s">
        <v>5237</v>
      </c>
    </row>
    <row r="62" spans="1:8" x14ac:dyDescent="0.2">
      <c r="A62" s="315" t="str">
        <f t="shared" si="2"/>
        <v>_Neo_InfB_Cont_VochtExtra_07</v>
      </c>
      <c r="B62">
        <v>0</v>
      </c>
      <c r="C62" s="315" t="str">
        <f t="shared" si="3"/>
        <v>_Neo_1700_Cont_VochtExtra_07</v>
      </c>
      <c r="D62">
        <v>0</v>
      </c>
      <c r="E62" t="s">
        <v>5365</v>
      </c>
      <c r="F62" s="315" t="b">
        <f t="shared" si="4"/>
        <v>1</v>
      </c>
      <c r="H62" s="315" t="s">
        <v>5238</v>
      </c>
    </row>
    <row r="63" spans="1:8" x14ac:dyDescent="0.2">
      <c r="A63" s="315" t="str">
        <f t="shared" si="2"/>
        <v>_Neo_InfB_Cont_VochtExtra_08</v>
      </c>
      <c r="B63">
        <v>0</v>
      </c>
      <c r="C63" s="315" t="str">
        <f t="shared" si="3"/>
        <v>_Neo_1700_Cont_VochtExtra_08</v>
      </c>
      <c r="D63">
        <v>0</v>
      </c>
      <c r="E63" t="s">
        <v>5366</v>
      </c>
      <c r="F63" s="315" t="b">
        <f t="shared" si="4"/>
        <v>1</v>
      </c>
      <c r="H63" s="315" t="s">
        <v>5239</v>
      </c>
    </row>
    <row r="64" spans="1:8" x14ac:dyDescent="0.2">
      <c r="A64" s="315" t="str">
        <f t="shared" si="2"/>
        <v>_Neo_InfB_Cont_VochtExtra_09</v>
      </c>
      <c r="B64">
        <v>0</v>
      </c>
      <c r="C64" s="315" t="str">
        <f t="shared" si="3"/>
        <v>_Neo_1700_Cont_VochtExtra_09</v>
      </c>
      <c r="D64">
        <v>0</v>
      </c>
      <c r="E64" t="s">
        <v>5367</v>
      </c>
      <c r="F64" s="315" t="b">
        <f t="shared" si="4"/>
        <v>1</v>
      </c>
      <c r="H64" s="315" t="s">
        <v>5240</v>
      </c>
    </row>
    <row r="65" spans="1:8" x14ac:dyDescent="0.2">
      <c r="A65" s="315" t="str">
        <f t="shared" si="2"/>
        <v>_Neo_InfB_Cont_VochtExtra_10</v>
      </c>
      <c r="B65">
        <v>0</v>
      </c>
      <c r="C65" s="315" t="str">
        <f t="shared" si="3"/>
        <v>_Neo_1700_Cont_VochtExtra_10</v>
      </c>
      <c r="D65">
        <v>0</v>
      </c>
      <c r="E65" t="s">
        <v>5368</v>
      </c>
      <c r="F65" s="315" t="b">
        <f t="shared" si="4"/>
        <v>1</v>
      </c>
      <c r="H65" s="315" t="s">
        <v>5241</v>
      </c>
    </row>
    <row r="66" spans="1:8" x14ac:dyDescent="0.2">
      <c r="A66" s="315" t="str">
        <f t="shared" si="2"/>
        <v>_Neo_InfB_Cont_VochtExtra_11</v>
      </c>
      <c r="B66" t="b">
        <v>0</v>
      </c>
      <c r="C66" s="315" t="str">
        <f t="shared" ref="C66:C92" si="5">REPLACE(A66,6,4,"1700")</f>
        <v>_Neo_1700_Cont_VochtExtra_11</v>
      </c>
      <c r="D66" t="b">
        <v>0</v>
      </c>
      <c r="E66" t="s">
        <v>5369</v>
      </c>
      <c r="F66" s="315" t="b">
        <f t="shared" ref="F66:F97" si="6">"Var"&amp;A66=E66</f>
        <v>1</v>
      </c>
      <c r="H66" s="315" t="s">
        <v>5242</v>
      </c>
    </row>
    <row r="67" spans="1:8" x14ac:dyDescent="0.2">
      <c r="A67" s="315" t="str">
        <f t="shared" ref="A67:A106" si="7">H67</f>
        <v>_Neo_InfB_Cont_VochtExtra_12</v>
      </c>
      <c r="B67" t="b">
        <v>0</v>
      </c>
      <c r="C67" s="315" t="str">
        <f t="shared" si="5"/>
        <v>_Neo_1700_Cont_VochtExtra_12</v>
      </c>
      <c r="D67" t="b">
        <v>0</v>
      </c>
      <c r="E67" t="s">
        <v>5370</v>
      </c>
      <c r="F67" s="315" t="b">
        <f t="shared" si="6"/>
        <v>1</v>
      </c>
      <c r="H67" s="315" t="s">
        <v>5243</v>
      </c>
    </row>
    <row r="68" spans="1:8" x14ac:dyDescent="0.2">
      <c r="A68" s="315" t="str">
        <f t="shared" si="7"/>
        <v>_Neo_InfB_Cont_VochtExtra_13</v>
      </c>
      <c r="B68" t="b">
        <v>0</v>
      </c>
      <c r="C68" s="315" t="str">
        <f t="shared" si="5"/>
        <v>_Neo_1700_Cont_VochtExtra_13</v>
      </c>
      <c r="D68" t="b">
        <v>0</v>
      </c>
      <c r="E68" t="s">
        <v>5371</v>
      </c>
      <c r="F68" s="315" t="b">
        <f t="shared" si="6"/>
        <v>1</v>
      </c>
      <c r="H68" s="315" t="s">
        <v>5244</v>
      </c>
    </row>
    <row r="69" spans="1:8" x14ac:dyDescent="0.2">
      <c r="A69" s="315" t="str">
        <f t="shared" si="7"/>
        <v>_Neo_InfB_Cont_VochtExtra_14</v>
      </c>
      <c r="B69" t="b">
        <v>0</v>
      </c>
      <c r="C69" s="315" t="str">
        <f t="shared" si="5"/>
        <v>_Neo_1700_Cont_VochtExtra_14</v>
      </c>
      <c r="D69" t="b">
        <v>0</v>
      </c>
      <c r="E69" t="s">
        <v>5372</v>
      </c>
      <c r="F69" s="315" t="b">
        <f t="shared" si="6"/>
        <v>1</v>
      </c>
      <c r="H69" s="315" t="s">
        <v>5245</v>
      </c>
    </row>
    <row r="70" spans="1:8" x14ac:dyDescent="0.2">
      <c r="A70" s="315" t="str">
        <f t="shared" si="7"/>
        <v>_Neo_InfB_Ent_Frequentie_1</v>
      </c>
      <c r="B70">
        <v>0</v>
      </c>
      <c r="C70" s="315" t="str">
        <f t="shared" si="5"/>
        <v>_Neo_1700_Ent_Frequentie_1</v>
      </c>
      <c r="D70">
        <v>0</v>
      </c>
      <c r="E70" t="s">
        <v>5373</v>
      </c>
      <c r="F70" s="315" t="b">
        <f t="shared" si="6"/>
        <v>1</v>
      </c>
      <c r="H70" s="315" t="s">
        <v>5246</v>
      </c>
    </row>
    <row r="71" spans="1:8" x14ac:dyDescent="0.2">
      <c r="A71" s="315" t="str">
        <f t="shared" si="7"/>
        <v>_Neo_InfB_Ent_Frequentie_2</v>
      </c>
      <c r="B71">
        <v>0</v>
      </c>
      <c r="C71" s="315" t="str">
        <f t="shared" si="5"/>
        <v>_Neo_1700_Ent_Frequentie_2</v>
      </c>
      <c r="D71">
        <v>0</v>
      </c>
      <c r="E71" t="s">
        <v>5374</v>
      </c>
      <c r="F71" s="315" t="b">
        <f t="shared" si="6"/>
        <v>1</v>
      </c>
      <c r="H71" s="315" t="s">
        <v>5247</v>
      </c>
    </row>
    <row r="72" spans="1:8" x14ac:dyDescent="0.2">
      <c r="A72" s="315" t="str">
        <f t="shared" si="7"/>
        <v>_Neo_InfB_Ent_Hoeveelheid_1</v>
      </c>
      <c r="B72">
        <v>0</v>
      </c>
      <c r="C72" s="315" t="str">
        <f t="shared" si="5"/>
        <v>_Neo_1700_Ent_Hoeveelheid_1</v>
      </c>
      <c r="D72">
        <v>0</v>
      </c>
      <c r="E72" t="s">
        <v>5375</v>
      </c>
      <c r="F72" s="315" t="b">
        <f t="shared" si="6"/>
        <v>1</v>
      </c>
      <c r="H72" s="315" t="s">
        <v>5248</v>
      </c>
    </row>
    <row r="73" spans="1:8" x14ac:dyDescent="0.2">
      <c r="A73" s="315" t="str">
        <f t="shared" si="7"/>
        <v>_Neo_InfB_Ent_Hoeveelheid_2</v>
      </c>
      <c r="B73">
        <v>0</v>
      </c>
      <c r="C73" s="315" t="str">
        <f t="shared" si="5"/>
        <v>_Neo_1700_Ent_Hoeveelheid_2</v>
      </c>
      <c r="D73">
        <v>0</v>
      </c>
      <c r="E73" t="s">
        <v>5376</v>
      </c>
      <c r="F73" s="315" t="b">
        <f t="shared" si="6"/>
        <v>1</v>
      </c>
      <c r="H73" s="315" t="s">
        <v>5249</v>
      </c>
    </row>
    <row r="74" spans="1:8" x14ac:dyDescent="0.2">
      <c r="A74" s="315" t="str">
        <f t="shared" si="7"/>
        <v>_Neo_InfB_Ent_PercentageKeuze_0</v>
      </c>
      <c r="B74">
        <v>1</v>
      </c>
      <c r="C74" s="315" t="str">
        <f t="shared" si="5"/>
        <v>_Neo_1700_Ent_PercentageKeuze_0</v>
      </c>
      <c r="D74">
        <v>1</v>
      </c>
      <c r="E74" t="s">
        <v>5377</v>
      </c>
      <c r="F74" s="315" t="b">
        <f t="shared" si="6"/>
        <v>1</v>
      </c>
      <c r="H74" s="315" t="s">
        <v>5250</v>
      </c>
    </row>
    <row r="75" spans="1:8" x14ac:dyDescent="0.2">
      <c r="A75" s="315" t="str">
        <f t="shared" si="7"/>
        <v>_Neo_InfB_Ent_PercentageKeuze_1</v>
      </c>
      <c r="B75">
        <v>1</v>
      </c>
      <c r="C75" s="315" t="str">
        <f t="shared" si="5"/>
        <v>_Neo_1700_Ent_PercentageKeuze_1</v>
      </c>
      <c r="D75">
        <v>1</v>
      </c>
      <c r="E75" t="s">
        <v>5378</v>
      </c>
      <c r="F75" s="315" t="b">
        <f t="shared" si="6"/>
        <v>1</v>
      </c>
      <c r="H75" s="315" t="s">
        <v>5251</v>
      </c>
    </row>
    <row r="76" spans="1:8" x14ac:dyDescent="0.2">
      <c r="A76" s="315" t="str">
        <f t="shared" si="7"/>
        <v>_Neo_InfB_Ent_PercentageKeuze_2</v>
      </c>
      <c r="B76">
        <v>1</v>
      </c>
      <c r="C76" s="315" t="str">
        <f t="shared" si="5"/>
        <v>_Neo_1700_Ent_PercentageKeuze_2</v>
      </c>
      <c r="D76">
        <v>1</v>
      </c>
      <c r="E76" t="s">
        <v>5379</v>
      </c>
      <c r="F76" s="315" t="b">
        <f t="shared" si="6"/>
        <v>1</v>
      </c>
      <c r="H76" s="315" t="s">
        <v>5252</v>
      </c>
    </row>
    <row r="77" spans="1:8" x14ac:dyDescent="0.2">
      <c r="A77" s="315" t="str">
        <f t="shared" si="7"/>
        <v>_Neo_InfB_Ent_PercentageKeuze_3</v>
      </c>
      <c r="B77">
        <v>1</v>
      </c>
      <c r="C77" s="315" t="str">
        <f t="shared" si="5"/>
        <v>_Neo_1700_Ent_PercentageKeuze_3</v>
      </c>
      <c r="D77">
        <v>1</v>
      </c>
      <c r="E77" t="s">
        <v>5380</v>
      </c>
      <c r="F77" s="315" t="b">
        <f t="shared" si="6"/>
        <v>1</v>
      </c>
      <c r="H77" s="315" t="s">
        <v>5253</v>
      </c>
    </row>
    <row r="78" spans="1:8" x14ac:dyDescent="0.2">
      <c r="A78" s="315" t="str">
        <f t="shared" si="7"/>
        <v>_Neo_InfB_Ent_PercentageKeuze_4</v>
      </c>
      <c r="B78">
        <v>1</v>
      </c>
      <c r="C78" s="315" t="str">
        <f t="shared" si="5"/>
        <v>_Neo_1700_Ent_PercentageKeuze_4</v>
      </c>
      <c r="D78">
        <v>1</v>
      </c>
      <c r="E78" t="s">
        <v>5381</v>
      </c>
      <c r="F78" s="315" t="b">
        <f t="shared" si="6"/>
        <v>1</v>
      </c>
      <c r="H78" s="315" t="s">
        <v>5254</v>
      </c>
    </row>
    <row r="79" spans="1:8" x14ac:dyDescent="0.2">
      <c r="A79" s="315" t="str">
        <f t="shared" si="7"/>
        <v>_Neo_InfB_Ent_PercentageKeuze_5</v>
      </c>
      <c r="B79">
        <v>1</v>
      </c>
      <c r="C79" s="315" t="str">
        <f t="shared" si="5"/>
        <v>_Neo_1700_Ent_PercentageKeuze_5</v>
      </c>
      <c r="D79">
        <v>1</v>
      </c>
      <c r="E79" t="s">
        <v>5382</v>
      </c>
      <c r="F79" s="315" t="b">
        <f t="shared" si="6"/>
        <v>1</v>
      </c>
      <c r="H79" s="315" t="s">
        <v>5255</v>
      </c>
    </row>
    <row r="80" spans="1:8" x14ac:dyDescent="0.2">
      <c r="A80" s="315" t="str">
        <f t="shared" si="7"/>
        <v>_Neo_InfB_Ent_PercentageKeuze_6</v>
      </c>
      <c r="B80">
        <v>1</v>
      </c>
      <c r="C80" s="315" t="str">
        <f t="shared" si="5"/>
        <v>_Neo_1700_Ent_PercentageKeuze_6</v>
      </c>
      <c r="D80">
        <v>1</v>
      </c>
      <c r="E80" t="s">
        <v>5383</v>
      </c>
      <c r="F80" s="315" t="b">
        <f t="shared" si="6"/>
        <v>1</v>
      </c>
      <c r="H80" s="315" t="s">
        <v>5256</v>
      </c>
    </row>
    <row r="81" spans="1:8" x14ac:dyDescent="0.2">
      <c r="A81" s="315" t="str">
        <f t="shared" si="7"/>
        <v>_Neo_InfB_Ent_PercentageKeuze_7</v>
      </c>
      <c r="B81">
        <v>1</v>
      </c>
      <c r="C81" s="315" t="str">
        <f t="shared" si="5"/>
        <v>_Neo_1700_Ent_PercentageKeuze_7</v>
      </c>
      <c r="D81">
        <v>1</v>
      </c>
      <c r="E81" t="s">
        <v>5384</v>
      </c>
      <c r="F81" s="315" t="b">
        <f t="shared" si="6"/>
        <v>1</v>
      </c>
      <c r="H81" s="315" t="s">
        <v>5257</v>
      </c>
    </row>
    <row r="82" spans="1:8" x14ac:dyDescent="0.2">
      <c r="A82" s="315" t="str">
        <f t="shared" si="7"/>
        <v>_Neo_InfB_Ent_PercentageKeuze_8</v>
      </c>
      <c r="B82">
        <v>1</v>
      </c>
      <c r="C82" s="315" t="str">
        <f t="shared" si="5"/>
        <v>_Neo_1700_Ent_PercentageKeuze_8</v>
      </c>
      <c r="D82">
        <v>1</v>
      </c>
      <c r="E82" t="s">
        <v>5385</v>
      </c>
      <c r="F82" s="315" t="b">
        <f t="shared" si="6"/>
        <v>1</v>
      </c>
      <c r="H82" s="315" t="s">
        <v>5258</v>
      </c>
    </row>
    <row r="83" spans="1:8" x14ac:dyDescent="0.2">
      <c r="A83" s="315" t="str">
        <f t="shared" si="7"/>
        <v>_Neo_InfB_Ent_Toevoeging_1</v>
      </c>
      <c r="B83">
        <v>1</v>
      </c>
      <c r="C83" s="315" t="str">
        <f t="shared" si="5"/>
        <v>_Neo_1700_Ent_Toevoeging_1</v>
      </c>
      <c r="D83">
        <v>1</v>
      </c>
      <c r="E83" t="s">
        <v>5386</v>
      </c>
      <c r="F83" s="315" t="b">
        <f t="shared" si="6"/>
        <v>1</v>
      </c>
      <c r="H83" s="315" t="s">
        <v>5259</v>
      </c>
    </row>
    <row r="84" spans="1:8" x14ac:dyDescent="0.2">
      <c r="A84" s="315" t="str">
        <f t="shared" si="7"/>
        <v>_Neo_InfB_Ent_Toevoeging_2</v>
      </c>
      <c r="B84">
        <v>1</v>
      </c>
      <c r="C84" s="315" t="str">
        <f t="shared" si="5"/>
        <v>_Neo_1700_Ent_Toevoeging_2</v>
      </c>
      <c r="D84">
        <v>1</v>
      </c>
      <c r="E84" t="s">
        <v>5387</v>
      </c>
      <c r="F84" s="315" t="b">
        <f t="shared" si="6"/>
        <v>1</v>
      </c>
      <c r="H84" s="315" t="s">
        <v>5260</v>
      </c>
    </row>
    <row r="85" spans="1:8" x14ac:dyDescent="0.2">
      <c r="A85" s="315" t="str">
        <f t="shared" si="7"/>
        <v>_Neo_InfB_Ent_Toevoeging_3</v>
      </c>
      <c r="B85">
        <v>1</v>
      </c>
      <c r="C85" s="315" t="str">
        <f t="shared" si="5"/>
        <v>_Neo_1700_Ent_Toevoeging_3</v>
      </c>
      <c r="D85">
        <v>1</v>
      </c>
      <c r="E85" t="s">
        <v>5388</v>
      </c>
      <c r="F85" s="315" t="b">
        <f t="shared" si="6"/>
        <v>1</v>
      </c>
      <c r="H85" s="315" t="s">
        <v>5261</v>
      </c>
    </row>
    <row r="86" spans="1:8" x14ac:dyDescent="0.2">
      <c r="A86" s="315" t="str">
        <f t="shared" si="7"/>
        <v>_Neo_InfB_Ent_Toevoeging_4</v>
      </c>
      <c r="B86">
        <v>1</v>
      </c>
      <c r="C86" s="315" t="str">
        <f t="shared" si="5"/>
        <v>_Neo_1700_Ent_Toevoeging_4</v>
      </c>
      <c r="D86">
        <v>1</v>
      </c>
      <c r="E86" t="s">
        <v>5389</v>
      </c>
      <c r="F86" s="315" t="b">
        <f t="shared" si="6"/>
        <v>1</v>
      </c>
      <c r="H86" s="315" t="s">
        <v>5262</v>
      </c>
    </row>
    <row r="87" spans="1:8" x14ac:dyDescent="0.2">
      <c r="A87" s="315" t="str">
        <f t="shared" si="7"/>
        <v>_Neo_InfB_Ent_Toevoeging_5</v>
      </c>
      <c r="B87">
        <v>1</v>
      </c>
      <c r="C87" s="315" t="str">
        <f t="shared" si="5"/>
        <v>_Neo_1700_Ent_Toevoeging_5</v>
      </c>
      <c r="D87">
        <v>1</v>
      </c>
      <c r="E87" t="s">
        <v>5390</v>
      </c>
      <c r="F87" s="315" t="b">
        <f t="shared" si="6"/>
        <v>1</v>
      </c>
      <c r="H87" s="315" t="s">
        <v>5263</v>
      </c>
    </row>
    <row r="88" spans="1:8" x14ac:dyDescent="0.2">
      <c r="A88" s="315" t="str">
        <f t="shared" si="7"/>
        <v>_Neo_InfB_Ent_Toevoeging_6</v>
      </c>
      <c r="B88">
        <v>1</v>
      </c>
      <c r="C88" s="315" t="str">
        <f t="shared" si="5"/>
        <v>_Neo_1700_Ent_Toevoeging_6</v>
      </c>
      <c r="D88">
        <v>1</v>
      </c>
      <c r="E88" t="s">
        <v>5391</v>
      </c>
      <c r="F88" s="315" t="b">
        <f t="shared" si="6"/>
        <v>1</v>
      </c>
      <c r="H88" s="315" t="s">
        <v>5264</v>
      </c>
    </row>
    <row r="89" spans="1:8" x14ac:dyDescent="0.2">
      <c r="A89" s="315" t="str">
        <f t="shared" si="7"/>
        <v>_Neo_InfB_Ent_Toevoeging_7</v>
      </c>
      <c r="B89">
        <v>1</v>
      </c>
      <c r="C89" s="315" t="str">
        <f t="shared" si="5"/>
        <v>_Neo_1700_Ent_Toevoeging_7</v>
      </c>
      <c r="D89">
        <v>1</v>
      </c>
      <c r="E89" t="s">
        <v>5392</v>
      </c>
      <c r="F89" s="315" t="b">
        <f t="shared" si="6"/>
        <v>1</v>
      </c>
      <c r="H89" s="315" t="s">
        <v>5265</v>
      </c>
    </row>
    <row r="90" spans="1:8" x14ac:dyDescent="0.2">
      <c r="A90" s="315" t="str">
        <f t="shared" si="7"/>
        <v>_Neo_InfB_Ent_Toevoeging_8</v>
      </c>
      <c r="B90">
        <v>1</v>
      </c>
      <c r="C90" s="315" t="str">
        <f t="shared" si="5"/>
        <v>_Neo_1700_Ent_Toevoeging_8</v>
      </c>
      <c r="D90">
        <v>1</v>
      </c>
      <c r="E90" t="s">
        <v>5393</v>
      </c>
      <c r="F90" s="315" t="b">
        <f t="shared" si="6"/>
        <v>1</v>
      </c>
      <c r="H90" s="315" t="s">
        <v>5266</v>
      </c>
    </row>
    <row r="91" spans="1:8" x14ac:dyDescent="0.2">
      <c r="A91" s="315" t="str">
        <f t="shared" si="7"/>
        <v>_Neo_InfB_Ent_Voeding</v>
      </c>
      <c r="B91">
        <v>1</v>
      </c>
      <c r="C91" s="315" t="str">
        <f t="shared" si="5"/>
        <v>_Neo_1700_Ent_Voeding</v>
      </c>
      <c r="D91">
        <v>1</v>
      </c>
      <c r="E91" t="s">
        <v>5394</v>
      </c>
      <c r="F91" s="315" t="b">
        <f t="shared" si="6"/>
        <v>1</v>
      </c>
      <c r="H91" s="315" t="s">
        <v>5267</v>
      </c>
    </row>
    <row r="92" spans="1:8" x14ac:dyDescent="0.2">
      <c r="A92" s="315" t="str">
        <f t="shared" si="7"/>
        <v>_Neo_InfB_TPN_CaCl2</v>
      </c>
      <c r="B92">
        <v>5000</v>
      </c>
      <c r="C92" s="315" t="str">
        <f t="shared" si="5"/>
        <v>_Neo_1700_TPN_CaCl2</v>
      </c>
      <c r="D92">
        <v>5000</v>
      </c>
      <c r="E92" t="s">
        <v>5395</v>
      </c>
      <c r="F92" s="315" t="b">
        <f t="shared" si="6"/>
        <v>1</v>
      </c>
      <c r="H92" s="315" t="s">
        <v>5268</v>
      </c>
    </row>
    <row r="93" spans="1:8" x14ac:dyDescent="0.2">
      <c r="A93" s="315" t="str">
        <f t="shared" si="7"/>
        <v>_Neo_InfB_TPN_DagKeuze</v>
      </c>
      <c r="B93">
        <v>1</v>
      </c>
      <c r="C93" s="315" t="str">
        <f t="shared" ref="C93:C103" si="8">REPLACE(A93,6,4,"1700")</f>
        <v>_Neo_1700_TPN_DagKeuze</v>
      </c>
      <c r="D93">
        <v>1</v>
      </c>
      <c r="E93" t="s">
        <v>5396</v>
      </c>
      <c r="F93" s="315" t="b">
        <f t="shared" ref="F93:F103" si="9">"Var"&amp;A93=E93</f>
        <v>1</v>
      </c>
      <c r="H93" s="315" t="s">
        <v>5269</v>
      </c>
    </row>
    <row r="94" spans="1:8" x14ac:dyDescent="0.2">
      <c r="A94" s="315" t="str">
        <f t="shared" si="7"/>
        <v>_Neo_InfB_TPN_Fototherapie</v>
      </c>
      <c r="B94">
        <v>2</v>
      </c>
      <c r="C94" s="315" t="str">
        <f t="shared" si="8"/>
        <v>_Neo_1700_TPN_Fototherapie</v>
      </c>
      <c r="D94">
        <v>2</v>
      </c>
      <c r="E94" t="s">
        <v>5397</v>
      </c>
      <c r="F94" s="315" t="b">
        <f t="shared" si="9"/>
        <v>1</v>
      </c>
      <c r="H94" s="315" t="s">
        <v>5270</v>
      </c>
    </row>
    <row r="95" spans="1:8" x14ac:dyDescent="0.2">
      <c r="A95" s="315" t="str">
        <f t="shared" si="7"/>
        <v>_Neo_InfB_TPN_GlucSterkte</v>
      </c>
      <c r="B95">
        <v>2</v>
      </c>
      <c r="C95" s="315" t="str">
        <f t="shared" si="8"/>
        <v>_Neo_1700_TPN_GlucSterkte</v>
      </c>
      <c r="D95">
        <v>2</v>
      </c>
      <c r="E95" t="s">
        <v>5398</v>
      </c>
      <c r="F95" s="315" t="b">
        <f t="shared" si="9"/>
        <v>1</v>
      </c>
      <c r="H95" s="315" t="s">
        <v>5271</v>
      </c>
    </row>
    <row r="96" spans="1:8" x14ac:dyDescent="0.2">
      <c r="A96" s="315" t="str">
        <f t="shared" si="7"/>
        <v>_Neo_InfB_TPN_IntakePerKg</v>
      </c>
      <c r="B96">
        <v>5000</v>
      </c>
      <c r="C96" s="315" t="str">
        <f t="shared" si="8"/>
        <v>_Neo_1700_TPN_IntakePerKg</v>
      </c>
      <c r="D96">
        <v>5000</v>
      </c>
      <c r="E96" t="s">
        <v>5399</v>
      </c>
      <c r="F96" s="315" t="b">
        <f t="shared" si="9"/>
        <v>1</v>
      </c>
      <c r="H96" s="315" t="s">
        <v>5272</v>
      </c>
    </row>
    <row r="97" spans="1:8" x14ac:dyDescent="0.2">
      <c r="A97" s="315" t="str">
        <f t="shared" si="7"/>
        <v>_Neo_InfB_TPN_IntraLipid</v>
      </c>
      <c r="B97">
        <v>5000</v>
      </c>
      <c r="C97" s="315" t="str">
        <f t="shared" si="8"/>
        <v>_Neo_1700_TPN_IntraLipid</v>
      </c>
      <c r="D97">
        <v>5000</v>
      </c>
      <c r="E97" t="s">
        <v>5400</v>
      </c>
      <c r="F97" s="315" t="b">
        <f t="shared" si="9"/>
        <v>1</v>
      </c>
      <c r="H97" s="315" t="s">
        <v>5273</v>
      </c>
    </row>
    <row r="98" spans="1:8" x14ac:dyDescent="0.2">
      <c r="A98" s="315" t="str">
        <f t="shared" si="7"/>
        <v>_Neo_InfB_TPN_IntralipidSmof</v>
      </c>
      <c r="B98">
        <v>1</v>
      </c>
      <c r="C98" s="315" t="str">
        <f t="shared" si="8"/>
        <v>_Neo_1700_TPN_IntralipidSmof</v>
      </c>
      <c r="D98">
        <v>1</v>
      </c>
      <c r="E98" t="s">
        <v>5401</v>
      </c>
      <c r="F98" s="315" t="b">
        <f t="shared" si="9"/>
        <v>1</v>
      </c>
      <c r="H98" s="315" t="s">
        <v>5274</v>
      </c>
    </row>
    <row r="99" spans="1:8" x14ac:dyDescent="0.2">
      <c r="A99" s="315" t="str">
        <f t="shared" si="7"/>
        <v>_Neo_InfB_TPN_KCl</v>
      </c>
      <c r="B99">
        <v>5000</v>
      </c>
      <c r="C99" s="315" t="str">
        <f t="shared" si="8"/>
        <v>_Neo_1700_TPN_KCl</v>
      </c>
      <c r="D99">
        <v>5000</v>
      </c>
      <c r="E99" t="s">
        <v>5402</v>
      </c>
      <c r="F99" s="315" t="b">
        <f t="shared" si="9"/>
        <v>1</v>
      </c>
      <c r="H99" s="315" t="s">
        <v>5275</v>
      </c>
    </row>
    <row r="100" spans="1:8" x14ac:dyDescent="0.2">
      <c r="A100" s="315" t="str">
        <f t="shared" si="7"/>
        <v>_Neo_InfB_TPN_MgCl2</v>
      </c>
      <c r="B100">
        <v>5000</v>
      </c>
      <c r="C100" s="315" t="str">
        <f t="shared" si="8"/>
        <v>_Neo_1700_TPN_MgCl2</v>
      </c>
      <c r="D100">
        <v>5000</v>
      </c>
      <c r="E100" t="s">
        <v>5403</v>
      </c>
      <c r="F100" s="315" t="b">
        <f t="shared" si="9"/>
        <v>1</v>
      </c>
      <c r="H100" s="315" t="s">
        <v>5276</v>
      </c>
    </row>
    <row r="101" spans="1:8" x14ac:dyDescent="0.2">
      <c r="A101" s="315" t="str">
        <f t="shared" si="7"/>
        <v>_Neo_InfB_TPN_Nacl</v>
      </c>
      <c r="B101">
        <v>5000</v>
      </c>
      <c r="C101" s="315" t="str">
        <f>REPLACE(A101,6,4,"1700")</f>
        <v>_Neo_1700_TPN_Nacl</v>
      </c>
      <c r="D101">
        <v>5000</v>
      </c>
      <c r="E101" t="s">
        <v>5404</v>
      </c>
      <c r="F101" s="315" t="b">
        <f>"Var"&amp;A101=E101</f>
        <v>1</v>
      </c>
      <c r="H101" s="315" t="s">
        <v>5277</v>
      </c>
    </row>
    <row r="102" spans="1:8" x14ac:dyDescent="0.2">
      <c r="A102" s="315" t="str">
        <f t="shared" si="7"/>
        <v>_Neo_InfB_TPN_NICUMix</v>
      </c>
      <c r="B102">
        <v>5000</v>
      </c>
      <c r="C102" s="315" t="str">
        <f t="shared" si="8"/>
        <v>_Neo_1700_TPN_NICUMix</v>
      </c>
      <c r="D102">
        <v>5000</v>
      </c>
      <c r="E102" t="s">
        <v>5405</v>
      </c>
      <c r="F102" s="315" t="b">
        <f t="shared" si="9"/>
        <v>1</v>
      </c>
      <c r="H102" s="315" t="s">
        <v>5278</v>
      </c>
    </row>
    <row r="103" spans="1:8" x14ac:dyDescent="0.2">
      <c r="A103" s="315" t="str">
        <f t="shared" si="7"/>
        <v>_Neo_InfB_TPN_Parenteraal</v>
      </c>
      <c r="B103" t="b">
        <v>0</v>
      </c>
      <c r="C103" s="315" t="str">
        <f t="shared" si="8"/>
        <v>_Neo_1700_TPN_Parenteraal</v>
      </c>
      <c r="D103" t="b">
        <v>0</v>
      </c>
      <c r="E103" t="s">
        <v>5406</v>
      </c>
      <c r="F103" s="315" t="b">
        <f t="shared" si="9"/>
        <v>1</v>
      </c>
      <c r="H103" s="315" t="s">
        <v>5279</v>
      </c>
    </row>
    <row r="104" spans="1:8" x14ac:dyDescent="0.2">
      <c r="A104" s="315" t="str">
        <f t="shared" si="7"/>
        <v>_Neo_InfB_TPN_Primene</v>
      </c>
      <c r="B104">
        <v>5000</v>
      </c>
      <c r="C104" s="315" t="str">
        <f t="shared" ref="C104:C106" si="10">REPLACE(A104,6,4,"1700")</f>
        <v>_Neo_1700_TPN_Primene</v>
      </c>
      <c r="D104">
        <v>5000</v>
      </c>
      <c r="E104" t="s">
        <v>5407</v>
      </c>
      <c r="F104" s="315" t="b">
        <f t="shared" ref="F104:F106" si="11">"Var"&amp;A104=E104</f>
        <v>1</v>
      </c>
      <c r="H104" s="315" t="s">
        <v>5280</v>
      </c>
    </row>
    <row r="105" spans="1:8" x14ac:dyDescent="0.2">
      <c r="A105" s="315" t="str">
        <f t="shared" si="7"/>
        <v>_Neo_InfB_TPN_SoluVit</v>
      </c>
      <c r="B105">
        <v>5000</v>
      </c>
      <c r="C105" s="315" t="str">
        <f t="shared" si="10"/>
        <v>_Neo_1700_TPN_SoluVit</v>
      </c>
      <c r="D105">
        <v>5000</v>
      </c>
      <c r="E105" t="s">
        <v>5408</v>
      </c>
      <c r="F105" s="315" t="b">
        <f t="shared" si="11"/>
        <v>1</v>
      </c>
      <c r="H105" s="315" t="s">
        <v>5281</v>
      </c>
    </row>
    <row r="106" spans="1:8" x14ac:dyDescent="0.2">
      <c r="A106" s="315" t="str">
        <f t="shared" si="7"/>
        <v>_Neo_InfB_TPN_SSTB</v>
      </c>
      <c r="B106">
        <v>5000</v>
      </c>
      <c r="C106" s="315" t="str">
        <f t="shared" si="10"/>
        <v>_Neo_1700_TPN_SSTB</v>
      </c>
      <c r="D106">
        <v>5000</v>
      </c>
      <c r="E106" t="s">
        <v>5409</v>
      </c>
      <c r="F106" s="315" t="b">
        <f t="shared" si="11"/>
        <v>1</v>
      </c>
      <c r="H106" s="315" t="s">
        <v>5282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">
    <tabColor rgb="FF7030A0"/>
  </sheetPr>
  <dimension ref="A1:R57"/>
  <sheetViews>
    <sheetView workbookViewId="0">
      <selection activeCell="M8" sqref="M8"/>
    </sheetView>
  </sheetViews>
  <sheetFormatPr defaultColWidth="5.7109375" defaultRowHeight="12.75" x14ac:dyDescent="0.2"/>
  <cols>
    <col min="1" max="12" width="5.7109375" style="204"/>
    <col min="13" max="14" width="7.85546875" style="204" customWidth="1"/>
    <col min="15" max="16384" width="5.7109375" style="204"/>
  </cols>
  <sheetData>
    <row r="1" spans="1:16" x14ac:dyDescent="0.2">
      <c r="A1" s="370" t="s">
        <v>532</v>
      </c>
      <c r="L1" s="204" t="s">
        <v>519</v>
      </c>
      <c r="M1" s="205">
        <f>__1_Bed</f>
        <v>0</v>
      </c>
    </row>
    <row r="2" spans="1:16" x14ac:dyDescent="0.2">
      <c r="A2" s="204" t="s">
        <v>533</v>
      </c>
      <c r="C2" s="206" t="str">
        <f>__3_VoorNaam&amp;" "&amp;__2_AchterNaam</f>
        <v xml:space="preserve"> </v>
      </c>
      <c r="G2" s="204" t="s">
        <v>534</v>
      </c>
      <c r="I2" s="944">
        <f ca="1">TODAY()</f>
        <v>42750</v>
      </c>
      <c r="J2" s="944"/>
      <c r="K2" s="944"/>
      <c r="L2" s="204" t="s">
        <v>535</v>
      </c>
      <c r="M2" s="945">
        <f ca="1">NOW()</f>
        <v>42750.22173391204</v>
      </c>
      <c r="N2" s="945"/>
    </row>
    <row r="3" spans="1:16" x14ac:dyDescent="0.2">
      <c r="A3" s="204" t="s">
        <v>536</v>
      </c>
      <c r="C3" s="206">
        <f>(_Pat_Gewicht/10)*1000</f>
        <v>0</v>
      </c>
      <c r="D3" s="204" t="s">
        <v>31</v>
      </c>
      <c r="I3" s="464"/>
      <c r="J3" s="464"/>
      <c r="K3" s="464"/>
      <c r="M3" s="207"/>
      <c r="N3" s="207"/>
    </row>
    <row r="4" spans="1:16" x14ac:dyDescent="0.2">
      <c r="G4" s="204" t="s">
        <v>537</v>
      </c>
      <c r="I4" s="206" t="e">
        <f>IF(Var_Neo_InfB_Arts&gt;0,Var_Neo_InfB_Arts,"")</f>
        <v>#NAME?</v>
      </c>
      <c r="L4" s="204" t="s">
        <v>538</v>
      </c>
      <c r="M4" s="208"/>
      <c r="N4" s="208"/>
      <c r="O4" s="208"/>
      <c r="P4" s="208"/>
    </row>
    <row r="5" spans="1:16" x14ac:dyDescent="0.2">
      <c r="A5" s="209" t="s">
        <v>177</v>
      </c>
      <c r="B5" s="210"/>
      <c r="C5" s="211" t="s">
        <v>539</v>
      </c>
      <c r="D5" s="211"/>
      <c r="E5" s="211"/>
      <c r="F5" s="211"/>
      <c r="G5" s="211"/>
      <c r="H5" s="212">
        <f ca="1">NeoGuiInfB!E28</f>
        <v>0</v>
      </c>
      <c r="I5" s="211" t="s">
        <v>163</v>
      </c>
      <c r="J5" s="211"/>
      <c r="K5" s="211"/>
      <c r="L5" s="211"/>
      <c r="M5" s="946" t="s">
        <v>540</v>
      </c>
      <c r="N5" s="947"/>
      <c r="O5" s="213" t="s">
        <v>541</v>
      </c>
      <c r="P5" s="214"/>
    </row>
    <row r="6" spans="1:16" ht="15" x14ac:dyDescent="0.2">
      <c r="A6" s="375" t="str">
        <f>IF(M6&lt;&gt;"",M6/24,"")</f>
        <v/>
      </c>
      <c r="B6" s="210"/>
      <c r="C6" s="209" t="str">
        <f>NeoGuiInfB!B30</f>
        <v>Arterielijn: 12 ml NaCl 0,45% + hep. (5EH/ml)</v>
      </c>
      <c r="D6" s="216"/>
      <c r="E6" s="216"/>
      <c r="F6" s="216"/>
      <c r="G6" s="216"/>
      <c r="H6" s="216"/>
      <c r="I6" s="216"/>
      <c r="J6" s="216"/>
      <c r="K6" s="216"/>
      <c r="L6" s="210"/>
      <c r="M6" s="217" t="str">
        <f>IF(24*NeoBerInfB!B18&gt;0,TRUNC(24*NeoBerInfB!B18/10),"")</f>
        <v/>
      </c>
      <c r="N6" s="217" t="str">
        <f>IF(NeoBerInfB!B18&gt;0,(24*NeoBerInfB!B18/10-M6)*10,"")</f>
        <v/>
      </c>
      <c r="O6" s="213" t="str">
        <f>IF(NeoBerInfB!J18,"extra","")</f>
        <v/>
      </c>
      <c r="P6" s="214"/>
    </row>
    <row r="7" spans="1:16" ht="15" x14ac:dyDescent="0.2">
      <c r="A7" s="215"/>
      <c r="B7" s="216"/>
      <c r="C7" s="216"/>
      <c r="D7" s="216"/>
      <c r="E7" s="216"/>
      <c r="F7" s="216"/>
      <c r="G7" s="216"/>
      <c r="H7" s="216"/>
      <c r="I7" s="216"/>
      <c r="J7" s="216"/>
      <c r="K7" s="216"/>
      <c r="L7" s="216"/>
      <c r="M7" s="218"/>
      <c r="N7" s="218"/>
      <c r="O7" s="213"/>
      <c r="P7" s="214"/>
    </row>
    <row r="8" spans="1:16" ht="15" x14ac:dyDescent="0.2">
      <c r="A8" s="219" t="str">
        <f ca="1">IF(M17&lt;&gt;"",IF(ROUND((M17+N17/100)/24,1)&gt;0,ROUND((M17+N17/100)/24,1),""),"")</f>
        <v/>
      </c>
      <c r="B8" s="213"/>
      <c r="C8" s="220"/>
      <c r="D8" s="221"/>
      <c r="E8" s="221"/>
      <c r="F8" s="221"/>
      <c r="G8" s="221"/>
      <c r="H8" s="221" t="s">
        <v>34</v>
      </c>
      <c r="I8" s="221"/>
      <c r="J8" s="221"/>
      <c r="K8" s="221"/>
      <c r="L8" s="222"/>
      <c r="M8" s="223" t="str">
        <f ca="1">IF(NeoBerInfB!$K$37&gt;0,IF(Var_Neo_InfB_TPN_DagKeuze&lt;&gt;2,TRUNC(NeoBerInfB!$C$37),0),"")</f>
        <v/>
      </c>
      <c r="N8" s="224" t="str">
        <f ca="1">IF(NeoBerInfB!$K$37&gt;0,IF(_Neo_1700_TPN_DagKeuze&lt;&gt;2,(NeoBerInfB!$C$37-M8)*100,0),"")</f>
        <v/>
      </c>
      <c r="O8" s="213"/>
      <c r="P8" s="214"/>
    </row>
    <row r="9" spans="1:16" ht="15" x14ac:dyDescent="0.2">
      <c r="A9" s="225"/>
      <c r="B9" s="213"/>
      <c r="C9" s="209"/>
      <c r="D9" s="216"/>
      <c r="E9" s="216"/>
      <c r="F9" s="216"/>
      <c r="G9" s="216"/>
      <c r="H9" s="216" t="s">
        <v>542</v>
      </c>
      <c r="I9" s="216"/>
      <c r="J9" s="216"/>
      <c r="K9" s="216"/>
      <c r="L9" s="210"/>
      <c r="M9" s="226" t="str">
        <f ca="1">IF(NeoBerInfB!$K$38&gt;0,IF(_Neo_1700_TPN_DagKeuze&lt;&gt;2,TRUNC(NeoBerInfB!$C$38),0),"")</f>
        <v/>
      </c>
      <c r="N9" s="217" t="str">
        <f ca="1">IF(NeoBerInfB!$K$38&gt;0,IF(_Neo_1700_TPN_DagKeuze&lt;&gt;2,(NeoBerInfB!$C$38-M9)*100,0),"")</f>
        <v/>
      </c>
      <c r="O9" s="213"/>
      <c r="P9" s="214"/>
    </row>
    <row r="10" spans="1:16" ht="15" x14ac:dyDescent="0.2">
      <c r="A10" s="225"/>
      <c r="B10" s="213"/>
      <c r="C10" s="220"/>
      <c r="D10" s="221"/>
      <c r="E10" s="221"/>
      <c r="F10" s="221"/>
      <c r="G10" s="221"/>
      <c r="H10" s="221" t="s">
        <v>427</v>
      </c>
      <c r="I10" s="221"/>
      <c r="J10" s="221"/>
      <c r="K10" s="221"/>
      <c r="L10" s="222"/>
      <c r="M10" s="223" t="str">
        <f ca="1">IF(NeoBerInfB!$K$39&gt;0,TRUNC(NeoBerInfB!$C$39),"")</f>
        <v/>
      </c>
      <c r="N10" s="224" t="str">
        <f ca="1">IF(NeoBerInfB!$K$39&gt;0,IF(_Neo_1700_TPN_DagKeuze=1,NeoBerInfB!$C$39-M10,0),"")</f>
        <v/>
      </c>
      <c r="O10" s="213"/>
      <c r="P10" s="214"/>
    </row>
    <row r="11" spans="1:16" ht="15" x14ac:dyDescent="0.2">
      <c r="A11" s="225"/>
      <c r="B11" s="213"/>
      <c r="C11" s="209"/>
      <c r="D11" s="216"/>
      <c r="E11" s="216"/>
      <c r="F11" s="216"/>
      <c r="G11" s="216"/>
      <c r="H11" s="216" t="s">
        <v>428</v>
      </c>
      <c r="I11" s="216"/>
      <c r="J11" s="216"/>
      <c r="K11" s="216"/>
      <c r="L11" s="210"/>
      <c r="M11" s="226" t="str">
        <f ca="1">IF(NeoBerInfB!$K$40&gt;0,TRUNC(NeoBerInfB!$C$40),"")</f>
        <v/>
      </c>
      <c r="N11" s="217" t="str">
        <f ca="1">IF(NeoBerInfB!$K$40&gt;0,IF(_Neo_1700_TPN_DagKeuze=1,(NeoBerInfB!$C$40-M11)*100,0),"")</f>
        <v/>
      </c>
      <c r="O11" s="213"/>
      <c r="P11" s="214"/>
    </row>
    <row r="12" spans="1:16" ht="15" x14ac:dyDescent="0.2">
      <c r="A12" s="225"/>
      <c r="B12" s="213"/>
      <c r="C12" s="220"/>
      <c r="D12" s="221"/>
      <c r="E12" s="221"/>
      <c r="F12" s="221"/>
      <c r="G12" s="221"/>
      <c r="H12" s="221" t="s">
        <v>201</v>
      </c>
      <c r="I12" s="221"/>
      <c r="J12" s="221"/>
      <c r="K12" s="221"/>
      <c r="L12" s="222"/>
      <c r="M12" s="223" t="str">
        <f ca="1">IF(NeoBerInfB!$K$41&gt;0,TRUNC(NeoBerInfB!$C$41),"")</f>
        <v/>
      </c>
      <c r="N12" s="224" t="str">
        <f ca="1">IF(NeoBerInfB!$K$41&gt;0,IF(_Neo_1700_TPN_DagKeuze=1,(NeoBerInfB!$C$41-M12)*100,0),"")</f>
        <v/>
      </c>
      <c r="O12" s="213"/>
      <c r="P12" s="214"/>
    </row>
    <row r="13" spans="1:16" ht="15" x14ac:dyDescent="0.2">
      <c r="A13" s="225"/>
      <c r="B13" s="213"/>
      <c r="C13" s="209"/>
      <c r="D13" s="216"/>
      <c r="E13" s="216"/>
      <c r="F13" s="216"/>
      <c r="G13" s="216"/>
      <c r="H13" s="216" t="s">
        <v>543</v>
      </c>
      <c r="I13" s="216"/>
      <c r="J13" s="216"/>
      <c r="K13" s="216"/>
      <c r="L13" s="210"/>
      <c r="M13" s="226" t="str">
        <f ca="1">IF(NeoBerInfB!$K$42&gt;0,TRUNC(NeoBerInfB!$C$42),"")</f>
        <v/>
      </c>
      <c r="N13" s="217" t="str">
        <f ca="1">IF(NeoBerInfB!$K$42&gt;0,IF(_Neo_1700_TPN_DagKeuze&lt;&gt;1,(NeoBerInfB!$C$42-M13)*100,0),"")</f>
        <v/>
      </c>
      <c r="O13" s="213"/>
      <c r="P13" s="214"/>
    </row>
    <row r="14" spans="1:16" ht="15" x14ac:dyDescent="0.2">
      <c r="A14" s="225"/>
      <c r="B14" s="213"/>
      <c r="C14" s="220"/>
      <c r="D14" s="221"/>
      <c r="E14" s="221"/>
      <c r="F14" s="221"/>
      <c r="G14" s="221"/>
      <c r="H14" s="221" t="s">
        <v>544</v>
      </c>
      <c r="I14" s="221"/>
      <c r="J14" s="221"/>
      <c r="K14" s="221"/>
      <c r="L14" s="222"/>
      <c r="M14" s="223" t="str">
        <f>IF(Var_Neo_InfB_TPN_DagKeuze=2,TRUNC(NeoBerInfB!$C$43),"")</f>
        <v/>
      </c>
      <c r="N14" s="224" t="str">
        <f>IF(Var_Neo_InfB_TPN_DagKeuze=2,(NeoBerInfB!$C$43-M14)*100,"")</f>
        <v/>
      </c>
      <c r="O14" s="213"/>
      <c r="P14" s="214"/>
    </row>
    <row r="15" spans="1:16" ht="15" x14ac:dyDescent="0.2">
      <c r="A15" s="225"/>
      <c r="B15" s="213"/>
      <c r="C15" s="209"/>
      <c r="D15" s="216"/>
      <c r="E15" s="216"/>
      <c r="F15" s="216"/>
      <c r="G15" s="216"/>
      <c r="H15" s="216" t="s">
        <v>333</v>
      </c>
      <c r="I15" s="216"/>
      <c r="J15" s="216"/>
      <c r="K15" s="216"/>
      <c r="L15" s="210"/>
      <c r="M15" s="226" t="str">
        <f>IF(Var_Neo_InfB_TPN_DagKeuze=3,TRUNC(NeoBerInfB!$C$44),"")</f>
        <v/>
      </c>
      <c r="N15" s="217" t="str">
        <f>IF(Var_Neo_InfB_TPN_DagKeuze=3,(NeoBerInfB!$C$44-M15)*100,"")</f>
        <v/>
      </c>
      <c r="O15" s="213"/>
      <c r="P15" s="214"/>
    </row>
    <row r="16" spans="1:16" ht="15" x14ac:dyDescent="0.2">
      <c r="A16" s="220"/>
      <c r="B16" s="222"/>
      <c r="C16" s="220"/>
      <c r="D16" s="221"/>
      <c r="E16" s="221"/>
      <c r="F16" s="221"/>
      <c r="G16" s="221"/>
      <c r="H16" s="221" t="str">
        <f>INDEX(tbl_Neo_Opl,NeoBerInfB!D45+1,1)</f>
        <v>glucose 10%</v>
      </c>
      <c r="I16" s="221"/>
      <c r="J16" s="221"/>
      <c r="K16" s="221"/>
      <c r="L16" s="222"/>
      <c r="M16" s="223" t="str">
        <f>IF(NeoBerInfB!$K$45&gt;0,TRUNC(NeoBerInfB!$K$45),"")</f>
        <v/>
      </c>
      <c r="N16" s="224" t="str">
        <f>IF(NeoBerInfB!$K$45&gt;0,(NeoBerInfB!$K$45-M16)*100,"")</f>
        <v/>
      </c>
      <c r="O16" s="213"/>
      <c r="P16" s="214"/>
    </row>
    <row r="17" spans="1:18" ht="14.25" customHeight="1" x14ac:dyDescent="0.2">
      <c r="A17" s="211"/>
      <c r="B17" s="211"/>
      <c r="C17" s="213"/>
      <c r="D17" s="213"/>
      <c r="E17" s="213"/>
      <c r="F17" s="213"/>
      <c r="G17" s="213"/>
      <c r="H17" s="227" t="s">
        <v>112</v>
      </c>
      <c r="I17" s="227"/>
      <c r="J17" s="227"/>
      <c r="K17" s="216"/>
      <c r="L17" s="216"/>
      <c r="M17" s="226" t="str">
        <f ca="1">IF(SUM(M8:N16)&gt;0,TRUNC(SUM(M8:M16)+SUM(N8:N16)/100),"")</f>
        <v/>
      </c>
      <c r="N17" s="217" t="e">
        <f ca="1">ROUND(IF(SUM(M8:N16)&gt;0,(SUM(M8:M16)+SUM(N8:N16)/100-M17)*100,""),0)</f>
        <v>#VALUE!</v>
      </c>
      <c r="O17" s="213"/>
      <c r="P17" s="214"/>
    </row>
    <row r="18" spans="1:18" ht="14.25" customHeight="1" x14ac:dyDescent="0.2">
      <c r="A18" s="221"/>
      <c r="B18" s="221"/>
      <c r="C18" s="213"/>
      <c r="D18" s="213"/>
      <c r="E18" s="213"/>
      <c r="F18" s="213"/>
      <c r="G18" s="213"/>
      <c r="H18" s="213"/>
      <c r="I18" s="213"/>
      <c r="J18" s="228"/>
      <c r="K18" s="213"/>
      <c r="L18" s="213"/>
      <c r="M18" s="229"/>
      <c r="N18" s="230"/>
      <c r="O18" s="213"/>
      <c r="P18" s="214"/>
    </row>
    <row r="19" spans="1:18" ht="14.25" customHeight="1" x14ac:dyDescent="0.2">
      <c r="A19" s="209" t="s">
        <v>177</v>
      </c>
      <c r="B19" s="216"/>
      <c r="C19" s="210"/>
      <c r="D19" s="213"/>
      <c r="E19" s="213"/>
      <c r="F19" s="213"/>
      <c r="G19" s="213"/>
      <c r="H19" s="213"/>
      <c r="I19" s="213"/>
      <c r="J19" s="213"/>
      <c r="K19" s="213"/>
      <c r="L19" s="213"/>
      <c r="M19" s="231"/>
      <c r="N19" s="232"/>
      <c r="O19" s="213"/>
      <c r="P19" s="214"/>
    </row>
    <row r="20" spans="1:18" ht="14.25" customHeight="1" x14ac:dyDescent="0.2">
      <c r="A20" s="233" t="str">
        <f>IF(F20&lt;&gt;"",Var_Neo_InfB_Cont_Stand_10/10,"")</f>
        <v/>
      </c>
      <c r="B20" s="234"/>
      <c r="C20" s="235"/>
      <c r="D20" s="209" t="str">
        <f>IF(F20&lt;&gt;"","Zijlijn 1","")</f>
        <v/>
      </c>
      <c r="E20" s="216"/>
      <c r="F20" s="216" t="str">
        <f>IF(NeoBerInfB!E29&gt;1,INDEX(tbl_Neo_Opl,NeoBerInfB!E29,1),"")</f>
        <v/>
      </c>
      <c r="G20" s="216"/>
      <c r="H20" s="216"/>
      <c r="I20" s="216"/>
      <c r="J20" s="216"/>
      <c r="K20" s="216"/>
      <c r="L20" s="210"/>
      <c r="M20" s="226" t="str">
        <f>IF(F20&lt;&gt;"",TRUNC(A20*24),"")</f>
        <v/>
      </c>
      <c r="N20" s="217" t="str">
        <f>IF(F20&lt;&gt;"",((A20*24)-M20)*100,"")</f>
        <v/>
      </c>
      <c r="O20" s="213" t="str">
        <f>IF(Var_Neo_InfB_Cont_VochtExtra_12,"extra","")</f>
        <v/>
      </c>
      <c r="P20" s="214"/>
    </row>
    <row r="21" spans="1:18" ht="14.25" customHeight="1" x14ac:dyDescent="0.2">
      <c r="A21" s="233" t="str">
        <f>IF(F21&lt;&gt;"",Var_Neo_InfB_Cont_Stand_11/10,"")</f>
        <v/>
      </c>
      <c r="B21" s="234"/>
      <c r="C21" s="235"/>
      <c r="D21" s="209" t="str">
        <f>IF(F21&lt;&gt;"","Zijlijn 2","")</f>
        <v/>
      </c>
      <c r="E21" s="216"/>
      <c r="F21" s="216" t="str">
        <f>IF(NeoBerInfB!E30&gt;1,INDEX(tbl_Neo_Opl,NeoBerInfB!E30,1),"")</f>
        <v/>
      </c>
      <c r="G21" s="216"/>
      <c r="H21" s="216"/>
      <c r="I21" s="216"/>
      <c r="J21" s="216"/>
      <c r="K21" s="216"/>
      <c r="L21" s="210"/>
      <c r="M21" s="226" t="str">
        <f>IF(F21&lt;&gt;"",TRUNC(A21*24),"")</f>
        <v/>
      </c>
      <c r="N21" s="217" t="str">
        <f>IF(F21&lt;&gt;"",((A21*24)-M21)*100,"")</f>
        <v/>
      </c>
      <c r="O21" s="213" t="str">
        <f>IF(Var_Neo_InfB_Cont_VochtExtra_13,"extra","")</f>
        <v/>
      </c>
      <c r="P21" s="214"/>
    </row>
    <row r="22" spans="1:18" ht="14.25" customHeight="1" x14ac:dyDescent="0.2">
      <c r="A22" s="233" t="str">
        <f>IF(F22&lt;&gt;"",Var_Neo_InfB_Cont_Stand_12/10,"")</f>
        <v/>
      </c>
      <c r="B22" s="234"/>
      <c r="C22" s="235"/>
      <c r="D22" s="209" t="str">
        <f>IF(F22&lt;&gt;"","Zijlijn 3","")</f>
        <v/>
      </c>
      <c r="E22" s="216"/>
      <c r="F22" s="216" t="str">
        <f>IF(NeoBerInfB!E31&gt;1,INDEX(tbl_Neo_Opl,NeoBerInfB!E31,1),"")</f>
        <v/>
      </c>
      <c r="G22" s="216"/>
      <c r="H22" s="216"/>
      <c r="I22" s="216"/>
      <c r="J22" s="216"/>
      <c r="K22" s="216"/>
      <c r="L22" s="210"/>
      <c r="M22" s="226" t="str">
        <f>IF(F22&lt;&gt;"",TRUNC(A22*24),"")</f>
        <v/>
      </c>
      <c r="N22" s="217" t="str">
        <f>IF(F22&lt;&gt;"",((A22*24)-M22)*100,"")</f>
        <v/>
      </c>
      <c r="O22" s="213" t="str">
        <f>IF(Var_Neo_InfB_Cont_VochtExtra_14,"extra","")</f>
        <v/>
      </c>
      <c r="P22" s="214"/>
    </row>
    <row r="23" spans="1:18" ht="14.25" customHeight="1" x14ac:dyDescent="0.2">
      <c r="A23" s="233" t="str">
        <f ca="1">IF(D23&lt;&gt;"",ROUNDUP(NeoBerInfB!C35/24,1),"")</f>
        <v/>
      </c>
      <c r="B23" s="234"/>
      <c r="C23" s="235"/>
      <c r="D23" s="209" t="str">
        <f ca="1">IF(NeoBerInfB!C35&lt;&gt;0,INDEX(tbl_Neo_IntralipidSmof,Var_Neo_InfB_TPN_IntralipidSmof),"")</f>
        <v/>
      </c>
      <c r="E23" s="216"/>
      <c r="F23" s="216"/>
      <c r="G23" s="216"/>
      <c r="H23" s="216"/>
      <c r="I23" s="216"/>
      <c r="J23" s="216"/>
      <c r="K23" s="216"/>
      <c r="L23" s="210"/>
      <c r="M23" s="226" t="str">
        <f ca="1">IF(D23&lt;&gt;"",TRUNC(NeoBerInfB!C35),"")</f>
        <v/>
      </c>
      <c r="N23" s="217" t="str">
        <f ca="1">IF(D23&lt;&gt;"",(NeoBerInfB!C35-M23)*100,"")</f>
        <v/>
      </c>
      <c r="O23" s="213"/>
      <c r="P23" s="214"/>
    </row>
    <row r="24" spans="1:18" ht="14.25" customHeight="1" x14ac:dyDescent="0.2">
      <c r="A24" s="216"/>
      <c r="B24" s="213"/>
      <c r="C24" s="213"/>
      <c r="D24" s="213"/>
      <c r="E24" s="213"/>
      <c r="F24" s="213"/>
      <c r="G24" s="213"/>
      <c r="H24" s="213"/>
      <c r="I24" s="213"/>
      <c r="J24" s="213"/>
      <c r="K24" s="213"/>
      <c r="L24" s="213"/>
      <c r="M24" s="236"/>
      <c r="N24" s="237"/>
      <c r="O24" s="213"/>
      <c r="P24" s="214"/>
    </row>
    <row r="25" spans="1:18" ht="14.25" customHeight="1" x14ac:dyDescent="0.2">
      <c r="A25" s="209" t="s">
        <v>177</v>
      </c>
      <c r="B25" s="210"/>
      <c r="C25" s="213"/>
      <c r="D25" s="213"/>
      <c r="E25" s="213"/>
      <c r="F25" s="213"/>
      <c r="G25" s="213"/>
      <c r="H25" s="213"/>
      <c r="I25" s="213"/>
      <c r="J25" s="213"/>
      <c r="K25" s="213"/>
      <c r="L25" s="213"/>
      <c r="M25" s="231"/>
      <c r="N25" s="232"/>
      <c r="O25" s="213"/>
      <c r="P25" s="214"/>
    </row>
    <row r="26" spans="1:18" ht="14.25" customHeight="1" x14ac:dyDescent="0.2">
      <c r="A26" s="233" t="str">
        <f>IF(NeoBerInfB!B20&gt;1,NeoBerInfB!F20/10,"")</f>
        <v/>
      </c>
      <c r="B26" s="233"/>
      <c r="C26" s="238" t="str">
        <f>IF(A26&lt;&gt;"",IF(NeoBerInfB!B20&gt;1,INDEX(tbl_Neo_MedIV,NeoBerInfB!B20,1),""),"")</f>
        <v/>
      </c>
      <c r="D26" s="211"/>
      <c r="E26" s="212" t="str">
        <f>IF(A26&lt;&gt;"",IF(NeoBerInfB!B20&gt;1,NeoBerInfB!C20/10,""),"")</f>
        <v/>
      </c>
      <c r="F26" s="211" t="str">
        <f>IF(Var_Neo_InfB_Cont_MedKeuze_1&lt;&gt;5,"mg","ml")</f>
        <v>mg</v>
      </c>
      <c r="G26" s="239" t="s">
        <v>545</v>
      </c>
      <c r="H26" s="211" t="str">
        <f>IF(A26&lt;&gt;"",IF(NeoBerInfB!B20&gt;1,INDEX(tbl_Neo_MedIV,NeoBerInfB!B20,3),""),"")</f>
        <v/>
      </c>
      <c r="I26" s="211" t="s">
        <v>546</v>
      </c>
      <c r="J26" s="211" t="str">
        <f>IF(A26&lt;&gt;"",IF(NeoBerInfB!B20&gt;1,INDEX(tbl_Neo_MedIV,NeoBerInfB!B20,4),""),"")</f>
        <v/>
      </c>
      <c r="K26" s="211" t="s">
        <v>547</v>
      </c>
      <c r="L26" s="211"/>
      <c r="M26" s="240" t="str">
        <f>IF(A26&lt;&gt;"",TRUNC((J26/H26)*E26),"")</f>
        <v/>
      </c>
      <c r="N26" s="241" t="str">
        <f>IF(A26&lt;&gt;"",(ROUND((J26/H26)*E26,2)-M26)*100,"")</f>
        <v/>
      </c>
      <c r="O26" s="213" t="str">
        <f>IF(C26&lt;&gt;"",IF(Var_Neo_InfB_Cont_VochtExtra_02,"extra",""),"")</f>
        <v/>
      </c>
      <c r="P26" s="214"/>
      <c r="R26" s="204">
        <f>NeoBerInfB!B20</f>
        <v>1</v>
      </c>
    </row>
    <row r="27" spans="1:18" ht="14.25" customHeight="1" x14ac:dyDescent="0.2">
      <c r="A27" s="233"/>
      <c r="B27" s="233"/>
      <c r="C27" s="225"/>
      <c r="D27" s="213"/>
      <c r="E27" s="213"/>
      <c r="F27" s="213"/>
      <c r="G27" s="242"/>
      <c r="H27" s="213"/>
      <c r="I27" s="213" t="s">
        <v>548</v>
      </c>
      <c r="J27" s="213" t="str">
        <f>IF(A26&lt;&gt;"",IF(A26&gt;0,NeoPrtAfspr!I33,""),"")</f>
        <v/>
      </c>
      <c r="K27" s="213"/>
      <c r="L27" s="213"/>
      <c r="M27" s="243" t="str">
        <f>IF(A26&lt;&gt;"",TRUNC(M28+N28/100-M26-N26/100),"")</f>
        <v/>
      </c>
      <c r="N27" s="244" t="str">
        <f>IF(A26&lt;&gt;"",(M28+N28/100-M26-N26/100-M27)*100,"")</f>
        <v/>
      </c>
      <c r="O27" s="213"/>
      <c r="P27" s="214"/>
    </row>
    <row r="28" spans="1:18" ht="14.25" customHeight="1" x14ac:dyDescent="0.2">
      <c r="A28" s="233"/>
      <c r="B28" s="233"/>
      <c r="C28" s="220" t="str">
        <f>IF(A26&lt;&gt;"",NeoPrtAfspr!K33,"")</f>
        <v/>
      </c>
      <c r="D28" s="221"/>
      <c r="E28" s="221" t="str">
        <f>IF(A26&lt;&gt;"",NeoPrtAfspr!M33&amp;" "&amp;NeoPrtAfspr!N33,"")</f>
        <v/>
      </c>
      <c r="F28" s="221"/>
      <c r="G28" s="245"/>
      <c r="H28" s="221"/>
      <c r="I28" s="221"/>
      <c r="J28" s="246" t="s">
        <v>112</v>
      </c>
      <c r="K28" s="221"/>
      <c r="L28" s="221"/>
      <c r="M28" s="226" t="str">
        <f>IF(A26&lt;&gt;"",TRUNC(Var_Neo_InfB_Cont_OplHoev_1),"")</f>
        <v/>
      </c>
      <c r="N28" s="217" t="str">
        <f>IF(A26&lt;&gt;"",(Var_Neo_InfB_Cont_OplHoev_1-M28)*100,"")</f>
        <v/>
      </c>
      <c r="O28" s="213"/>
      <c r="P28" s="214"/>
    </row>
    <row r="29" spans="1:18" ht="14.25" customHeight="1" x14ac:dyDescent="0.2">
      <c r="A29" s="233" t="str">
        <f>IF(NeoBerInfB!B21&gt;1,NeoBerInfB!F21/10,"")</f>
        <v/>
      </c>
      <c r="B29" s="233"/>
      <c r="C29" s="238" t="str">
        <f>IF(A29&lt;&gt;"",IF(NeoBerInfB!B21&gt;1,INDEX(tbl_Neo_MedIV,NeoBerInfB!B21,1),""),"")</f>
        <v/>
      </c>
      <c r="D29" s="211"/>
      <c r="E29" s="212" t="str">
        <f>IF(A29&lt;&gt;"",IF(NeoBerInfB!B21&gt;1,NeoBerInfB!C21/10,""),"")</f>
        <v/>
      </c>
      <c r="F29" s="211" t="str">
        <f>IF(Var_Neo_InfB_Cont_MedKeuze_2&lt;&gt;5,"mg","ml")</f>
        <v>mg</v>
      </c>
      <c r="G29" s="239" t="s">
        <v>545</v>
      </c>
      <c r="H29" s="211" t="str">
        <f>IF(A29&lt;&gt;"",IF(NeoBerInfB!B21&gt;1,INDEX(tbl_Neo_MedIV,NeoBerInfB!B21,3),""),"")</f>
        <v/>
      </c>
      <c r="I29" s="211" t="s">
        <v>546</v>
      </c>
      <c r="J29" s="211" t="str">
        <f>IF(A29&lt;&gt;"",IF(NeoBerInfB!B21&gt;1,INDEX(tbl_Neo_MedIV,NeoBerInfB!B21,4),""),"")</f>
        <v/>
      </c>
      <c r="K29" s="211" t="s">
        <v>547</v>
      </c>
      <c r="L29" s="211"/>
      <c r="M29" s="243" t="str">
        <f>IF(A29&lt;&gt;"",TRUNC((J29/H29)*E29),"")</f>
        <v/>
      </c>
      <c r="N29" s="244" t="str">
        <f>IF(A29&lt;&gt;"",(IF(A29&gt;0,ROUND((J29/H29)*E29,2),0)-M29)*100,"")</f>
        <v/>
      </c>
      <c r="O29" s="213" t="str">
        <f>IF(C29&lt;&gt;"",IF(Var_Neo_InfB_Cont_VochtExtra_03,"extra",""),"")</f>
        <v/>
      </c>
      <c r="P29" s="214"/>
    </row>
    <row r="30" spans="1:18" ht="14.25" customHeight="1" x14ac:dyDescent="0.2">
      <c r="A30" s="233"/>
      <c r="B30" s="233"/>
      <c r="C30" s="225"/>
      <c r="D30" s="213"/>
      <c r="E30" s="213"/>
      <c r="F30" s="213"/>
      <c r="G30" s="242"/>
      <c r="H30" s="213"/>
      <c r="I30" s="213" t="s">
        <v>548</v>
      </c>
      <c r="J30" s="213" t="str">
        <f>IF(A29&lt;&gt;"",IF(A29&gt;0,NeoPrtAfspr!I34,""),"")</f>
        <v/>
      </c>
      <c r="K30" s="213"/>
      <c r="L30" s="213"/>
      <c r="M30" s="243" t="str">
        <f>IF(A29&lt;&gt;"",TRUNC(IF(A29&gt;0,M31+N31/100-M29-N29/100,0)),"")</f>
        <v/>
      </c>
      <c r="N30" s="244" t="str">
        <f>IF(A29&lt;&gt;"",(IF(A29&gt;0,M31+N31/100-M29-N29/100,0)-M30)*100,"")</f>
        <v/>
      </c>
      <c r="O30" s="213"/>
      <c r="P30" s="214"/>
    </row>
    <row r="31" spans="1:18" ht="14.25" customHeight="1" x14ac:dyDescent="0.2">
      <c r="A31" s="233"/>
      <c r="B31" s="233"/>
      <c r="C31" s="220" t="str">
        <f>IF(A29&lt;&gt;"",NeoPrtAfspr!K34,"")</f>
        <v/>
      </c>
      <c r="D31" s="221"/>
      <c r="E31" s="221" t="str">
        <f>IF(A29&lt;&gt;"",NeoPrtAfspr!M34&amp;" "&amp;NeoPrtAfspr!N34,"")</f>
        <v/>
      </c>
      <c r="F31" s="221"/>
      <c r="G31" s="245"/>
      <c r="H31" s="221"/>
      <c r="I31" s="221"/>
      <c r="J31" s="246" t="s">
        <v>112</v>
      </c>
      <c r="K31" s="221"/>
      <c r="L31" s="221"/>
      <c r="M31" s="226" t="str">
        <f>IF(A29&lt;&gt;"",TRUNC(Var_Neo_InfB_Cont_OplHoev_2),"")</f>
        <v/>
      </c>
      <c r="N31" s="217" t="str">
        <f>IF(A29&lt;&gt;"",(Var_Neo_InfB_Cont_OplHoev_2-M31)*100,"")</f>
        <v/>
      </c>
      <c r="O31" s="213"/>
      <c r="P31" s="214"/>
    </row>
    <row r="32" spans="1:18" ht="14.25" customHeight="1" x14ac:dyDescent="0.2">
      <c r="A32" s="233" t="str">
        <f>IF(NeoBerInfB!B22&gt;1,NeoBerInfB!F22/10,"")</f>
        <v/>
      </c>
      <c r="B32" s="233"/>
      <c r="C32" s="238" t="str">
        <f>IF(A32&lt;&gt;"",IF(NeoBerInfB!B22&gt;1,INDEX(tbl_Neo_MedIV,NeoBerInfB!B22,1),""),"")</f>
        <v/>
      </c>
      <c r="D32" s="211"/>
      <c r="E32" s="212" t="str">
        <f>IF(A32&lt;&gt;"",IF(NeoBerInfB!B22&gt;1,NeoBerInfB!C22/10,""),"")</f>
        <v/>
      </c>
      <c r="F32" s="211" t="str">
        <f>IF(Var_Neo_InfB_Cont_MedKeuze_3&lt;&gt;5,"mg","ml")</f>
        <v>mg</v>
      </c>
      <c r="G32" s="239" t="s">
        <v>545</v>
      </c>
      <c r="H32" s="211" t="str">
        <f>IF(A32&lt;&gt;"",IF(NeoBerInfB!B22&gt;1,INDEX(tbl_Neo_MedIV,NeoBerInfB!B22,3),""),"")</f>
        <v/>
      </c>
      <c r="I32" s="211" t="s">
        <v>546</v>
      </c>
      <c r="J32" s="211" t="str">
        <f>IF(A32&lt;&gt;"",IF(NeoBerInfB!B22&gt;1,INDEX(tbl_Neo_MedIV,NeoBerInfB!B22,4),""),"")</f>
        <v/>
      </c>
      <c r="K32" s="211" t="s">
        <v>547</v>
      </c>
      <c r="L32" s="211"/>
      <c r="M32" s="240" t="str">
        <f>IF(A32&lt;&gt;"",TRUNC((J32/H32)*E32),"")</f>
        <v/>
      </c>
      <c r="N32" s="241" t="str">
        <f>IF(A32&lt;&gt;"",(IF(A32&gt;0,ROUND((J32/H32)*E32,2),0)-M32)*100,"")</f>
        <v/>
      </c>
      <c r="O32" s="213" t="str">
        <f>IF(C32&lt;&gt;"",IF(Var_Neo_InfB_Cont_VochtExtra_04,"extra",""),"")</f>
        <v/>
      </c>
      <c r="P32" s="214"/>
    </row>
    <row r="33" spans="1:16" ht="15" x14ac:dyDescent="0.2">
      <c r="A33" s="233"/>
      <c r="B33" s="233"/>
      <c r="C33" s="225"/>
      <c r="D33" s="213"/>
      <c r="E33" s="213"/>
      <c r="F33" s="213"/>
      <c r="G33" s="242"/>
      <c r="H33" s="213"/>
      <c r="I33" s="213" t="s">
        <v>548</v>
      </c>
      <c r="J33" s="213" t="str">
        <f>IF(A32&lt;&gt;"",IF(A32&gt;0,NeoPrtAfspr!I35,""),"")</f>
        <v/>
      </c>
      <c r="K33" s="213"/>
      <c r="L33" s="213"/>
      <c r="M33" s="243" t="str">
        <f>IF(A32&lt;&gt;"",TRUNC(IF(A32&gt;0,M34+N34/100-M32-N32/100,0)),"")</f>
        <v/>
      </c>
      <c r="N33" s="244" t="str">
        <f>IF(A32&lt;&gt;"",(IF(A32&gt;0,M34+N34/100-M32-N32/100,0)-M33)*100,"")</f>
        <v/>
      </c>
      <c r="O33" s="213"/>
      <c r="P33" s="214"/>
    </row>
    <row r="34" spans="1:16" ht="15" x14ac:dyDescent="0.2">
      <c r="A34" s="233"/>
      <c r="B34" s="233"/>
      <c r="C34" s="220" t="str">
        <f>IF(A32&lt;&gt;"",NeoPrtAfspr!K35,"")</f>
        <v/>
      </c>
      <c r="D34" s="221"/>
      <c r="E34" s="221" t="str">
        <f>IF(A32&lt;&gt;"",NeoPrtAfspr!M35&amp;" "&amp;NeoPrtAfspr!N35,"")</f>
        <v/>
      </c>
      <c r="F34" s="221"/>
      <c r="G34" s="245"/>
      <c r="H34" s="221"/>
      <c r="I34" s="221"/>
      <c r="J34" s="246" t="s">
        <v>112</v>
      </c>
      <c r="K34" s="221"/>
      <c r="L34" s="221"/>
      <c r="M34" s="226" t="str">
        <f>IF(A32&lt;&gt;"",TRUNC(Var_Neo_InfB_Cont_OplHoev_3),"")</f>
        <v/>
      </c>
      <c r="N34" s="217" t="str">
        <f>IF(A32&lt;&gt;"",(Var_Neo_InfB_Cont_OplHoev_3-M34)*100,"")</f>
        <v/>
      </c>
      <c r="O34" s="213"/>
      <c r="P34" s="214"/>
    </row>
    <row r="35" spans="1:16" ht="15" x14ac:dyDescent="0.2">
      <c r="A35" s="233" t="str">
        <f>IF(NeoBerInfB!B23&gt;1,NeoBerInfB!F23/10,"")</f>
        <v/>
      </c>
      <c r="B35" s="233"/>
      <c r="C35" s="238" t="str">
        <f>IF(A35&lt;&gt;"",IF(NeoBerInfB!B23&gt;1,INDEX(tbl_Neo_MedIV,NeoBerInfB!B23,1),""),"")</f>
        <v/>
      </c>
      <c r="D35" s="211"/>
      <c r="E35" s="212" t="str">
        <f>IF(A35&lt;&gt;"",IF(NeoBerInfB!B23&gt;1,NeoBerInfB!C23/10,""),"")</f>
        <v/>
      </c>
      <c r="F35" s="211" t="str">
        <f>IF(Var_Neo_InfB_Cont_MedKeuze_4&lt;&gt;5,"mg","ml")</f>
        <v>mg</v>
      </c>
      <c r="G35" s="239" t="s">
        <v>545</v>
      </c>
      <c r="H35" s="211" t="str">
        <f>IF(A35&lt;&gt;"",IF(NeoBerInfB!B23&gt;1,INDEX(tbl_Neo_MedIV,NeoBerInfB!B23,3),""),"")</f>
        <v/>
      </c>
      <c r="I35" s="211" t="s">
        <v>546</v>
      </c>
      <c r="J35" s="211" t="str">
        <f>IF(A35&lt;&gt;"",IF(NeoBerInfB!B23&gt;1,INDEX(tbl_Neo_MedIV,NeoBerInfB!B23,4),""),"")</f>
        <v/>
      </c>
      <c r="K35" s="211" t="s">
        <v>547</v>
      </c>
      <c r="L35" s="211"/>
      <c r="M35" s="243" t="str">
        <f>IF(A35&lt;&gt;"",TRUNC((J35/H35)*E35),"")</f>
        <v/>
      </c>
      <c r="N35" s="244" t="str">
        <f>IF(A35&lt;&gt;"",(IF(A35&gt;0,ROUND((J35/H35)*E35,2),0)-M35)*100,"")</f>
        <v/>
      </c>
      <c r="O35" s="213" t="str">
        <f>IF(C35&lt;&gt;"",IF(Var_Neo_InfB_Cont_VochtExtra_05,"extra",""),"")</f>
        <v/>
      </c>
      <c r="P35" s="214"/>
    </row>
    <row r="36" spans="1:16" ht="15" x14ac:dyDescent="0.2">
      <c r="A36" s="233"/>
      <c r="B36" s="233"/>
      <c r="C36" s="225"/>
      <c r="D36" s="213"/>
      <c r="E36" s="213"/>
      <c r="F36" s="213"/>
      <c r="G36" s="242"/>
      <c r="H36" s="213"/>
      <c r="I36" s="213" t="s">
        <v>548</v>
      </c>
      <c r="J36" s="213" t="str">
        <f>IF(A35&lt;&gt;"",IF(A35&gt;0,NeoPrtAfspr!I36,""),"")</f>
        <v/>
      </c>
      <c r="K36" s="213"/>
      <c r="L36" s="213"/>
      <c r="M36" s="243" t="str">
        <f>IF(A35&lt;&gt;"",TRUNC(IF(A35&gt;0,M37+N37/100-M35-N35/100,0)),"")</f>
        <v/>
      </c>
      <c r="N36" s="244" t="str">
        <f>IF(A35&lt;&gt;"",(IF(A35&gt;0,M37+N37/100-M35-N35/100,0)-M36)*100,"")</f>
        <v/>
      </c>
      <c r="O36" s="213"/>
      <c r="P36" s="214"/>
    </row>
    <row r="37" spans="1:16" ht="15" x14ac:dyDescent="0.2">
      <c r="A37" s="233"/>
      <c r="B37" s="233"/>
      <c r="C37" s="220" t="str">
        <f>IF(A35&lt;&gt;"",NeoPrtAfspr!K36,"")</f>
        <v/>
      </c>
      <c r="D37" s="221"/>
      <c r="E37" s="221" t="str">
        <f>IF(A35&lt;&gt;"",NeoPrtAfspr!M36&amp;" "&amp;NeoPrtAfspr!N36,"")</f>
        <v/>
      </c>
      <c r="F37" s="221"/>
      <c r="G37" s="245"/>
      <c r="H37" s="221"/>
      <c r="I37" s="221"/>
      <c r="J37" s="246" t="s">
        <v>112</v>
      </c>
      <c r="K37" s="221"/>
      <c r="L37" s="221"/>
      <c r="M37" s="226" t="str">
        <f>IF(A35&lt;&gt;"",TRUNC(Var_Neo_InfB_Cont_OplHoev_4),"")</f>
        <v/>
      </c>
      <c r="N37" s="217" t="str">
        <f>IF(A35&lt;&gt;"",(Var_Neo_InfB_Cont_OplHoev_4-M37)*100,"")</f>
        <v/>
      </c>
      <c r="O37" s="213"/>
      <c r="P37" s="214"/>
    </row>
    <row r="38" spans="1:16" ht="15" x14ac:dyDescent="0.2">
      <c r="A38" s="233" t="str">
        <f>IF(NeoBerInfB!B24&gt;1,NeoBerInfB!F24/10,"")</f>
        <v/>
      </c>
      <c r="B38" s="233"/>
      <c r="C38" s="238" t="str">
        <f>IF(A38&lt;&gt;"",IF(NeoBerInfB!B24&gt;1,INDEX(tbl_Neo_MedIV,NeoBerInfB!B24,1),""),"")</f>
        <v/>
      </c>
      <c r="D38" s="211"/>
      <c r="E38" s="212" t="str">
        <f>IF(A38&lt;&gt;"",IF(NeoBerInfB!B24&gt;1,NeoBerInfB!C24/10,""),"")</f>
        <v/>
      </c>
      <c r="F38" s="211" t="str">
        <f>IF(Var_Neo_InfB_Cont_MedKeuze_5&lt;&gt;5,"mg","ml")</f>
        <v>mg</v>
      </c>
      <c r="G38" s="239" t="s">
        <v>545</v>
      </c>
      <c r="H38" s="211" t="str">
        <f>IF(A38&lt;&gt;"",IF(NeoBerInfB!B24&gt;1,INDEX(tbl_Neo_MedIV,NeoBerInfB!B24,3),""),"")</f>
        <v/>
      </c>
      <c r="I38" s="211" t="s">
        <v>546</v>
      </c>
      <c r="J38" s="211" t="str">
        <f>IF(A38&lt;&gt;"",IF(NeoBerInfB!B24&gt;1,INDEX(tbl_Neo_MedIV,NeoBerInfB!B24,4),""),"")</f>
        <v/>
      </c>
      <c r="K38" s="211" t="s">
        <v>547</v>
      </c>
      <c r="L38" s="211"/>
      <c r="M38" s="240" t="str">
        <f>IF(A38&lt;&gt;"",TRUNC((J38/H38)*E38),"")</f>
        <v/>
      </c>
      <c r="N38" s="241" t="str">
        <f>IF(A38&lt;&gt;"",(IF(A38&gt;0,ROUND((J38/H38)*E38,2),0)-M38)*100,"")</f>
        <v/>
      </c>
      <c r="O38" s="213" t="str">
        <f>IF(C38&lt;&gt;"",IF(Var_Neo_InfB_Cont_VochtExtra_06,"extra",""),"")</f>
        <v/>
      </c>
      <c r="P38" s="214"/>
    </row>
    <row r="39" spans="1:16" ht="15" x14ac:dyDescent="0.2">
      <c r="A39" s="233"/>
      <c r="B39" s="233"/>
      <c r="C39" s="225"/>
      <c r="D39" s="213"/>
      <c r="E39" s="213"/>
      <c r="F39" s="213"/>
      <c r="G39" s="242"/>
      <c r="H39" s="213"/>
      <c r="I39" s="213" t="s">
        <v>548</v>
      </c>
      <c r="J39" s="213" t="str">
        <f>IF(A38&lt;&gt;"",IF(A38&gt;0,NeoPrtAfspr!I37,""),"")</f>
        <v/>
      </c>
      <c r="K39" s="213"/>
      <c r="L39" s="213"/>
      <c r="M39" s="243" t="str">
        <f>IF(A38&lt;&gt;"",TRUNC(IF(A38&gt;0,M40+N40/100-M38-N38/100,0)),"")</f>
        <v/>
      </c>
      <c r="N39" s="244" t="str">
        <f>IF(A38&lt;&gt;"",(IF(A38&gt;0,M40+N40/100-M38-N38/100,0)-M39)*100,"")</f>
        <v/>
      </c>
      <c r="O39" s="213"/>
      <c r="P39" s="214"/>
    </row>
    <row r="40" spans="1:16" ht="15" x14ac:dyDescent="0.2">
      <c r="A40" s="233"/>
      <c r="B40" s="233"/>
      <c r="C40" s="220" t="str">
        <f>IF(A38&lt;&gt;"",NeoPrtAfspr!K37,"")</f>
        <v/>
      </c>
      <c r="D40" s="221"/>
      <c r="E40" s="221" t="str">
        <f>IF(A38&lt;&gt;"",NeoPrtAfspr!M37&amp;" "&amp;NeoPrtAfspr!N37,"")</f>
        <v/>
      </c>
      <c r="F40" s="221"/>
      <c r="G40" s="245"/>
      <c r="H40" s="221"/>
      <c r="I40" s="221"/>
      <c r="J40" s="246" t="s">
        <v>112</v>
      </c>
      <c r="K40" s="221"/>
      <c r="L40" s="221"/>
      <c r="M40" s="226" t="str">
        <f>IF(A38&lt;&gt;"",TRUNC(Var_Neo_InfB_Cont_OplHoev_5),"")</f>
        <v/>
      </c>
      <c r="N40" s="217" t="str">
        <f>IF(A38&lt;&gt;"",(Var_Neo_InfB_Cont_OplHoev_5-M40)*100,"")</f>
        <v/>
      </c>
      <c r="O40" s="213"/>
      <c r="P40" s="214"/>
    </row>
    <row r="41" spans="1:16" ht="15" x14ac:dyDescent="0.2">
      <c r="A41" s="233" t="str">
        <f>IF(NeoBerInfB!B25&gt;1,NeoBerInfB!F25/10,"")</f>
        <v/>
      </c>
      <c r="B41" s="233"/>
      <c r="C41" s="238" t="str">
        <f>IF(A41&lt;&gt;"",IF(NeoBerInfB!B25&gt;1,INDEX(tbl_Neo_MedIV,NeoBerInfB!B25,1),""),"")</f>
        <v/>
      </c>
      <c r="D41" s="211"/>
      <c r="E41" s="212" t="str">
        <f>IF(A41&lt;&gt;"",IF(NeoBerInfB!B25&gt;1,NeoBerInfB!C25/10,""),"")</f>
        <v/>
      </c>
      <c r="F41" s="211" t="str">
        <f>IF(Var_Neo_InfB_Cont_MedKeuze_6&lt;&gt;5,"mg","ml")</f>
        <v>mg</v>
      </c>
      <c r="G41" s="239" t="s">
        <v>545</v>
      </c>
      <c r="H41" s="211" t="str">
        <f>IF(A41&lt;&gt;"",IF(NeoBerInfB!B25&gt;1,INDEX(tbl_Neo_MedIV,NeoBerInfB!B25,3),""),"")</f>
        <v/>
      </c>
      <c r="I41" s="211" t="s">
        <v>546</v>
      </c>
      <c r="J41" s="211" t="str">
        <f>IF(A41&lt;&gt;"",IF(NeoBerInfB!B25&gt;1,INDEX(tbl_Neo_MedIV,NeoBerInfB!B25,4),""),"")</f>
        <v/>
      </c>
      <c r="K41" s="211" t="s">
        <v>547</v>
      </c>
      <c r="L41" s="211"/>
      <c r="M41" s="243" t="str">
        <f>IF(A41&lt;&gt;"",TRUNC((J41/H41)*E41),"")</f>
        <v/>
      </c>
      <c r="N41" s="244" t="str">
        <f>IF(A41&lt;&gt;"",(IF(A41&gt;0,ROUND((J41/H41)*E41,2),0)-M41)*100,"")</f>
        <v/>
      </c>
      <c r="O41" s="213" t="str">
        <f>IF(C41&lt;&gt;"",IF(Var_Neo_InfB_Cont_VochtExtra_07,"extra",""),"")</f>
        <v/>
      </c>
      <c r="P41" s="214"/>
    </row>
    <row r="42" spans="1:16" ht="15" x14ac:dyDescent="0.2">
      <c r="A42" s="233"/>
      <c r="B42" s="233"/>
      <c r="C42" s="225"/>
      <c r="D42" s="213"/>
      <c r="E42" s="213"/>
      <c r="F42" s="213"/>
      <c r="G42" s="242"/>
      <c r="H42" s="213"/>
      <c r="I42" s="213" t="s">
        <v>548</v>
      </c>
      <c r="J42" s="213" t="str">
        <f>IF(A41&lt;&gt;"",IF(A41&gt;0,NeoPrtAfspr!I38,""),"")</f>
        <v/>
      </c>
      <c r="K42" s="213"/>
      <c r="L42" s="213"/>
      <c r="M42" s="243" t="str">
        <f>IF(A41&lt;&gt;"",TRUNC(IF(A41&gt;0,M43+N43/100-M41-N41/100,0)),"")</f>
        <v/>
      </c>
      <c r="N42" s="244" t="str">
        <f>IF(A41&lt;&gt;"",(IF(A41&gt;0,M43+N43/100-M41-N41/100,0)-M42)*100,"")</f>
        <v/>
      </c>
      <c r="O42" s="213"/>
      <c r="P42" s="214"/>
    </row>
    <row r="43" spans="1:16" ht="15" x14ac:dyDescent="0.2">
      <c r="A43" s="233"/>
      <c r="B43" s="233"/>
      <c r="C43" s="220" t="str">
        <f>IF(A41&lt;&gt;"",NeoPrtAfspr!K38,"")</f>
        <v/>
      </c>
      <c r="D43" s="221"/>
      <c r="E43" s="221" t="str">
        <f>IF(A41&lt;&gt;"",NeoPrtAfspr!M38&amp;" "&amp;NeoPrtAfspr!N38,"")</f>
        <v/>
      </c>
      <c r="F43" s="221"/>
      <c r="G43" s="245"/>
      <c r="H43" s="221"/>
      <c r="I43" s="221"/>
      <c r="J43" s="246" t="s">
        <v>112</v>
      </c>
      <c r="K43" s="221"/>
      <c r="L43" s="221"/>
      <c r="M43" s="226" t="str">
        <f>IF(A41&lt;&gt;"",TRUNC(Var_Neo_InfB_Cont_OplHoev_6),"")</f>
        <v/>
      </c>
      <c r="N43" s="217" t="str">
        <f>IF(A41&lt;&gt;"",(Var_Neo_InfB_Cont_OplHoev_6-M43)*100,"")</f>
        <v/>
      </c>
      <c r="O43" s="213"/>
      <c r="P43" s="214"/>
    </row>
    <row r="44" spans="1:16" ht="15" x14ac:dyDescent="0.2">
      <c r="A44" s="233" t="str">
        <f>IF(NeoBerInfB!B26&gt;1,NeoBerInfB!F26/10,"")</f>
        <v/>
      </c>
      <c r="B44" s="233"/>
      <c r="C44" s="238" t="str">
        <f>IF(A44&lt;&gt;"",IF(NeoBerInfB!B26&gt;1,INDEX(tbl_Neo_MedIV,NeoBerInfB!B26,1),""),"")</f>
        <v/>
      </c>
      <c r="D44" s="211"/>
      <c r="E44" s="212" t="str">
        <f>IF(A44&lt;&gt;"",IF(NeoBerInfB!B26&gt;1,NeoBerInfB!C26/10,""),"")</f>
        <v/>
      </c>
      <c r="F44" s="211" t="str">
        <f>IF(Var_Neo_InfB_Cont_MedKeuze_7&lt;&gt;5,"mg","ml")</f>
        <v>mg</v>
      </c>
      <c r="G44" s="239" t="s">
        <v>545</v>
      </c>
      <c r="H44" s="211" t="str">
        <f>IF(A44&lt;&gt;"",IF(NeoBerInfB!B26&gt;1,INDEX(tbl_Neo_MedIV,NeoBerInfB!B26,3),""),"")</f>
        <v/>
      </c>
      <c r="I44" s="211" t="s">
        <v>546</v>
      </c>
      <c r="J44" s="211" t="str">
        <f>IF(A44&lt;&gt;"",IF(NeoBerInfB!B26&gt;1,INDEX(tbl_Neo_MedIV,NeoBerInfB!B26,4),""),"")</f>
        <v/>
      </c>
      <c r="K44" s="211" t="s">
        <v>547</v>
      </c>
      <c r="L44" s="211"/>
      <c r="M44" s="240" t="str">
        <f>IF(A44&lt;&gt;"",TRUNC((J44/H44)*E44),"")</f>
        <v/>
      </c>
      <c r="N44" s="241" t="str">
        <f>IF(A44&lt;&gt;"",(IF(A44&gt;0,ROUND((J44/H44)*E44,2),0)-M44)*100,"")</f>
        <v/>
      </c>
      <c r="O44" s="213" t="str">
        <f>IF(C44&lt;&gt;"",IF(Var_Neo_InfB_Cont_VochtExtra_08,"extra",""),"")</f>
        <v/>
      </c>
      <c r="P44" s="214"/>
    </row>
    <row r="45" spans="1:16" ht="15" x14ac:dyDescent="0.2">
      <c r="A45" s="233"/>
      <c r="B45" s="233"/>
      <c r="C45" s="225"/>
      <c r="D45" s="213"/>
      <c r="E45" s="213"/>
      <c r="F45" s="213"/>
      <c r="G45" s="242"/>
      <c r="H45" s="213"/>
      <c r="I45" s="213" t="s">
        <v>548</v>
      </c>
      <c r="J45" s="213" t="str">
        <f>IF(A44&lt;&gt;"",IF(A44&gt;0,NeoPrtAfspr!I39,""),"")</f>
        <v/>
      </c>
      <c r="K45" s="213"/>
      <c r="L45" s="213"/>
      <c r="M45" s="243" t="str">
        <f>IF(A44&lt;&gt;"",TRUNC(IF(A44&gt;0,M46+N46/100-M44-N44/100,0)),"")</f>
        <v/>
      </c>
      <c r="N45" s="244" t="str">
        <f>IF(A44&lt;&gt;"",(IF(A44&gt;0,M46+N46/100-M44-N44/100,0)-M45)*100,"")</f>
        <v/>
      </c>
      <c r="O45" s="213"/>
      <c r="P45" s="214"/>
    </row>
    <row r="46" spans="1:16" ht="15" x14ac:dyDescent="0.2">
      <c r="A46" s="233"/>
      <c r="B46" s="233"/>
      <c r="C46" s="220" t="str">
        <f>IF(A44&lt;&gt;"",NeoPrtAfspr!K39,"")</f>
        <v/>
      </c>
      <c r="D46" s="221"/>
      <c r="E46" s="221" t="str">
        <f>IF(A44&lt;&gt;"",NeoPrtAfspr!M39&amp;" "&amp;NeoPrtAfspr!N39,"")</f>
        <v/>
      </c>
      <c r="F46" s="221"/>
      <c r="G46" s="245"/>
      <c r="H46" s="221"/>
      <c r="I46" s="221"/>
      <c r="J46" s="246" t="s">
        <v>112</v>
      </c>
      <c r="K46" s="221"/>
      <c r="L46" s="221"/>
      <c r="M46" s="226" t="str">
        <f>IF(A44&lt;&gt;"",TRUNC(Var_Neo_InfB_Cont_OplHoev_7),"")</f>
        <v/>
      </c>
      <c r="N46" s="217" t="str">
        <f>IF(A44&lt;&gt;"",(Var_Neo_InfB_Cont_OplHoev_7-M46)*100,"")</f>
        <v/>
      </c>
      <c r="O46" s="213"/>
      <c r="P46" s="214"/>
    </row>
    <row r="47" spans="1:16" ht="15" x14ac:dyDescent="0.2">
      <c r="A47" s="233" t="str">
        <f>IF(NeoBerInfB!B27&gt;1,NeoBerInfB!F27/10,"")</f>
        <v/>
      </c>
      <c r="B47" s="233"/>
      <c r="C47" s="238" t="str">
        <f>IF(A47&lt;&gt;"",IF(NeoBerInfB!B27&gt;1,INDEX(tbl_Neo_MedIV,NeoBerInfB!B27,1),""),"")</f>
        <v/>
      </c>
      <c r="D47" s="211"/>
      <c r="E47" s="212" t="str">
        <f>IF(A47&lt;&gt;"",IF(NeoBerInfB!B27&gt;1,NeoBerInfB!C27/10,""),"")</f>
        <v/>
      </c>
      <c r="F47" s="211" t="str">
        <f>IF(Var_Neo_InfB_Cont_MedKeuze_8&lt;&gt;5,"mg","ml")</f>
        <v>mg</v>
      </c>
      <c r="G47" s="239" t="s">
        <v>545</v>
      </c>
      <c r="H47" s="211" t="str">
        <f>IF(A47&lt;&gt;"",IF(NeoBerInfB!B27&gt;1,INDEX(tbl_Neo_MedIV,NeoBerInfB!B27,3),""),"")</f>
        <v/>
      </c>
      <c r="I47" s="211" t="s">
        <v>546</v>
      </c>
      <c r="J47" s="211" t="str">
        <f>IF(A47&lt;&gt;"",IF(NeoBerInfB!B27&gt;1,INDEX(tbl_Neo_MedIV,NeoBerInfB!B27,4),""),"")</f>
        <v/>
      </c>
      <c r="K47" s="211" t="s">
        <v>547</v>
      </c>
      <c r="L47" s="211"/>
      <c r="M47" s="243" t="str">
        <f>IF(A47&lt;&gt;"",TRUNC((J47/H47)*E47),"")</f>
        <v/>
      </c>
      <c r="N47" s="244" t="str">
        <f>IF(A47&lt;&gt;"",(IF(A47&gt;0,ROUND((J47/H47)*E47,2),0)-M47)*100,"")</f>
        <v/>
      </c>
      <c r="O47" s="213" t="str">
        <f>IF(C47&lt;&gt;"",IF(Var_Neo_InfB_Cont_VochtExtra_02=8,"extra",""),"")</f>
        <v/>
      </c>
      <c r="P47" s="214"/>
    </row>
    <row r="48" spans="1:16" ht="15" x14ac:dyDescent="0.2">
      <c r="A48" s="233"/>
      <c r="B48" s="233"/>
      <c r="C48" s="225"/>
      <c r="D48" s="213"/>
      <c r="E48" s="213"/>
      <c r="F48" s="213"/>
      <c r="G48" s="242"/>
      <c r="H48" s="213"/>
      <c r="I48" s="213" t="s">
        <v>548</v>
      </c>
      <c r="J48" s="213" t="str">
        <f>IF(A47&lt;&gt;"",IF(A47&gt;0,NeoPrtAfspr!I40,""),"")</f>
        <v/>
      </c>
      <c r="K48" s="213"/>
      <c r="L48" s="213"/>
      <c r="M48" s="243" t="str">
        <f>IF(A47&lt;&gt;"",TRUNC(IF(A47&gt;0,M49+N49/100-M47-N47/100,0)),"")</f>
        <v/>
      </c>
      <c r="N48" s="244" t="str">
        <f>IF(A47&lt;&gt;"",(IF(A47&gt;0,M49+N49/100-M47-N47/100,0)-M48)*100,"")</f>
        <v/>
      </c>
      <c r="O48" s="213"/>
      <c r="P48" s="214"/>
    </row>
    <row r="49" spans="1:16" ht="15" x14ac:dyDescent="0.2">
      <c r="A49" s="233"/>
      <c r="B49" s="233"/>
      <c r="C49" s="220" t="str">
        <f>IF(A47&lt;&gt;"",NeoPrtAfspr!K40,"")</f>
        <v/>
      </c>
      <c r="D49" s="221"/>
      <c r="E49" s="221" t="str">
        <f>IF(A47&lt;&gt;"",NeoPrtAfspr!M40&amp;" "&amp;NeoPrtAfspr!N40,"")</f>
        <v/>
      </c>
      <c r="F49" s="221"/>
      <c r="G49" s="245"/>
      <c r="H49" s="221"/>
      <c r="I49" s="221"/>
      <c r="J49" s="246" t="s">
        <v>112</v>
      </c>
      <c r="K49" s="221"/>
      <c r="L49" s="221"/>
      <c r="M49" s="226" t="str">
        <f>IF(A47&lt;&gt;"",TRUNC(Var_Neo_InfB_Cont_OplHoev_8),"")</f>
        <v/>
      </c>
      <c r="N49" s="217" t="str">
        <f>IF(A47&lt;&gt;"",(Var_Neo_InfB_Cont_OplHoev_8-M49)*100,"")</f>
        <v/>
      </c>
      <c r="O49" s="213"/>
      <c r="P49" s="214"/>
    </row>
    <row r="50" spans="1:16" ht="15" x14ac:dyDescent="0.2">
      <c r="A50" s="233" t="str">
        <f>IF(NeoBerInfB!B28&gt;1,NeoBerInfB!F28/10,"")</f>
        <v/>
      </c>
      <c r="B50" s="233"/>
      <c r="C50" s="238" t="str">
        <f>IF(A50&lt;&gt;"",IF(NeoBerInfB!B28&gt;1,INDEX(tbl_Neo_MedIV,NeoBerInfB!B28,1),""),"")</f>
        <v/>
      </c>
      <c r="D50" s="211"/>
      <c r="E50" s="212" t="str">
        <f>IF(A50&lt;&gt;"",IF(NeoBerInfB!B28&gt;1,NeoBerInfB!C28/10,""),"")</f>
        <v/>
      </c>
      <c r="F50" s="211" t="str">
        <f>IF(Var_Neo_InfB_Cont_MedKeuze_9&lt;&gt;5,"mg","ml")</f>
        <v>mg</v>
      </c>
      <c r="G50" s="239" t="s">
        <v>545</v>
      </c>
      <c r="H50" s="211" t="str">
        <f>IF(A50&lt;&gt;"",IF(NeoBerInfB!B28&gt;1,INDEX(tbl_Neo_MedIV,NeoBerInfB!B28,3),""),"")</f>
        <v/>
      </c>
      <c r="I50" s="211" t="s">
        <v>546</v>
      </c>
      <c r="J50" s="211" t="str">
        <f>IF(A50&lt;&gt;"",IF(NeoBerInfB!B28&gt;1,INDEX(tbl_Neo_MedIV,NeoBerInfB!B28,4),""),"")</f>
        <v/>
      </c>
      <c r="K50" s="211" t="s">
        <v>547</v>
      </c>
      <c r="L50" s="211"/>
      <c r="M50" s="240" t="str">
        <f>IF(A50&lt;&gt;"",TRUNC((J50/H50)*E50),"")</f>
        <v/>
      </c>
      <c r="N50" s="241" t="str">
        <f>IF(A50&lt;&gt;"",(IF(A50&gt;0,ROUND((J50/H50)*E50,2),0)-M50)*100,"")</f>
        <v/>
      </c>
      <c r="O50" s="213" t="str">
        <f>IF(C50&lt;&gt;"",IF(Var_Neo_InfB_Cont_VochtExtra_10,"extra",""),"")</f>
        <v/>
      </c>
      <c r="P50" s="214"/>
    </row>
    <row r="51" spans="1:16" ht="15" x14ac:dyDescent="0.2">
      <c r="A51" s="233"/>
      <c r="B51" s="233"/>
      <c r="C51" s="225"/>
      <c r="D51" s="213"/>
      <c r="E51" s="213"/>
      <c r="F51" s="213"/>
      <c r="G51" s="242"/>
      <c r="H51" s="213"/>
      <c r="I51" s="213" t="s">
        <v>548</v>
      </c>
      <c r="J51" s="213" t="str">
        <f>IF(A50&lt;&gt;"",IF(A50&gt;0,NeoPrtAfspr!I41,""),"")</f>
        <v/>
      </c>
      <c r="K51" s="213"/>
      <c r="L51" s="213"/>
      <c r="M51" s="243" t="str">
        <f>IF(A50&lt;&gt;"",TRUNC(IF(A50&gt;0,M52+N52/100-M50-N50/100,0)),"")</f>
        <v/>
      </c>
      <c r="N51" s="244" t="str">
        <f>IF(A50&lt;&gt;"",(IF(A50&gt;0,M52+N52/100-M50-N50/100,0)-M51)*100,"")</f>
        <v/>
      </c>
      <c r="O51" s="213"/>
      <c r="P51" s="214"/>
    </row>
    <row r="52" spans="1:16" ht="15" x14ac:dyDescent="0.2">
      <c r="A52" s="233"/>
      <c r="B52" s="233"/>
      <c r="C52" s="220" t="str">
        <f>IF(A50&lt;&gt;"",NeoPrtAfspr!K41,"")</f>
        <v/>
      </c>
      <c r="D52" s="221"/>
      <c r="E52" s="221" t="str">
        <f>IF(A50&lt;&gt;"",NeoPrtAfspr!M41&amp;" "&amp;NeoPrtAfspr!N41,"")</f>
        <v/>
      </c>
      <c r="F52" s="221"/>
      <c r="G52" s="245"/>
      <c r="H52" s="221"/>
      <c r="I52" s="221"/>
      <c r="J52" s="246" t="s">
        <v>112</v>
      </c>
      <c r="K52" s="221"/>
      <c r="L52" s="221"/>
      <c r="M52" s="226" t="str">
        <f>IF(A50&lt;&gt;"",TRUNC(Var_Neo_InfB_Cont_OplHoev_9),"")</f>
        <v/>
      </c>
      <c r="N52" s="217" t="str">
        <f>IF(A50&lt;&gt;"",(Var_Neo_InfB_Cont_OplHoev_9-M52)*100,"")</f>
        <v/>
      </c>
      <c r="O52" s="213"/>
      <c r="P52" s="214"/>
    </row>
    <row r="53" spans="1:16" x14ac:dyDescent="0.2">
      <c r="C53" s="213"/>
      <c r="D53" s="213"/>
      <c r="E53" s="213"/>
      <c r="F53" s="213"/>
      <c r="G53" s="213"/>
      <c r="H53" s="213"/>
      <c r="I53" s="213"/>
      <c r="J53" s="213"/>
      <c r="K53" s="213"/>
      <c r="L53" s="213"/>
      <c r="M53" s="247"/>
      <c r="N53" s="248"/>
      <c r="O53" s="213"/>
      <c r="P53" s="214"/>
    </row>
    <row r="54" spans="1:16" x14ac:dyDescent="0.2">
      <c r="A54" s="209"/>
      <c r="B54" s="210"/>
      <c r="C54" s="249" t="str">
        <f>IF(NeoPrtAfspr!B45&lt;&gt;0,NeoPrtAfspr!B45,"")</f>
        <v/>
      </c>
      <c r="D54" s="216"/>
      <c r="E54" s="216"/>
      <c r="F54" s="216"/>
      <c r="G54" s="250"/>
      <c r="H54" s="216"/>
      <c r="I54" s="216"/>
      <c r="J54" s="216"/>
      <c r="K54" s="216"/>
      <c r="L54" s="210"/>
      <c r="M54" s="251"/>
      <c r="N54" s="251"/>
      <c r="O54" s="213"/>
      <c r="P54" s="214"/>
    </row>
    <row r="55" spans="1:16" x14ac:dyDescent="0.2">
      <c r="A55" s="209"/>
      <c r="B55" s="210"/>
      <c r="C55" s="249" t="str">
        <f>IF(NeoPrtAfspr!B46&lt;&gt;0,NeoPrtAfspr!B46,"")</f>
        <v/>
      </c>
      <c r="D55" s="216"/>
      <c r="E55" s="216"/>
      <c r="F55" s="216"/>
      <c r="G55" s="250"/>
      <c r="H55" s="216"/>
      <c r="I55" s="216"/>
      <c r="J55" s="216"/>
      <c r="K55" s="216"/>
      <c r="L55" s="210"/>
      <c r="M55" s="251"/>
      <c r="N55" s="251"/>
      <c r="O55" s="213"/>
      <c r="P55" s="214"/>
    </row>
    <row r="56" spans="1:16" x14ac:dyDescent="0.2">
      <c r="A56" s="209"/>
      <c r="B56" s="210"/>
      <c r="C56" s="249"/>
      <c r="D56" s="216"/>
      <c r="E56" s="216"/>
      <c r="F56" s="216"/>
      <c r="G56" s="250"/>
      <c r="H56" s="216"/>
      <c r="I56" s="216"/>
      <c r="J56" s="216"/>
      <c r="K56" s="216"/>
      <c r="L56" s="210"/>
      <c r="M56" s="251"/>
      <c r="N56" s="251"/>
      <c r="O56" s="213"/>
      <c r="P56" s="214"/>
    </row>
    <row r="57" spans="1:16" x14ac:dyDescent="0.2">
      <c r="D57" s="252"/>
    </row>
  </sheetData>
  <mergeCells count="3">
    <mergeCell ref="I2:K2"/>
    <mergeCell ref="M2:N2"/>
    <mergeCell ref="M5:N5"/>
  </mergeCells>
  <pageMargins left="0.7" right="0.7" top="0.75" bottom="0.75" header="0.3" footer="0.3"/>
  <pageSetup paperSize="0"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MedIV">
    <tabColor rgb="FFFFC000"/>
  </sheetPr>
  <dimension ref="A1:K28"/>
  <sheetViews>
    <sheetView workbookViewId="0">
      <selection activeCell="A2" sqref="A2"/>
    </sheetView>
  </sheetViews>
  <sheetFormatPr defaultRowHeight="12.75" x14ac:dyDescent="0.2"/>
  <cols>
    <col min="2" max="2" width="30.7109375" bestFit="1" customWidth="1"/>
    <col min="3" max="3" width="26.140625" customWidth="1"/>
    <col min="6" max="6" width="12.28515625" bestFit="1" customWidth="1"/>
    <col min="7" max="7" width="12.7109375" bestFit="1" customWidth="1"/>
    <col min="8" max="10" width="17.85546875" customWidth="1"/>
    <col min="11" max="11" width="9.85546875" bestFit="1" customWidth="1"/>
  </cols>
  <sheetData>
    <row r="1" spans="1:11" x14ac:dyDescent="0.2">
      <c r="A1" s="368"/>
      <c r="B1" s="400" t="s">
        <v>600</v>
      </c>
      <c r="C1" s="400" t="s">
        <v>601</v>
      </c>
      <c r="D1" s="400" t="s">
        <v>162</v>
      </c>
      <c r="E1" s="400" t="s">
        <v>163</v>
      </c>
      <c r="F1" s="400" t="s">
        <v>1108</v>
      </c>
      <c r="G1" s="400"/>
      <c r="H1" s="400" t="s">
        <v>1074</v>
      </c>
      <c r="I1" s="400" t="s">
        <v>1075</v>
      </c>
      <c r="J1" s="401" t="s">
        <v>1073</v>
      </c>
      <c r="K1" s="401" t="s">
        <v>1084</v>
      </c>
    </row>
    <row r="2" spans="1:11" x14ac:dyDescent="0.2">
      <c r="A2" s="400">
        <v>1</v>
      </c>
      <c r="B2" s="400"/>
      <c r="C2" s="400"/>
      <c r="D2" s="400"/>
      <c r="E2" s="400"/>
      <c r="F2" s="400"/>
      <c r="G2" s="400"/>
      <c r="H2" s="400"/>
      <c r="I2" s="400"/>
      <c r="K2">
        <v>1</v>
      </c>
    </row>
    <row r="3" spans="1:11" x14ac:dyDescent="0.2">
      <c r="A3" s="400">
        <v>2</v>
      </c>
      <c r="B3" s="400" t="s">
        <v>120</v>
      </c>
      <c r="C3" s="400" t="s">
        <v>761</v>
      </c>
      <c r="D3" s="400">
        <v>0.1</v>
      </c>
      <c r="E3" s="400">
        <v>1</v>
      </c>
      <c r="F3" s="400">
        <v>2</v>
      </c>
      <c r="G3" s="400" t="s">
        <v>607</v>
      </c>
      <c r="H3" s="400">
        <v>0.05</v>
      </c>
      <c r="I3" s="400">
        <v>0.1</v>
      </c>
      <c r="J3">
        <v>0.5</v>
      </c>
      <c r="K3">
        <v>3</v>
      </c>
    </row>
    <row r="4" spans="1:11" x14ac:dyDescent="0.2">
      <c r="A4" s="400">
        <v>3</v>
      </c>
      <c r="B4" s="400" t="s">
        <v>763</v>
      </c>
      <c r="C4" s="400" t="s">
        <v>743</v>
      </c>
      <c r="D4" s="400">
        <v>0.5</v>
      </c>
      <c r="E4" s="400">
        <v>1</v>
      </c>
      <c r="F4" s="400">
        <v>6</v>
      </c>
      <c r="G4" s="400" t="s">
        <v>422</v>
      </c>
      <c r="H4" s="400">
        <v>10</v>
      </c>
      <c r="I4" s="400">
        <v>100</v>
      </c>
      <c r="J4" s="315">
        <v>100</v>
      </c>
      <c r="K4">
        <v>3</v>
      </c>
    </row>
    <row r="5" spans="1:11" x14ac:dyDescent="0.2">
      <c r="A5" s="400">
        <v>4</v>
      </c>
      <c r="B5" s="400" t="s">
        <v>764</v>
      </c>
      <c r="C5" s="400" t="s">
        <v>765</v>
      </c>
      <c r="D5" s="400">
        <v>50</v>
      </c>
      <c r="E5" s="400">
        <v>1</v>
      </c>
      <c r="F5" s="400">
        <v>2</v>
      </c>
      <c r="G5" s="400" t="s">
        <v>607</v>
      </c>
      <c r="H5" s="400">
        <v>5</v>
      </c>
      <c r="I5" s="400">
        <v>15</v>
      </c>
      <c r="J5" s="315">
        <v>15</v>
      </c>
      <c r="K5">
        <v>3</v>
      </c>
    </row>
    <row r="6" spans="1:11" x14ac:dyDescent="0.2">
      <c r="A6" s="400">
        <v>5</v>
      </c>
      <c r="B6" s="400" t="s">
        <v>786</v>
      </c>
      <c r="C6" s="400" t="s">
        <v>605</v>
      </c>
      <c r="D6" s="400">
        <v>1</v>
      </c>
      <c r="E6" s="400">
        <v>2</v>
      </c>
      <c r="F6" s="400">
        <v>3</v>
      </c>
      <c r="G6" s="400" t="s">
        <v>362</v>
      </c>
      <c r="H6" s="400">
        <v>0.1</v>
      </c>
      <c r="I6" s="400">
        <v>0.5</v>
      </c>
      <c r="J6" s="315">
        <v>0.5</v>
      </c>
      <c r="K6">
        <v>3</v>
      </c>
    </row>
    <row r="7" spans="1:11" x14ac:dyDescent="0.2">
      <c r="A7" s="400">
        <v>6</v>
      </c>
      <c r="B7" s="400" t="s">
        <v>766</v>
      </c>
      <c r="C7" s="400" t="s">
        <v>791</v>
      </c>
      <c r="D7" s="400">
        <v>0.15</v>
      </c>
      <c r="E7" s="400">
        <v>1</v>
      </c>
      <c r="F7" s="400">
        <v>7</v>
      </c>
      <c r="G7" s="400" t="s">
        <v>767</v>
      </c>
      <c r="H7" s="400">
        <v>0.25</v>
      </c>
      <c r="I7" s="400">
        <v>2</v>
      </c>
      <c r="J7" s="315">
        <v>2</v>
      </c>
      <c r="K7">
        <v>12</v>
      </c>
    </row>
    <row r="8" spans="1:11" x14ac:dyDescent="0.2">
      <c r="A8" s="400">
        <v>7</v>
      </c>
      <c r="B8" s="400" t="s">
        <v>768</v>
      </c>
      <c r="C8" s="400" t="s">
        <v>610</v>
      </c>
      <c r="D8" s="400">
        <v>12.5</v>
      </c>
      <c r="E8" s="400">
        <v>1</v>
      </c>
      <c r="F8" s="400">
        <v>2</v>
      </c>
      <c r="G8" s="400" t="s">
        <v>607</v>
      </c>
      <c r="H8" s="400">
        <v>2.5</v>
      </c>
      <c r="I8" s="400">
        <v>20</v>
      </c>
      <c r="J8" s="315">
        <v>20</v>
      </c>
      <c r="K8">
        <v>3</v>
      </c>
    </row>
    <row r="9" spans="1:11" x14ac:dyDescent="0.2">
      <c r="A9" s="400">
        <v>8</v>
      </c>
      <c r="B9" s="400" t="s">
        <v>769</v>
      </c>
      <c r="C9" s="400" t="s">
        <v>613</v>
      </c>
      <c r="D9" s="400">
        <v>40</v>
      </c>
      <c r="E9" s="400">
        <v>1</v>
      </c>
      <c r="F9" s="400">
        <v>2</v>
      </c>
      <c r="G9" s="400" t="s">
        <v>607</v>
      </c>
      <c r="H9" s="400">
        <v>1</v>
      </c>
      <c r="I9" s="400">
        <v>20</v>
      </c>
      <c r="J9" s="315">
        <v>20</v>
      </c>
      <c r="K9">
        <v>3</v>
      </c>
    </row>
    <row r="10" spans="1:11" s="339" customFormat="1" ht="15" x14ac:dyDescent="0.25">
      <c r="A10" s="400">
        <v>9</v>
      </c>
      <c r="B10" s="466" t="s">
        <v>1101</v>
      </c>
      <c r="C10" s="467" t="s">
        <v>1102</v>
      </c>
      <c r="D10" s="466">
        <v>2</v>
      </c>
      <c r="E10" s="466">
        <v>1</v>
      </c>
      <c r="F10" s="465">
        <v>5</v>
      </c>
      <c r="G10" s="467" t="s">
        <v>361</v>
      </c>
      <c r="H10" s="401">
        <v>0.5</v>
      </c>
      <c r="I10" s="401">
        <v>2</v>
      </c>
      <c r="J10" s="339">
        <v>2</v>
      </c>
      <c r="K10" s="339">
        <v>3</v>
      </c>
    </row>
    <row r="11" spans="1:11" x14ac:dyDescent="0.2">
      <c r="A11" s="400">
        <v>10</v>
      </c>
      <c r="B11" s="400" t="s">
        <v>773</v>
      </c>
      <c r="C11" s="400" t="s">
        <v>498</v>
      </c>
      <c r="D11" s="400">
        <v>2.5</v>
      </c>
      <c r="E11" s="400">
        <v>1</v>
      </c>
      <c r="F11" s="400"/>
      <c r="G11" s="400" t="s">
        <v>177</v>
      </c>
      <c r="H11" s="400">
        <v>1</v>
      </c>
      <c r="I11" s="400">
        <v>1000</v>
      </c>
      <c r="J11" s="315">
        <v>1000</v>
      </c>
      <c r="K11">
        <v>1</v>
      </c>
    </row>
    <row r="12" spans="1:11" x14ac:dyDescent="0.2">
      <c r="A12" s="400">
        <v>11</v>
      </c>
      <c r="B12" s="400" t="s">
        <v>770</v>
      </c>
      <c r="C12" s="400" t="s">
        <v>498</v>
      </c>
      <c r="D12" s="400">
        <v>2.5</v>
      </c>
      <c r="E12" s="400">
        <v>1</v>
      </c>
      <c r="F12" s="400"/>
      <c r="G12" s="400" t="s">
        <v>177</v>
      </c>
      <c r="H12" s="400">
        <v>1</v>
      </c>
      <c r="I12" s="400">
        <v>1000</v>
      </c>
      <c r="J12" s="315">
        <v>1000</v>
      </c>
      <c r="K12">
        <v>1</v>
      </c>
    </row>
    <row r="13" spans="1:11" x14ac:dyDescent="0.2">
      <c r="A13" s="400">
        <v>12</v>
      </c>
      <c r="B13" s="401" t="s">
        <v>771</v>
      </c>
      <c r="C13" s="401" t="s">
        <v>58</v>
      </c>
      <c r="D13" s="401">
        <v>0.01</v>
      </c>
      <c r="E13" s="401">
        <v>1</v>
      </c>
      <c r="F13" s="401">
        <v>6</v>
      </c>
      <c r="G13" s="401" t="s">
        <v>422</v>
      </c>
      <c r="H13" s="401">
        <v>5</v>
      </c>
      <c r="I13" s="401">
        <v>30</v>
      </c>
      <c r="J13" s="315">
        <v>30</v>
      </c>
      <c r="K13">
        <v>14</v>
      </c>
    </row>
    <row r="14" spans="1:11" x14ac:dyDescent="0.2">
      <c r="A14" s="400">
        <v>13</v>
      </c>
      <c r="B14" s="400" t="s">
        <v>772</v>
      </c>
      <c r="C14" s="400" t="s">
        <v>485</v>
      </c>
      <c r="D14" s="400">
        <v>10</v>
      </c>
      <c r="E14" s="400">
        <v>11</v>
      </c>
      <c r="F14" s="400">
        <v>4</v>
      </c>
      <c r="G14" s="400" t="s">
        <v>486</v>
      </c>
      <c r="H14" s="400">
        <v>0.1</v>
      </c>
      <c r="I14" s="400">
        <v>1</v>
      </c>
      <c r="J14" s="315">
        <v>1</v>
      </c>
      <c r="K14">
        <v>3</v>
      </c>
    </row>
    <row r="15" spans="1:11" x14ac:dyDescent="0.2">
      <c r="A15" s="400">
        <v>14</v>
      </c>
      <c r="B15" s="316" t="s">
        <v>774</v>
      </c>
      <c r="C15" s="148" t="s">
        <v>150</v>
      </c>
      <c r="D15" s="400">
        <v>10</v>
      </c>
      <c r="E15" s="400">
        <v>1</v>
      </c>
      <c r="F15" s="400">
        <v>3</v>
      </c>
      <c r="G15" s="148" t="s">
        <v>362</v>
      </c>
      <c r="H15" s="400">
        <v>1</v>
      </c>
      <c r="I15" s="400">
        <v>4</v>
      </c>
      <c r="J15" s="315">
        <v>4</v>
      </c>
      <c r="K15">
        <v>3</v>
      </c>
    </row>
    <row r="16" spans="1:11" x14ac:dyDescent="0.2">
      <c r="A16" s="400">
        <v>15</v>
      </c>
      <c r="B16" s="316" t="s">
        <v>775</v>
      </c>
      <c r="C16" s="148" t="s">
        <v>1106</v>
      </c>
      <c r="D16" s="400">
        <v>100</v>
      </c>
      <c r="E16" s="400">
        <v>1</v>
      </c>
      <c r="F16" s="400">
        <v>9</v>
      </c>
      <c r="G16" s="148" t="s">
        <v>66</v>
      </c>
      <c r="H16" s="400">
        <v>0.01</v>
      </c>
      <c r="I16" s="400">
        <v>0.1</v>
      </c>
      <c r="J16" s="315">
        <v>0.1</v>
      </c>
      <c r="K16">
        <v>3</v>
      </c>
    </row>
    <row r="17" spans="1:11" x14ac:dyDescent="0.2">
      <c r="A17" s="400">
        <v>16</v>
      </c>
      <c r="B17" s="316" t="s">
        <v>776</v>
      </c>
      <c r="C17" s="148" t="s">
        <v>621</v>
      </c>
      <c r="D17" s="400">
        <v>1</v>
      </c>
      <c r="E17" s="400">
        <v>1</v>
      </c>
      <c r="F17" s="400">
        <v>2</v>
      </c>
      <c r="G17" s="148" t="s">
        <v>607</v>
      </c>
      <c r="H17" s="400">
        <v>0.01</v>
      </c>
      <c r="I17" s="400">
        <v>1.5</v>
      </c>
      <c r="J17" s="315">
        <v>0.5</v>
      </c>
      <c r="K17">
        <v>14</v>
      </c>
    </row>
    <row r="18" spans="1:11" x14ac:dyDescent="0.2">
      <c r="A18" s="400">
        <v>17</v>
      </c>
      <c r="B18" s="316" t="s">
        <v>777</v>
      </c>
      <c r="C18" s="148" t="s">
        <v>778</v>
      </c>
      <c r="D18" s="400">
        <v>5</v>
      </c>
      <c r="E18" s="401">
        <v>1</v>
      </c>
      <c r="F18" s="400">
        <v>5</v>
      </c>
      <c r="G18" s="148" t="s">
        <v>361</v>
      </c>
      <c r="H18" s="400">
        <v>0.25</v>
      </c>
      <c r="I18" s="400">
        <v>3</v>
      </c>
      <c r="J18" s="315">
        <v>3</v>
      </c>
      <c r="K18">
        <v>3</v>
      </c>
    </row>
    <row r="19" spans="1:11" x14ac:dyDescent="0.2">
      <c r="A19" s="400">
        <v>18</v>
      </c>
      <c r="B19" s="400" t="s">
        <v>787</v>
      </c>
      <c r="C19" s="400" t="s">
        <v>788</v>
      </c>
      <c r="D19" s="400">
        <v>20</v>
      </c>
      <c r="E19" s="400">
        <v>1</v>
      </c>
      <c r="F19" s="400">
        <v>5</v>
      </c>
      <c r="G19" s="400" t="s">
        <v>361</v>
      </c>
      <c r="H19" s="400">
        <v>4</v>
      </c>
      <c r="I19" s="400">
        <v>7</v>
      </c>
      <c r="J19" s="315">
        <v>7</v>
      </c>
      <c r="K19">
        <v>3</v>
      </c>
    </row>
    <row r="20" spans="1:11" x14ac:dyDescent="0.2">
      <c r="A20" s="400">
        <v>19</v>
      </c>
      <c r="B20" s="316" t="s">
        <v>271</v>
      </c>
      <c r="C20" s="148" t="s">
        <v>117</v>
      </c>
      <c r="D20" s="400">
        <v>5</v>
      </c>
      <c r="E20" s="400">
        <v>1</v>
      </c>
      <c r="F20" s="400">
        <v>5</v>
      </c>
      <c r="G20" s="148" t="s">
        <v>361</v>
      </c>
      <c r="H20" s="400">
        <v>0.05</v>
      </c>
      <c r="I20" s="400">
        <v>5</v>
      </c>
      <c r="J20" s="315">
        <v>5</v>
      </c>
      <c r="K20">
        <v>3</v>
      </c>
    </row>
    <row r="21" spans="1:11" x14ac:dyDescent="0.2">
      <c r="A21" s="400">
        <v>20</v>
      </c>
      <c r="B21" s="316" t="s">
        <v>779</v>
      </c>
      <c r="C21" s="148" t="s">
        <v>782</v>
      </c>
      <c r="D21" s="400">
        <v>1</v>
      </c>
      <c r="E21" s="400">
        <v>1</v>
      </c>
      <c r="F21" s="400">
        <v>2</v>
      </c>
      <c r="G21" s="148" t="s">
        <v>607</v>
      </c>
      <c r="H21" s="400">
        <v>0.25</v>
      </c>
      <c r="I21" s="400">
        <v>0.75</v>
      </c>
      <c r="J21" s="315">
        <v>0.75</v>
      </c>
      <c r="K21">
        <v>3</v>
      </c>
    </row>
    <row r="22" spans="1:11" x14ac:dyDescent="0.2">
      <c r="A22" s="400">
        <v>21</v>
      </c>
      <c r="B22" s="316" t="s">
        <v>125</v>
      </c>
      <c r="C22" s="148" t="s">
        <v>626</v>
      </c>
      <c r="D22" s="400">
        <v>10</v>
      </c>
      <c r="E22" s="400">
        <v>1</v>
      </c>
      <c r="F22" s="400">
        <v>3</v>
      </c>
      <c r="G22" s="148" t="s">
        <v>362</v>
      </c>
      <c r="H22" s="400">
        <v>0.125</v>
      </c>
      <c r="I22" s="400">
        <v>0.5</v>
      </c>
      <c r="J22" s="315">
        <v>0.5</v>
      </c>
      <c r="K22">
        <v>3</v>
      </c>
    </row>
    <row r="23" spans="1:11" x14ac:dyDescent="0.2">
      <c r="A23" s="400">
        <v>22</v>
      </c>
      <c r="B23" s="400" t="s">
        <v>789</v>
      </c>
      <c r="C23" s="400" t="s">
        <v>790</v>
      </c>
      <c r="D23" s="400">
        <v>1</v>
      </c>
      <c r="E23" s="400">
        <v>1</v>
      </c>
      <c r="F23" s="400">
        <v>2</v>
      </c>
      <c r="G23" s="400" t="s">
        <v>607</v>
      </c>
      <c r="H23" s="400">
        <v>0.5</v>
      </c>
      <c r="I23" s="400">
        <v>2</v>
      </c>
      <c r="J23" s="315">
        <v>2</v>
      </c>
      <c r="K23">
        <v>3</v>
      </c>
    </row>
    <row r="24" spans="1:11" x14ac:dyDescent="0.2">
      <c r="A24" s="400">
        <v>23</v>
      </c>
      <c r="B24" s="316" t="s">
        <v>780</v>
      </c>
      <c r="C24" s="148" t="s">
        <v>783</v>
      </c>
      <c r="D24" s="400">
        <v>25</v>
      </c>
      <c r="E24" s="400">
        <v>1</v>
      </c>
      <c r="F24" s="400">
        <v>2</v>
      </c>
      <c r="G24" s="148" t="s">
        <v>607</v>
      </c>
      <c r="H24" s="400">
        <v>0.5</v>
      </c>
      <c r="I24" s="400">
        <v>8</v>
      </c>
      <c r="J24" s="315">
        <v>8</v>
      </c>
      <c r="K24">
        <v>3</v>
      </c>
    </row>
    <row r="25" spans="1:11" x14ac:dyDescent="0.2">
      <c r="A25" s="400">
        <v>24</v>
      </c>
      <c r="B25" s="316" t="s">
        <v>781</v>
      </c>
      <c r="C25" s="148" t="s">
        <v>627</v>
      </c>
      <c r="D25" s="400">
        <v>1</v>
      </c>
      <c r="E25" s="400">
        <v>1</v>
      </c>
      <c r="F25" s="400">
        <v>2</v>
      </c>
      <c r="G25" s="148" t="s">
        <v>607</v>
      </c>
      <c r="H25" s="400">
        <v>0.05</v>
      </c>
      <c r="I25" s="400">
        <v>2</v>
      </c>
      <c r="J25" s="315">
        <v>2</v>
      </c>
      <c r="K25">
        <v>3</v>
      </c>
    </row>
    <row r="26" spans="1:11" x14ac:dyDescent="0.2">
      <c r="A26" s="400">
        <v>25</v>
      </c>
      <c r="B26" s="316" t="s">
        <v>784</v>
      </c>
      <c r="C26" s="148" t="s">
        <v>785</v>
      </c>
      <c r="D26" s="400">
        <v>10</v>
      </c>
      <c r="E26" s="400">
        <v>1</v>
      </c>
      <c r="F26" s="400">
        <v>5</v>
      </c>
      <c r="G26" s="148" t="s">
        <v>361</v>
      </c>
      <c r="H26" s="400">
        <v>0.3</v>
      </c>
      <c r="I26" s="400">
        <v>1.2</v>
      </c>
      <c r="J26" s="315">
        <v>1.2</v>
      </c>
      <c r="K26">
        <v>3</v>
      </c>
    </row>
    <row r="27" spans="1:11" x14ac:dyDescent="0.2">
      <c r="A27" s="400"/>
    </row>
    <row r="28" spans="1:11" x14ac:dyDescent="0.2">
      <c r="D28" s="315"/>
      <c r="E28" s="315"/>
      <c r="F28" s="315"/>
      <c r="G28" s="315"/>
      <c r="H28" s="315"/>
      <c r="I28" s="315"/>
      <c r="J28" s="315"/>
      <c r="K28" s="315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dvies">
    <tabColor rgb="FF92D050"/>
  </sheetPr>
  <dimension ref="A1:H32"/>
  <sheetViews>
    <sheetView workbookViewId="0">
      <selection activeCell="S46" sqref="S46"/>
    </sheetView>
  </sheetViews>
  <sheetFormatPr defaultColWidth="9.140625" defaultRowHeight="12.75" x14ac:dyDescent="0.2"/>
  <cols>
    <col min="1" max="1" width="31.140625" style="154" customWidth="1"/>
    <col min="2" max="16384" width="9.140625" style="154"/>
  </cols>
  <sheetData>
    <row r="1" spans="1:7" x14ac:dyDescent="0.2">
      <c r="A1" s="371"/>
      <c r="B1" s="304">
        <v>1</v>
      </c>
      <c r="C1" s="304">
        <v>2</v>
      </c>
      <c r="D1" s="304">
        <v>3</v>
      </c>
      <c r="E1" s="304">
        <v>4</v>
      </c>
      <c r="F1" s="304">
        <v>5</v>
      </c>
      <c r="G1" s="304">
        <v>6</v>
      </c>
    </row>
    <row r="2" spans="1:7" x14ac:dyDescent="0.2">
      <c r="A2" s="948"/>
      <c r="B2" s="948"/>
      <c r="C2" s="948"/>
      <c r="D2" s="948"/>
      <c r="E2" s="948"/>
      <c r="F2" s="948"/>
      <c r="G2" s="948"/>
    </row>
    <row r="3" spans="1:7" x14ac:dyDescent="0.2">
      <c r="A3" s="949" t="s">
        <v>589</v>
      </c>
      <c r="B3" s="949"/>
      <c r="C3" s="949"/>
      <c r="D3" s="949"/>
      <c r="E3" s="949"/>
      <c r="F3" s="949"/>
      <c r="G3" s="949"/>
    </row>
    <row r="4" spans="1:7" x14ac:dyDescent="0.2">
      <c r="A4" s="305" t="s">
        <v>590</v>
      </c>
      <c r="B4" s="306">
        <v>50</v>
      </c>
      <c r="C4" s="306">
        <v>80</v>
      </c>
      <c r="D4" s="306">
        <v>110</v>
      </c>
      <c r="E4" s="306">
        <v>150</v>
      </c>
      <c r="F4" s="306">
        <v>150</v>
      </c>
      <c r="G4" s="306">
        <v>150</v>
      </c>
    </row>
    <row r="5" spans="1:7" x14ac:dyDescent="0.2">
      <c r="A5" s="305" t="s">
        <v>656</v>
      </c>
      <c r="B5" s="307">
        <f>80-(((_Pat_Gewicht/10)*1000)-500)/500*30</f>
        <v>110</v>
      </c>
      <c r="C5" s="307">
        <f>110-(((_Pat_Gewicht/10)*1000)-500)/500*30</f>
        <v>140</v>
      </c>
      <c r="D5" s="307">
        <f>150-(((_Pat_Gewicht/10)*1000)-500)/500*40</f>
        <v>190</v>
      </c>
      <c r="E5" s="307">
        <f>160-(((_Pat_Gewicht/10)*1000)-500)/500*10</f>
        <v>170</v>
      </c>
      <c r="F5" s="307">
        <v>160</v>
      </c>
      <c r="G5" s="307">
        <v>160</v>
      </c>
    </row>
    <row r="6" spans="1:7" x14ac:dyDescent="0.2">
      <c r="A6" s="377" t="s">
        <v>591</v>
      </c>
      <c r="B6" s="306">
        <v>30</v>
      </c>
      <c r="C6" s="306">
        <v>50</v>
      </c>
      <c r="D6" s="306">
        <v>70</v>
      </c>
      <c r="E6" s="306">
        <v>90</v>
      </c>
      <c r="F6" s="306">
        <v>110</v>
      </c>
      <c r="G6" s="306">
        <v>150</v>
      </c>
    </row>
    <row r="7" spans="1:7" x14ac:dyDescent="0.2">
      <c r="A7" s="305"/>
      <c r="B7" s="306"/>
      <c r="C7" s="306"/>
      <c r="D7" s="306"/>
      <c r="E7" s="306"/>
      <c r="F7" s="306"/>
      <c r="G7" s="306"/>
    </row>
    <row r="8" spans="1:7" x14ac:dyDescent="0.2">
      <c r="A8" s="308" t="s">
        <v>592</v>
      </c>
      <c r="B8" s="309"/>
      <c r="C8" s="309"/>
      <c r="D8" s="309"/>
      <c r="E8" s="309"/>
      <c r="F8" s="309"/>
      <c r="G8" s="309"/>
    </row>
    <row r="9" spans="1:7" x14ac:dyDescent="0.2">
      <c r="A9" s="305" t="s">
        <v>593</v>
      </c>
      <c r="B9" s="306"/>
      <c r="C9" s="306"/>
      <c r="D9" s="306"/>
      <c r="E9" s="306">
        <v>35</v>
      </c>
      <c r="F9" s="306">
        <v>35</v>
      </c>
      <c r="G9" s="306">
        <v>35</v>
      </c>
    </row>
    <row r="10" spans="1:7" x14ac:dyDescent="0.2">
      <c r="A10" s="305" t="s">
        <v>34</v>
      </c>
      <c r="B10" s="306"/>
      <c r="C10" s="306" t="s">
        <v>594</v>
      </c>
      <c r="D10" s="306" t="s">
        <v>594</v>
      </c>
      <c r="E10" s="306"/>
      <c r="F10" s="306"/>
      <c r="G10" s="306"/>
    </row>
    <row r="11" spans="1:7" x14ac:dyDescent="0.2">
      <c r="A11" s="305" t="s">
        <v>542</v>
      </c>
      <c r="B11" s="306"/>
      <c r="C11" s="306" t="s">
        <v>595</v>
      </c>
      <c r="D11" s="306" t="s">
        <v>595</v>
      </c>
      <c r="E11" s="306"/>
      <c r="F11" s="306"/>
      <c r="G11" s="306"/>
    </row>
    <row r="12" spans="1:7" ht="15.75" x14ac:dyDescent="0.3">
      <c r="A12" s="305" t="s">
        <v>596</v>
      </c>
      <c r="B12" s="306" t="s">
        <v>594</v>
      </c>
      <c r="C12" s="306" t="s">
        <v>594</v>
      </c>
      <c r="D12" s="306" t="s">
        <v>594</v>
      </c>
      <c r="E12" s="306"/>
      <c r="F12" s="306"/>
      <c r="G12" s="306"/>
    </row>
    <row r="13" spans="1:7" ht="15.75" x14ac:dyDescent="0.3">
      <c r="A13" s="305" t="s">
        <v>597</v>
      </c>
      <c r="B13" s="306">
        <v>0.3</v>
      </c>
      <c r="C13" s="306">
        <v>0.3</v>
      </c>
      <c r="D13" s="306">
        <v>0.3</v>
      </c>
      <c r="E13" s="306"/>
      <c r="F13" s="306"/>
      <c r="G13" s="306"/>
    </row>
    <row r="14" spans="1:7" x14ac:dyDescent="0.2">
      <c r="A14" s="305" t="s">
        <v>216</v>
      </c>
      <c r="B14" s="306"/>
      <c r="C14" s="306">
        <v>1</v>
      </c>
      <c r="D14" s="306">
        <v>1</v>
      </c>
      <c r="E14" s="306"/>
      <c r="F14" s="306"/>
      <c r="G14" s="306"/>
    </row>
    <row r="15" spans="1:7" x14ac:dyDescent="0.2">
      <c r="A15" s="305" t="s">
        <v>598</v>
      </c>
      <c r="B15" s="306"/>
      <c r="C15" s="306">
        <v>7.5</v>
      </c>
      <c r="D15" s="306">
        <v>15</v>
      </c>
      <c r="E15" s="306"/>
      <c r="F15" s="306"/>
      <c r="G15" s="306"/>
    </row>
    <row r="16" spans="1:7" ht="25.5" x14ac:dyDescent="0.2">
      <c r="A16" s="305" t="s">
        <v>599</v>
      </c>
      <c r="B16" s="306"/>
      <c r="C16" s="306">
        <v>2.5</v>
      </c>
      <c r="D16" s="306">
        <v>5</v>
      </c>
      <c r="E16" s="306">
        <v>7.5</v>
      </c>
      <c r="F16" s="306">
        <v>10</v>
      </c>
      <c r="G16" s="306">
        <v>12</v>
      </c>
    </row>
    <row r="17" spans="1:8" x14ac:dyDescent="0.2">
      <c r="A17" s="305"/>
      <c r="B17" s="305"/>
      <c r="C17" s="305"/>
      <c r="D17" s="155"/>
      <c r="E17" s="155"/>
      <c r="F17" s="155"/>
      <c r="G17" s="155"/>
    </row>
    <row r="19" spans="1:8" x14ac:dyDescent="0.2">
      <c r="B19" s="310"/>
      <c r="C19" s="310"/>
      <c r="D19" s="310"/>
      <c r="E19" s="310"/>
      <c r="F19" s="310"/>
      <c r="G19" s="310"/>
    </row>
    <row r="21" spans="1:8" x14ac:dyDescent="0.2">
      <c r="A21" s="162"/>
      <c r="B21" s="162"/>
      <c r="C21" s="162"/>
      <c r="D21" s="162"/>
      <c r="E21" s="162"/>
      <c r="F21" s="162"/>
      <c r="G21" s="162"/>
      <c r="H21" s="162"/>
    </row>
    <row r="22" spans="1:8" x14ac:dyDescent="0.2">
      <c r="A22" s="162"/>
      <c r="B22" s="162"/>
      <c r="C22" s="162"/>
      <c r="D22" s="162"/>
      <c r="E22" s="162"/>
      <c r="F22" s="162"/>
      <c r="G22" s="162"/>
      <c r="H22" s="162"/>
    </row>
    <row r="23" spans="1:8" x14ac:dyDescent="0.2">
      <c r="A23" s="162"/>
      <c r="B23" s="162"/>
      <c r="C23" s="162"/>
      <c r="D23" s="162"/>
      <c r="E23" s="162"/>
      <c r="F23" s="162"/>
      <c r="G23" s="162"/>
      <c r="H23" s="162"/>
    </row>
    <row r="27" spans="1:8" ht="12.75" customHeight="1" x14ac:dyDescent="0.2"/>
    <row r="32" spans="1:8" ht="12.75" customHeight="1" x14ac:dyDescent="0.2"/>
  </sheetData>
  <mergeCells count="2">
    <mergeCell ref="A2:G2"/>
    <mergeCell ref="A3:G3"/>
  </mergeCells>
  <pageMargins left="0.75" right="0.75" top="1" bottom="1" header="0.5" footer="0.5"/>
  <headerFooter alignWithMargins="0"/>
  <drawing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37"/>
  <sheetViews>
    <sheetView tabSelected="1" workbookViewId="0"/>
  </sheetViews>
  <sheetFormatPr defaultRowHeight="12.75" x14ac:dyDescent="0.2"/>
  <cols>
    <col min="1" max="1" width="32" style="339" customWidth="1"/>
    <col min="2" max="16384" width="9.140625" style="339"/>
  </cols>
  <sheetData>
    <row r="1" spans="1:13" s="339" customFormat="1" x14ac:dyDescent="0.2">
      <c r="A1" s="985">
        <v>1</v>
      </c>
      <c r="B1" s="985">
        <v>2</v>
      </c>
      <c r="C1" s="985">
        <v>3</v>
      </c>
      <c r="D1" s="985">
        <v>4</v>
      </c>
      <c r="E1" s="985">
        <v>5</v>
      </c>
      <c r="F1" s="985">
        <v>6</v>
      </c>
      <c r="G1" s="985">
        <v>7</v>
      </c>
      <c r="H1" s="985">
        <v>8</v>
      </c>
      <c r="I1" s="985">
        <v>9</v>
      </c>
      <c r="J1" s="985">
        <v>10</v>
      </c>
      <c r="K1" s="985">
        <v>11</v>
      </c>
      <c r="L1" s="985">
        <v>12</v>
      </c>
      <c r="M1" s="985">
        <v>13</v>
      </c>
    </row>
    <row r="2" spans="1:13" s="339" customFormat="1" x14ac:dyDescent="0.2">
      <c r="B2" s="985" t="s">
        <v>234</v>
      </c>
      <c r="C2" s="985" t="s">
        <v>196</v>
      </c>
      <c r="D2" s="985" t="s">
        <v>235</v>
      </c>
      <c r="E2" s="985" t="s">
        <v>197</v>
      </c>
      <c r="F2" s="985" t="s">
        <v>229</v>
      </c>
      <c r="G2" s="985" t="s">
        <v>230</v>
      </c>
      <c r="H2" s="985" t="s">
        <v>231</v>
      </c>
      <c r="I2" s="985" t="s">
        <v>236</v>
      </c>
      <c r="J2" s="985" t="s">
        <v>232</v>
      </c>
      <c r="K2" s="985" t="s">
        <v>948</v>
      </c>
      <c r="L2" s="985" t="s">
        <v>949</v>
      </c>
      <c r="M2" s="985" t="s">
        <v>603</v>
      </c>
    </row>
    <row r="3" spans="1:13" s="339" customFormat="1" x14ac:dyDescent="0.2">
      <c r="A3" s="339" t="s">
        <v>5427</v>
      </c>
      <c r="B3" s="985" t="str">
        <f>VLOOKUP(B$2,Tbl_Glob_Conversie,3,FALSE)</f>
        <v>kcal</v>
      </c>
      <c r="C3" s="985" t="str">
        <f>VLOOKUP(C$2,Tbl_Glob_Conversie,3,FALSE)</f>
        <v>gram</v>
      </c>
      <c r="D3" s="985" t="str">
        <f>VLOOKUP(D$2,Tbl_Glob_Conversie,3,FALSE)</f>
        <v>gram</v>
      </c>
      <c r="E3" s="985" t="str">
        <f>VLOOKUP(E$2,Tbl_Glob_Conversie,3,FALSE)</f>
        <v>gram</v>
      </c>
      <c r="F3" s="985" t="str">
        <f>VLOOKUP(F$2,Tbl_Glob_Conversie,3,FALSE)</f>
        <v>mmol</v>
      </c>
      <c r="G3" s="985" t="str">
        <f>VLOOKUP(G$2,Tbl_Glob_Conversie,3,FALSE)</f>
        <v>mmol</v>
      </c>
      <c r="H3" s="985" t="str">
        <f>VLOOKUP(H$2,Tbl_Glob_Conversie,3,FALSE)</f>
        <v>mmol</v>
      </c>
      <c r="I3" s="985" t="str">
        <f>VLOOKUP(I$2,Tbl_Glob_Conversie,3,FALSE)</f>
        <v>mmol</v>
      </c>
      <c r="J3" s="985" t="str">
        <f>VLOOKUP(J$2,Tbl_Glob_Conversie,3,FALSE)</f>
        <v>mmol</v>
      </c>
      <c r="K3" s="985" t="str">
        <f>VLOOKUP(K$2,Tbl_Glob_Conversie,3,FALSE)</f>
        <v>mmol</v>
      </c>
      <c r="L3" s="985" t="str">
        <f>VLOOKUP(L$2,Tbl_Glob_Conversie,3,FALSE)</f>
        <v>IE</v>
      </c>
      <c r="M3" s="985" t="str">
        <f>VLOOKUP(M$2,Tbl_Glob_Conversie,3,FALSE)</f>
        <v>mmol</v>
      </c>
    </row>
    <row r="4" spans="1:13" s="339" customFormat="1" x14ac:dyDescent="0.2"/>
    <row r="5" spans="1:13" s="339" customFormat="1" x14ac:dyDescent="0.2">
      <c r="A5" s="339" t="s">
        <v>165</v>
      </c>
      <c r="B5" s="339">
        <f>VLOOKUP($A5,Tbl_Glob_BerVoeding,B$1,FALSE)</f>
        <v>0.68</v>
      </c>
      <c r="C5" s="339">
        <f>VLOOKUP($A5,Tbl_Glob_BerVoeding,C$1,FALSE)</f>
        <v>0.01</v>
      </c>
      <c r="D5" s="339">
        <f>VLOOKUP($A5,Tbl_Glob_BerVoeding,D$1,FALSE)</f>
        <v>7.0000000000000007E-2</v>
      </c>
      <c r="E5" s="339">
        <f>VLOOKUP($A5,Tbl_Glob_BerVoeding,E$1,FALSE)</f>
        <v>0.04</v>
      </c>
      <c r="F5" s="339">
        <f>VLOOKUP($A5,Tbl_Glob_BerVoeding,F$1,FALSE)</f>
        <v>8.6956000000000012E-3</v>
      </c>
      <c r="G5" s="339">
        <f>VLOOKUP($A5,Tbl_Glob_BerVoeding,G$1,FALSE)</f>
        <v>1.2820500000000002E-2</v>
      </c>
      <c r="H5" s="339">
        <f>VLOOKUP($A5,Tbl_Glob_BerVoeding,H$1,FALSE)</f>
        <v>7.4700000000000001E-3</v>
      </c>
      <c r="I5" s="339">
        <f>VLOOKUP($A5,Tbl_Glob_BerVoeding,I$1,FALSE)</f>
        <v>4.8433499999999997E-3</v>
      </c>
      <c r="J5" s="339">
        <f>VLOOKUP($A5,Tbl_Glob_BerVoeding,J$1,FALSE)</f>
        <v>1.23423E-3</v>
      </c>
      <c r="K5" s="339">
        <f>VLOOKUP($A5,Tbl_Glob_BerVoeding,K$1,FALSE)</f>
        <v>1.7899999999999998E-5</v>
      </c>
      <c r="L5" s="339">
        <f>VLOOKUP($A5,Tbl_Glob_BerVoeding,L$1,FALSE)</f>
        <v>0</v>
      </c>
      <c r="M5" s="339">
        <f>VLOOKUP($A5,Tbl_Glob_BerVoeding,M$1,FALSE)</f>
        <v>1.212858E-2</v>
      </c>
    </row>
    <row r="6" spans="1:13" s="339" customFormat="1" x14ac:dyDescent="0.2">
      <c r="A6" s="339" t="s">
        <v>953</v>
      </c>
      <c r="B6" s="339">
        <f>VLOOKUP($A6,Tbl_Glob_BerVoeding,B$1,FALSE)</f>
        <v>0.8</v>
      </c>
      <c r="C6" s="339">
        <f>VLOOKUP($A6,Tbl_Glob_BerVoeding,C$1,FALSE)</f>
        <v>2.6000000000000002E-2</v>
      </c>
      <c r="D6" s="339">
        <f>VLOOKUP($A6,Tbl_Glob_BerVoeding,D$1,FALSE)</f>
        <v>8.4000000000000005E-2</v>
      </c>
      <c r="E6" s="339">
        <f>VLOOKUP($A6,Tbl_Glob_BerVoeding,E$1,FALSE)</f>
        <v>3.9E-2</v>
      </c>
      <c r="F6" s="339">
        <f>VLOOKUP($A6,Tbl_Glob_BerVoeding,F$1,FALSE)</f>
        <v>3.0434599999999999E-2</v>
      </c>
      <c r="G6" s="339">
        <f>VLOOKUP($A6,Tbl_Glob_BerVoeding,G$1,FALSE)</f>
        <v>2.0512800000000001E-2</v>
      </c>
      <c r="H6" s="339">
        <f>VLOOKUP($A6,Tbl_Glob_BerVoeding,H$1,FALSE)</f>
        <v>2.4899999999999999E-2</v>
      </c>
      <c r="I6" s="339">
        <f>VLOOKUP($A6,Tbl_Glob_BerVoeding,I$1,FALSE)</f>
        <v>1.8081839999999998E-2</v>
      </c>
      <c r="J6" s="339">
        <f>VLOOKUP($A6,Tbl_Glob_BerVoeding,J$1,FALSE)</f>
        <v>3.2912799999999997E-3</v>
      </c>
      <c r="K6" s="339">
        <f>VLOOKUP($A6,Tbl_Glob_BerVoeding,K$1,FALSE)</f>
        <v>2.8639999999999997E-4</v>
      </c>
      <c r="L6" s="339">
        <f>VLOOKUP($A6,Tbl_Glob_BerVoeding,L$1,FALSE)</f>
        <v>1.2</v>
      </c>
      <c r="M6" s="339">
        <f>VLOOKUP($A6,Tbl_Glob_BerVoeding,M$1,FALSE)</f>
        <v>2.3975099999999999E-2</v>
      </c>
    </row>
    <row r="7" spans="1:13" s="339" customFormat="1" x14ac:dyDescent="0.2">
      <c r="A7" s="339" t="s">
        <v>954</v>
      </c>
      <c r="B7" s="339">
        <f>VLOOKUP($A7,Tbl_Glob_BerVoeding,B$1,FALSE)</f>
        <v>0.75</v>
      </c>
      <c r="C7" s="339">
        <f>VLOOKUP($A7,Tbl_Glob_BerVoeding,C$1,FALSE)</f>
        <v>0.02</v>
      </c>
      <c r="D7" s="339">
        <f>VLOOKUP($A7,Tbl_Glob_BerVoeding,D$1,FALSE)</f>
        <v>7.4999999999999997E-2</v>
      </c>
      <c r="E7" s="339">
        <f>VLOOKUP($A7,Tbl_Glob_BerVoeding,E$1,FALSE)</f>
        <v>0.04</v>
      </c>
      <c r="F7" s="339">
        <f>VLOOKUP($A7,Tbl_Glob_BerVoeding,F$1,FALSE)</f>
        <v>1.217384E-2</v>
      </c>
      <c r="G7" s="339">
        <f>VLOOKUP($A7,Tbl_Glob_BerVoeding,G$1,FALSE)</f>
        <v>1.9743570000000002E-2</v>
      </c>
      <c r="H7" s="339">
        <f>VLOOKUP($A7,Tbl_Glob_BerVoeding,H$1,FALSE)</f>
        <v>2.1662999999999998E-2</v>
      </c>
      <c r="I7" s="339">
        <f>VLOOKUP($A7,Tbl_Glob_BerVoeding,I$1,FALSE)</f>
        <v>1.517583E-2</v>
      </c>
      <c r="J7" s="339">
        <f>VLOOKUP($A7,Tbl_Glob_BerVoeding,J$1,FALSE)</f>
        <v>2.8798700000000001E-3</v>
      </c>
      <c r="K7" s="339">
        <f>VLOOKUP($A7,Tbl_Glob_BerVoeding,K$1,FALSE)</f>
        <v>2.1479999999999999E-4</v>
      </c>
      <c r="L7" s="339">
        <f>VLOOKUP($A7,Tbl_Glob_BerVoeding,L$1,FALSE)</f>
        <v>0.68</v>
      </c>
      <c r="M7" s="339">
        <f>VLOOKUP($A7,Tbl_Glob_BerVoeding,M$1,FALSE)</f>
        <v>1.5513299999999999E-2</v>
      </c>
    </row>
    <row r="8" spans="1:13" s="339" customFormat="1" x14ac:dyDescent="0.2">
      <c r="A8" s="339" t="s">
        <v>608</v>
      </c>
      <c r="B8" s="339">
        <f>VLOOKUP($A8,Tbl_Glob_BerVoeding,B$1,FALSE)</f>
        <v>0.66</v>
      </c>
      <c r="C8" s="339">
        <f>VLOOKUP($A8,Tbl_Glob_BerVoeding,C$1,FALSE)</f>
        <v>1.3000000000000001E-2</v>
      </c>
      <c r="D8" s="339">
        <f>VLOOKUP($A8,Tbl_Glob_BerVoeding,D$1,FALSE)</f>
        <v>7.2999999999999995E-2</v>
      </c>
      <c r="E8" s="339">
        <f>VLOOKUP($A8,Tbl_Glob_BerVoeding,E$1,FALSE)</f>
        <v>3.4000000000000002E-2</v>
      </c>
      <c r="F8" s="339">
        <f>VLOOKUP($A8,Tbl_Glob_BerVoeding,F$1,FALSE)</f>
        <v>7.3912600000000002E-3</v>
      </c>
      <c r="G8" s="339">
        <f>VLOOKUP($A8,Tbl_Glob_BerVoeding,G$1,FALSE)</f>
        <v>1.7435880000000001E-2</v>
      </c>
      <c r="H8" s="339">
        <f>VLOOKUP($A8,Tbl_Glob_BerVoeding,H$1,FALSE)</f>
        <v>1.4193000000000001E-2</v>
      </c>
      <c r="I8" s="339">
        <f>VLOOKUP($A8,Tbl_Glob_BerVoeding,I$1,FALSE)</f>
        <v>1.033248E-2</v>
      </c>
      <c r="J8" s="339">
        <f>VLOOKUP($A8,Tbl_Glob_BerVoeding,J$1,FALSE)</f>
        <v>2.0981909999999997E-3</v>
      </c>
      <c r="K8" s="339">
        <f>VLOOKUP($A8,Tbl_Glob_BerVoeding,K$1,FALSE)</f>
        <v>6.981E-4</v>
      </c>
      <c r="L8" s="339">
        <f>VLOOKUP($A8,Tbl_Glob_BerVoeding,L$1,FALSE)</f>
        <v>3.48</v>
      </c>
      <c r="M8" s="339">
        <f>VLOOKUP($A8,Tbl_Glob_BerVoeding,M$1,FALSE)</f>
        <v>1.1846520000000001E-2</v>
      </c>
    </row>
    <row r="9" spans="1:13" s="339" customFormat="1" x14ac:dyDescent="0.2">
      <c r="A9" s="339" t="s">
        <v>1018</v>
      </c>
      <c r="B9" s="339">
        <f>VLOOKUP($A9,Tbl_Glob_BerVoeding,B$1,FALSE)</f>
        <v>0.68</v>
      </c>
      <c r="C9" s="339">
        <f>VLOOKUP($A9,Tbl_Glob_BerVoeding,C$1,FALSE)</f>
        <v>1.3999999999999999E-2</v>
      </c>
      <c r="D9" s="339">
        <f>VLOOKUP($A9,Tbl_Glob_BerVoeding,D$1,FALSE)</f>
        <v>8.5999999999999993E-2</v>
      </c>
      <c r="E9" s="339">
        <f>VLOOKUP($A9,Tbl_Glob_BerVoeding,E$1,FALSE)</f>
        <v>0.03</v>
      </c>
      <c r="F9" s="339">
        <f>VLOOKUP($A9,Tbl_Glob_BerVoeding,F$1,FALSE)</f>
        <v>9.9999400000000006E-3</v>
      </c>
      <c r="G9" s="339">
        <f>VLOOKUP($A9,Tbl_Glob_BerVoeding,G$1,FALSE)</f>
        <v>1.8974339999999999E-2</v>
      </c>
      <c r="H9" s="339">
        <f>VLOOKUP($A9,Tbl_Glob_BerVoeding,H$1,FALSE)</f>
        <v>1.6184999999999998E-2</v>
      </c>
      <c r="I9" s="339">
        <f>VLOOKUP($A9,Tbl_Glob_BerVoeding,I$1,FALSE)</f>
        <v>1.162404E-2</v>
      </c>
      <c r="J9" s="339">
        <f>VLOOKUP($A9,Tbl_Glob_BerVoeding,J$1,FALSE)</f>
        <v>1.974768E-3</v>
      </c>
      <c r="K9" s="339">
        <f>VLOOKUP($A9,Tbl_Glob_BerVoeding,K$1,FALSE)</f>
        <v>1.253E-3</v>
      </c>
      <c r="L9" s="339">
        <f>VLOOKUP($A9,Tbl_Glob_BerVoeding,L$1,FALSE)</f>
        <v>0.56000000000000005</v>
      </c>
      <c r="M9" s="339">
        <f>VLOOKUP($A9,Tbl_Glob_BerVoeding,M$1,FALSE)</f>
        <v>1.3256820000000001E-2</v>
      </c>
    </row>
    <row r="10" spans="1:13" s="339" customFormat="1" x14ac:dyDescent="0.2">
      <c r="A10" s="339" t="s">
        <v>1019</v>
      </c>
      <c r="B10" s="339">
        <f>VLOOKUP($A10,Tbl_Glob_BerVoeding,B$1,FALSE)</f>
        <v>0.68</v>
      </c>
      <c r="C10" s="339">
        <f>VLOOKUP($A10,Tbl_Glob_BerVoeding,C$1,FALSE)</f>
        <v>0.01</v>
      </c>
      <c r="D10" s="339">
        <f>VLOOKUP($A10,Tbl_Glob_BerVoeding,D$1,FALSE)</f>
        <v>7.0000000000000007E-2</v>
      </c>
      <c r="E10" s="339">
        <f>VLOOKUP($A10,Tbl_Glob_BerVoeding,E$1,FALSE)</f>
        <v>0.04</v>
      </c>
      <c r="F10" s="339">
        <f>VLOOKUP($A10,Tbl_Glob_BerVoeding,F$1,FALSE)</f>
        <v>8.6956000000000012E-3</v>
      </c>
      <c r="G10" s="339">
        <f>VLOOKUP($A10,Tbl_Glob_BerVoeding,G$1,FALSE)</f>
        <v>1.2820500000000002E-2</v>
      </c>
      <c r="H10" s="339">
        <f>VLOOKUP($A10,Tbl_Glob_BerVoeding,H$1,FALSE)</f>
        <v>7.4700000000000001E-3</v>
      </c>
      <c r="I10" s="339">
        <f>VLOOKUP($A10,Tbl_Glob_BerVoeding,I$1,FALSE)</f>
        <v>4.8433499999999997E-3</v>
      </c>
      <c r="J10" s="339">
        <f>VLOOKUP($A10,Tbl_Glob_BerVoeding,J$1,FALSE)</f>
        <v>1.23423E-3</v>
      </c>
      <c r="K10" s="339">
        <f>VLOOKUP($A10,Tbl_Glob_BerVoeding,K$1,FALSE)</f>
        <v>1.7899999999999998E-5</v>
      </c>
      <c r="L10" s="339">
        <f>VLOOKUP($A10,Tbl_Glob_BerVoeding,L$1,FALSE)</f>
        <v>0</v>
      </c>
      <c r="M10" s="339">
        <f>VLOOKUP($A10,Tbl_Glob_BerVoeding,M$1,FALSE)</f>
        <v>1.212858E-2</v>
      </c>
    </row>
    <row r="11" spans="1:13" s="339" customFormat="1" x14ac:dyDescent="0.2">
      <c r="A11" s="339" t="s">
        <v>1020</v>
      </c>
      <c r="B11" s="339">
        <f>VLOOKUP($A11,Tbl_Glob_BerVoeding,B$1,FALSE)</f>
        <v>0.68</v>
      </c>
      <c r="C11" s="339">
        <f>VLOOKUP($A11,Tbl_Glob_BerVoeding,C$1,FALSE)</f>
        <v>0.01</v>
      </c>
      <c r="D11" s="339">
        <f>VLOOKUP($A11,Tbl_Glob_BerVoeding,D$1,FALSE)</f>
        <v>7.0000000000000007E-2</v>
      </c>
      <c r="E11" s="339">
        <f>VLOOKUP($A11,Tbl_Glob_BerVoeding,E$1,FALSE)</f>
        <v>0.04</v>
      </c>
      <c r="F11" s="339">
        <f>VLOOKUP($A11,Tbl_Glob_BerVoeding,F$1,FALSE)</f>
        <v>8.6956000000000012E-3</v>
      </c>
      <c r="G11" s="339">
        <f>VLOOKUP($A11,Tbl_Glob_BerVoeding,G$1,FALSE)</f>
        <v>1.2820500000000002E-2</v>
      </c>
      <c r="H11" s="339">
        <f>VLOOKUP($A11,Tbl_Glob_BerVoeding,H$1,FALSE)</f>
        <v>7.4700000000000001E-3</v>
      </c>
      <c r="I11" s="339">
        <f>VLOOKUP($A11,Tbl_Glob_BerVoeding,I$1,FALSE)</f>
        <v>4.8433499999999997E-3</v>
      </c>
      <c r="J11" s="339">
        <f>VLOOKUP($A11,Tbl_Glob_BerVoeding,J$1,FALSE)</f>
        <v>1.23423E-3</v>
      </c>
      <c r="K11" s="339">
        <f>VLOOKUP($A11,Tbl_Glob_BerVoeding,K$1,FALSE)</f>
        <v>1.7899999999999998E-5</v>
      </c>
      <c r="L11" s="339">
        <f>VLOOKUP($A11,Tbl_Glob_BerVoeding,L$1,FALSE)</f>
        <v>0</v>
      </c>
      <c r="M11" s="339">
        <f>VLOOKUP($A11,Tbl_Glob_BerVoeding,M$1,FALSE)</f>
        <v>1.212858E-2</v>
      </c>
    </row>
    <row r="12" spans="1:13" s="339" customFormat="1" x14ac:dyDescent="0.2">
      <c r="A12" s="339" t="s">
        <v>1021</v>
      </c>
      <c r="B12" s="339">
        <f>VLOOKUP($A12,Tbl_Glob_BerVoeding,B$1,FALSE)</f>
        <v>0.68</v>
      </c>
      <c r="C12" s="339">
        <f>VLOOKUP($A12,Tbl_Glob_BerVoeding,C$1,FALSE)</f>
        <v>0.01</v>
      </c>
      <c r="D12" s="339">
        <f>VLOOKUP($A12,Tbl_Glob_BerVoeding,D$1,FALSE)</f>
        <v>7.0000000000000007E-2</v>
      </c>
      <c r="E12" s="339">
        <f>VLOOKUP($A12,Tbl_Glob_BerVoeding,E$1,FALSE)</f>
        <v>0.04</v>
      </c>
      <c r="F12" s="339">
        <f>VLOOKUP($A12,Tbl_Glob_BerVoeding,F$1,FALSE)</f>
        <v>8.6956000000000012E-3</v>
      </c>
      <c r="G12" s="339">
        <f>VLOOKUP($A12,Tbl_Glob_BerVoeding,G$1,FALSE)</f>
        <v>1.2820500000000002E-2</v>
      </c>
      <c r="H12" s="339">
        <f>VLOOKUP($A12,Tbl_Glob_BerVoeding,H$1,FALSE)</f>
        <v>7.4700000000000001E-3</v>
      </c>
      <c r="I12" s="339">
        <f>VLOOKUP($A12,Tbl_Glob_BerVoeding,I$1,FALSE)</f>
        <v>4.8433499999999997E-3</v>
      </c>
      <c r="J12" s="339">
        <f>VLOOKUP($A12,Tbl_Glob_BerVoeding,J$1,FALSE)</f>
        <v>1.23423E-3</v>
      </c>
      <c r="K12" s="339">
        <f>VLOOKUP($A12,Tbl_Glob_BerVoeding,K$1,FALSE)</f>
        <v>1.7899999999999998E-5</v>
      </c>
      <c r="L12" s="339">
        <f>VLOOKUP($A12,Tbl_Glob_BerVoeding,L$1,FALSE)</f>
        <v>0</v>
      </c>
      <c r="M12" s="339">
        <f>VLOOKUP($A12,Tbl_Glob_BerVoeding,M$1,FALSE)</f>
        <v>1.212858E-2</v>
      </c>
    </row>
    <row r="13" spans="1:13" s="339" customFormat="1" x14ac:dyDescent="0.2">
      <c r="A13" s="339" t="s">
        <v>1022</v>
      </c>
      <c r="B13" s="339">
        <f>VLOOKUP($A13,Tbl_Glob_BerVoeding,B$1,FALSE)</f>
        <v>0.68</v>
      </c>
      <c r="C13" s="339">
        <f>VLOOKUP($A13,Tbl_Glob_BerVoeding,C$1,FALSE)</f>
        <v>0.01</v>
      </c>
      <c r="D13" s="339">
        <f>VLOOKUP($A13,Tbl_Glob_BerVoeding,D$1,FALSE)</f>
        <v>7.0000000000000007E-2</v>
      </c>
      <c r="E13" s="339">
        <f>VLOOKUP($A13,Tbl_Glob_BerVoeding,E$1,FALSE)</f>
        <v>0.04</v>
      </c>
      <c r="F13" s="339">
        <f>VLOOKUP($A13,Tbl_Glob_BerVoeding,F$1,FALSE)</f>
        <v>8.6956000000000012E-3</v>
      </c>
      <c r="G13" s="339">
        <f>VLOOKUP($A13,Tbl_Glob_BerVoeding,G$1,FALSE)</f>
        <v>1.2820500000000002E-2</v>
      </c>
      <c r="H13" s="339">
        <f>VLOOKUP($A13,Tbl_Glob_BerVoeding,H$1,FALSE)</f>
        <v>7.4700000000000001E-3</v>
      </c>
      <c r="I13" s="339">
        <f>VLOOKUP($A13,Tbl_Glob_BerVoeding,I$1,FALSE)</f>
        <v>4.8433499999999997E-3</v>
      </c>
      <c r="J13" s="339">
        <f>VLOOKUP($A13,Tbl_Glob_BerVoeding,J$1,FALSE)</f>
        <v>1.23423E-3</v>
      </c>
      <c r="K13" s="339">
        <f>VLOOKUP($A13,Tbl_Glob_BerVoeding,K$1,FALSE)</f>
        <v>1.7899999999999998E-5</v>
      </c>
      <c r="L13" s="339">
        <f>VLOOKUP($A13,Tbl_Glob_BerVoeding,L$1,FALSE)</f>
        <v>0</v>
      </c>
      <c r="M13" s="339">
        <f>VLOOKUP($A13,Tbl_Glob_BerVoeding,M$1,FALSE)</f>
        <v>1.212858E-2</v>
      </c>
    </row>
    <row r="14" spans="1:13" s="339" customFormat="1" x14ac:dyDescent="0.2">
      <c r="A14" s="339" t="s">
        <v>1023</v>
      </c>
      <c r="B14" s="339">
        <f>VLOOKUP($A14,Tbl_Glob_BerVoeding,B$1,FALSE)</f>
        <v>0.68</v>
      </c>
      <c r="C14" s="339">
        <f>VLOOKUP($A14,Tbl_Glob_BerVoeding,C$1,FALSE)</f>
        <v>0.01</v>
      </c>
      <c r="D14" s="339">
        <f>VLOOKUP($A14,Tbl_Glob_BerVoeding,D$1,FALSE)</f>
        <v>7.0000000000000007E-2</v>
      </c>
      <c r="E14" s="339">
        <f>VLOOKUP($A14,Tbl_Glob_BerVoeding,E$1,FALSE)</f>
        <v>0.04</v>
      </c>
      <c r="F14" s="339">
        <f>VLOOKUP($A14,Tbl_Glob_BerVoeding,F$1,FALSE)</f>
        <v>8.6956000000000012E-3</v>
      </c>
      <c r="G14" s="339">
        <f>VLOOKUP($A14,Tbl_Glob_BerVoeding,G$1,FALSE)</f>
        <v>1.2820500000000002E-2</v>
      </c>
      <c r="H14" s="339">
        <f>VLOOKUP($A14,Tbl_Glob_BerVoeding,H$1,FALSE)</f>
        <v>7.4700000000000001E-3</v>
      </c>
      <c r="I14" s="339">
        <f>VLOOKUP($A14,Tbl_Glob_BerVoeding,I$1,FALSE)</f>
        <v>4.8433499999999997E-3</v>
      </c>
      <c r="J14" s="339">
        <f>VLOOKUP($A14,Tbl_Glob_BerVoeding,J$1,FALSE)</f>
        <v>1.23423E-3</v>
      </c>
      <c r="K14" s="339">
        <f>VLOOKUP($A14,Tbl_Glob_BerVoeding,K$1,FALSE)</f>
        <v>1.7899999999999998E-5</v>
      </c>
      <c r="L14" s="339">
        <f>VLOOKUP($A14,Tbl_Glob_BerVoeding,L$1,FALSE)</f>
        <v>0</v>
      </c>
      <c r="M14" s="339">
        <f>VLOOKUP($A14,Tbl_Glob_BerVoeding,M$1,FALSE)</f>
        <v>1.212858E-2</v>
      </c>
    </row>
    <row r="15" spans="1:13" s="339" customFormat="1" x14ac:dyDescent="0.2">
      <c r="A15" s="339" t="s">
        <v>1024</v>
      </c>
      <c r="B15" s="339">
        <f>VLOOKUP($A15,Tbl_Glob_BerVoeding,B$1,FALSE)</f>
        <v>0.68</v>
      </c>
      <c r="C15" s="339">
        <f>VLOOKUP($A15,Tbl_Glob_BerVoeding,C$1,FALSE)</f>
        <v>0.01</v>
      </c>
      <c r="D15" s="339">
        <f>VLOOKUP($A15,Tbl_Glob_BerVoeding,D$1,FALSE)</f>
        <v>7.0000000000000007E-2</v>
      </c>
      <c r="E15" s="339">
        <f>VLOOKUP($A15,Tbl_Glob_BerVoeding,E$1,FALSE)</f>
        <v>0.04</v>
      </c>
      <c r="F15" s="339">
        <f>VLOOKUP($A15,Tbl_Glob_BerVoeding,F$1,FALSE)</f>
        <v>8.6956000000000012E-3</v>
      </c>
      <c r="G15" s="339">
        <f>VLOOKUP($A15,Tbl_Glob_BerVoeding,G$1,FALSE)</f>
        <v>1.2820500000000002E-2</v>
      </c>
      <c r="H15" s="339">
        <f>VLOOKUP($A15,Tbl_Glob_BerVoeding,H$1,FALSE)</f>
        <v>7.4700000000000001E-3</v>
      </c>
      <c r="I15" s="339">
        <f>VLOOKUP($A15,Tbl_Glob_BerVoeding,I$1,FALSE)</f>
        <v>4.8433499999999997E-3</v>
      </c>
      <c r="J15" s="339">
        <f>VLOOKUP($A15,Tbl_Glob_BerVoeding,J$1,FALSE)</f>
        <v>1.23423E-3</v>
      </c>
      <c r="K15" s="339">
        <f>VLOOKUP($A15,Tbl_Glob_BerVoeding,K$1,FALSE)</f>
        <v>1.7899999999999998E-5</v>
      </c>
      <c r="L15" s="339">
        <f>VLOOKUP($A15,Tbl_Glob_BerVoeding,L$1,FALSE)</f>
        <v>0</v>
      </c>
      <c r="M15" s="339">
        <f>VLOOKUP($A15,Tbl_Glob_BerVoeding,M$1,FALSE)</f>
        <v>1.212858E-2</v>
      </c>
    </row>
    <row r="16" spans="1:13" s="339" customFormat="1" x14ac:dyDescent="0.2">
      <c r="A16" s="339" t="s">
        <v>955</v>
      </c>
      <c r="B16" s="339">
        <f>VLOOKUP($A16,Tbl_Glob_BerVoeding,B$1,FALSE)</f>
        <v>0.66</v>
      </c>
      <c r="C16" s="339">
        <f>VLOOKUP($A16,Tbl_Glob_BerVoeding,C$1,FALSE)</f>
        <v>1.4999999999999999E-2</v>
      </c>
      <c r="D16" s="339">
        <f>VLOOKUP($A16,Tbl_Glob_BerVoeding,D$1,FALSE)</f>
        <v>7.2000000000000008E-2</v>
      </c>
      <c r="E16" s="339">
        <f>VLOOKUP($A16,Tbl_Glob_BerVoeding,E$1,FALSE)</f>
        <v>3.4000000000000002E-2</v>
      </c>
      <c r="F16" s="339">
        <f>VLOOKUP($A16,Tbl_Glob_BerVoeding,F$1,FALSE)</f>
        <v>1.0869500000000001E-2</v>
      </c>
      <c r="G16" s="339">
        <f>VLOOKUP($A16,Tbl_Glob_BerVoeding,G$1,FALSE)</f>
        <v>1.8717930000000001E-2</v>
      </c>
      <c r="H16" s="339">
        <f>VLOOKUP($A16,Tbl_Glob_BerVoeding,H$1,FALSE)</f>
        <v>1.1453999999999999E-2</v>
      </c>
      <c r="I16" s="339">
        <f>VLOOKUP($A16,Tbl_Glob_BerVoeding,I$1,FALSE)</f>
        <v>8.3951400000000006E-3</v>
      </c>
      <c r="J16" s="339">
        <f>VLOOKUP($A16,Tbl_Glob_BerVoeding,J$1,FALSE)</f>
        <v>2.0981909999999997E-3</v>
      </c>
      <c r="K16" s="339">
        <f>VLOOKUP($A16,Tbl_Glob_BerVoeding,K$1,FALSE)</f>
        <v>9.4870000000000005E-5</v>
      </c>
      <c r="L16" s="339">
        <f>VLOOKUP($A16,Tbl_Glob_BerVoeding,L$1,FALSE)</f>
        <v>0.48</v>
      </c>
      <c r="M16" s="339">
        <f>VLOOKUP($A16,Tbl_Glob_BerVoeding,M$1,FALSE)</f>
        <v>1.1564459999999999E-2</v>
      </c>
    </row>
    <row r="17" spans="1:13" s="339" customFormat="1" x14ac:dyDescent="0.2">
      <c r="A17" s="339" t="s">
        <v>1028</v>
      </c>
      <c r="B17" s="339">
        <f>VLOOKUP($A17,Tbl_Glob_BerVoeding,B$1,FALSE)</f>
        <v>0.66299999999999992</v>
      </c>
      <c r="C17" s="339">
        <f>VLOOKUP($A17,Tbl_Glob_BerVoeding,C$1,FALSE)</f>
        <v>1.4999999999999999E-2</v>
      </c>
      <c r="D17" s="339">
        <f>VLOOKUP($A17,Tbl_Glob_BerVoeding,D$1,FALSE)</f>
        <v>7.0000000000000007E-2</v>
      </c>
      <c r="E17" s="339">
        <f>VLOOKUP($A17,Tbl_Glob_BerVoeding,E$1,FALSE)</f>
        <v>3.6000000000000004E-2</v>
      </c>
      <c r="F17" s="339">
        <f>VLOOKUP($A17,Tbl_Glob_BerVoeding,F$1,FALSE)</f>
        <v>8.826034E-3</v>
      </c>
      <c r="G17" s="339">
        <f>VLOOKUP($A17,Tbl_Glob_BerVoeding,G$1,FALSE)</f>
        <v>1.7179470000000002E-2</v>
      </c>
      <c r="H17" s="339">
        <f>VLOOKUP($A17,Tbl_Glob_BerVoeding,H$1,FALSE)</f>
        <v>1.3271699999999999E-2</v>
      </c>
      <c r="I17" s="339">
        <f>VLOOKUP($A17,Tbl_Glob_BerVoeding,I$1,FALSE)</f>
        <v>9.4283879999999994E-3</v>
      </c>
      <c r="J17" s="339">
        <f>VLOOKUP($A17,Tbl_Glob_BerVoeding,J$1,FALSE)</f>
        <v>3.2912799999999994E-5</v>
      </c>
      <c r="K17" s="339">
        <f>VLOOKUP($A17,Tbl_Glob_BerVoeding,K$1,FALSE)</f>
        <v>9.1290000000000002E-5</v>
      </c>
      <c r="L17" s="339">
        <f>VLOOKUP($A17,Tbl_Glob_BerVoeding,L$1,FALSE)</f>
        <v>0.76</v>
      </c>
      <c r="M17" s="339">
        <f>VLOOKUP($A17,Tbl_Glob_BerVoeding,M$1,FALSE)</f>
        <v>1.12824E-2</v>
      </c>
    </row>
    <row r="18" spans="1:13" s="339" customFormat="1" x14ac:dyDescent="0.2">
      <c r="A18" s="339" t="s">
        <v>956</v>
      </c>
      <c r="B18" s="339">
        <f>VLOOKUP($A18,Tbl_Glob_BerVoeding,B$1,FALSE)</f>
        <v>0.67</v>
      </c>
      <c r="C18" s="339">
        <f>VLOOKUP($A18,Tbl_Glob_BerVoeding,C$1,FALSE)</f>
        <v>1.8000000000000002E-2</v>
      </c>
      <c r="D18" s="339">
        <f>VLOOKUP($A18,Tbl_Glob_BerVoeding,D$1,FALSE)</f>
        <v>7.2000000000000008E-2</v>
      </c>
      <c r="E18" s="339">
        <f>VLOOKUP($A18,Tbl_Glob_BerVoeding,E$1,FALSE)</f>
        <v>3.4000000000000002E-2</v>
      </c>
      <c r="F18" s="339">
        <f>VLOOKUP($A18,Tbl_Glob_BerVoeding,F$1,FALSE)</f>
        <v>1.1347758000000001E-2</v>
      </c>
      <c r="G18" s="339">
        <f>VLOOKUP($A18,Tbl_Glob_BerVoeding,G$1,FALSE)</f>
        <v>1.8589725000000001E-2</v>
      </c>
      <c r="H18" s="339">
        <f>VLOOKUP($A18,Tbl_Glob_BerVoeding,H$1,FALSE)</f>
        <v>1.6334399999999999E-2</v>
      </c>
      <c r="I18" s="339">
        <f>VLOOKUP($A18,Tbl_Glob_BerVoeding,I$1,FALSE)</f>
        <v>1.5208118999999999E-2</v>
      </c>
      <c r="J18" s="339">
        <f>VLOOKUP($A18,Tbl_Glob_BerVoeding,J$1,FALSE)</f>
        <v>2.8798700000000001E-3</v>
      </c>
      <c r="K18" s="339">
        <f>VLOOKUP($A18,Tbl_Glob_BerVoeding,K$1,FALSE)</f>
        <v>1.7899999999999999E-4</v>
      </c>
      <c r="L18" s="339">
        <f>VLOOKUP($A18,Tbl_Glob_BerVoeding,L$1,FALSE)</f>
        <v>0.48</v>
      </c>
      <c r="M18" s="339">
        <f>VLOOKUP($A18,Tbl_Glob_BerVoeding,M$1,FALSE)</f>
        <v>1.5033797999999998E-2</v>
      </c>
    </row>
    <row r="19" spans="1:13" s="339" customFormat="1" x14ac:dyDescent="0.2">
      <c r="A19" s="339" t="s">
        <v>1031</v>
      </c>
      <c r="B19" s="339">
        <f>VLOOKUP($A19,Tbl_Glob_BerVoeding,B$1,FALSE)</f>
        <v>0.67</v>
      </c>
      <c r="C19" s="339">
        <f>VLOOKUP($A19,Tbl_Glob_BerVoeding,C$1,FALSE)</f>
        <v>1.6E-2</v>
      </c>
      <c r="D19" s="339">
        <f>VLOOKUP($A19,Tbl_Glob_BerVoeding,D$1,FALSE)</f>
        <v>7.0000000000000007E-2</v>
      </c>
      <c r="E19" s="339">
        <f>VLOOKUP($A19,Tbl_Glob_BerVoeding,E$1,FALSE)</f>
        <v>3.5000000000000003E-2</v>
      </c>
      <c r="F19" s="339">
        <f>VLOOKUP($A19,Tbl_Glob_BerVoeding,F$1,FALSE)</f>
        <v>8.6956000000000012E-3</v>
      </c>
      <c r="G19" s="339">
        <f>VLOOKUP($A19,Tbl_Glob_BerVoeding,G$1,FALSE)</f>
        <v>2.076921E-2</v>
      </c>
      <c r="H19" s="339">
        <f>VLOOKUP($A19,Tbl_Glob_BerVoeding,H$1,FALSE)</f>
        <v>1.1702999999999998E-2</v>
      </c>
      <c r="I19" s="339">
        <f>VLOOKUP($A19,Tbl_Glob_BerVoeding,I$1,FALSE)</f>
        <v>8.3951400000000006E-3</v>
      </c>
      <c r="J19" s="339">
        <f>VLOOKUP($A19,Tbl_Glob_BerVoeding,J$1,FALSE)</f>
        <v>2.1804729999999996E-3</v>
      </c>
      <c r="K19" s="339">
        <f>VLOOKUP($A19,Tbl_Glob_BerVoeding,K$1,FALSE)</f>
        <v>9.4870000000000005E-5</v>
      </c>
      <c r="L19" s="339">
        <f>VLOOKUP($A19,Tbl_Glob_BerVoeding,L$1,FALSE)</f>
        <v>0.52</v>
      </c>
      <c r="M19" s="339">
        <f>VLOOKUP($A19,Tbl_Glob_BerVoeding,M$1,FALSE)</f>
        <v>1.12824E-2</v>
      </c>
    </row>
    <row r="20" spans="1:13" s="339" customFormat="1" x14ac:dyDescent="0.2">
      <c r="A20" s="339" t="s">
        <v>958</v>
      </c>
      <c r="B20" s="339">
        <f>VLOOKUP($A20,Tbl_Glob_BerVoeding,B$1,FALSE)</f>
        <v>0.66</v>
      </c>
      <c r="C20" s="339">
        <f>VLOOKUP($A20,Tbl_Glob_BerVoeding,C$1,FALSE)</f>
        <v>1.3999999999999999E-2</v>
      </c>
      <c r="D20" s="339">
        <f>VLOOKUP($A20,Tbl_Glob_BerVoeding,D$1,FALSE)</f>
        <v>7.2000000000000008E-2</v>
      </c>
      <c r="E20" s="339">
        <f>VLOOKUP($A20,Tbl_Glob_BerVoeding,E$1,FALSE)</f>
        <v>3.5000000000000003E-2</v>
      </c>
      <c r="F20" s="339">
        <f>VLOOKUP($A20,Tbl_Glob_BerVoeding,F$1,FALSE)</f>
        <v>8.6956000000000012E-3</v>
      </c>
      <c r="G20" s="339">
        <f>VLOOKUP($A20,Tbl_Glob_BerVoeding,G$1,FALSE)</f>
        <v>1.6666650000000002E-2</v>
      </c>
      <c r="H20" s="339">
        <f>VLOOKUP($A20,Tbl_Glob_BerVoeding,H$1,FALSE)</f>
        <v>1.2449999999999999E-2</v>
      </c>
      <c r="I20" s="339">
        <f>VLOOKUP($A20,Tbl_Glob_BerVoeding,I$1,FALSE)</f>
        <v>9.6866999999999995E-3</v>
      </c>
      <c r="J20" s="339">
        <f>VLOOKUP($A20,Tbl_Glob_BerVoeding,J$1,FALSE)</f>
        <v>2.46846E-3</v>
      </c>
      <c r="K20" s="339">
        <f>VLOOKUP($A20,Tbl_Glob_BerVoeding,K$1,FALSE)</f>
        <v>1.3961999999999999E-4</v>
      </c>
      <c r="L20" s="339">
        <f>VLOOKUP($A20,Tbl_Glob_BerVoeding,L$1,FALSE)</f>
        <v>0.48</v>
      </c>
      <c r="M20" s="339">
        <f>VLOOKUP($A20,Tbl_Glob_BerVoeding,M$1,FALSE)</f>
        <v>1.1846520000000001E-2</v>
      </c>
    </row>
    <row r="21" spans="1:13" s="339" customFormat="1" x14ac:dyDescent="0.2"/>
    <row r="22" spans="1:13" s="339" customFormat="1" x14ac:dyDescent="0.2">
      <c r="A22" s="339" t="s">
        <v>5428</v>
      </c>
    </row>
    <row r="23" spans="1:13" s="339" customFormat="1" x14ac:dyDescent="0.2"/>
    <row r="24" spans="1:13" s="339" customFormat="1" x14ac:dyDescent="0.2">
      <c r="A24" s="486" t="s">
        <v>615</v>
      </c>
      <c r="B24" s="339">
        <f>VLOOKUP($A24,Tbl_Glob_BerPoeder,B$1,FALSE)</f>
        <v>3.47</v>
      </c>
      <c r="C24" s="339">
        <f>VLOOKUP($A24,Tbl_Glob_BerPoeder,C$1,FALSE)</f>
        <v>0.252</v>
      </c>
      <c r="D24" s="339">
        <f>VLOOKUP($A24,Tbl_Glob_BerPoeder,D$1,FALSE)</f>
        <v>0.622</v>
      </c>
      <c r="E24" s="339">
        <f>VLOOKUP($A24,Tbl_Glob_BerPoeder,E$1,FALSE)</f>
        <v>0</v>
      </c>
      <c r="F24" s="339">
        <f>VLOOKUP($A24,Tbl_Glob_BerPoeder,F$1,FALSE)</f>
        <v>0.34912834000000004</v>
      </c>
      <c r="G24" s="339">
        <f>VLOOKUP($A24,Tbl_Glob_BerPoeder,G$1,FALSE)</f>
        <v>0.13538448</v>
      </c>
      <c r="H24" s="339">
        <f>VLOOKUP($A24,Tbl_Glob_BerPoeder,H$1,FALSE)</f>
        <v>0.37125899999999995</v>
      </c>
      <c r="I24" s="339">
        <f>VLOOKUP($A24,Tbl_Glob_BerPoeder,I$1,FALSE)</f>
        <v>0.28156007999999999</v>
      </c>
      <c r="J24" s="339">
        <f>VLOOKUP($A24,Tbl_Glob_BerPoeder,J$1,FALSE)</f>
        <v>4.7312149999999997E-2</v>
      </c>
      <c r="K24" s="339">
        <f>VLOOKUP($A24,Tbl_Glob_BerPoeder,K$1,FALSE)</f>
        <v>0</v>
      </c>
      <c r="L24" s="339">
        <f>VLOOKUP($A24,Tbl_Glob_BerPoeder,L$1,FALSE)</f>
        <v>46</v>
      </c>
      <c r="M24" s="339">
        <f>VLOOKUP($A24,Tbl_Glob_BerPoeder,M$1,FALSE)</f>
        <v>0.16162037999999998</v>
      </c>
    </row>
    <row r="25" spans="1:13" s="339" customFormat="1" x14ac:dyDescent="0.2">
      <c r="A25" s="486" t="s">
        <v>553</v>
      </c>
      <c r="B25" s="339">
        <f>VLOOKUP($A25,Tbl_Glob_BerPoeder,B$1,FALSE)</f>
        <v>3.84</v>
      </c>
      <c r="C25" s="339">
        <f>VLOOKUP($A25,Tbl_Glob_BerPoeder,C$1,FALSE)</f>
        <v>0</v>
      </c>
      <c r="D25" s="339">
        <f>VLOOKUP($A25,Tbl_Glob_BerPoeder,D$1,FALSE)</f>
        <v>0.96</v>
      </c>
      <c r="E25" s="339">
        <f>VLOOKUP($A25,Tbl_Glob_BerPoeder,E$1,FALSE)</f>
        <v>0</v>
      </c>
      <c r="F25" s="339">
        <f>VLOOKUP($A25,Tbl_Glob_BerPoeder,F$1,FALSE)</f>
        <v>8.6956000000000002E-4</v>
      </c>
      <c r="G25" s="339">
        <f>VLOOKUP($A25,Tbl_Glob_BerPoeder,G$1,FALSE)</f>
        <v>0</v>
      </c>
      <c r="H25" s="339">
        <f>VLOOKUP($A25,Tbl_Glob_BerPoeder,H$1,FALSE)</f>
        <v>0</v>
      </c>
      <c r="I25" s="339">
        <f>VLOOKUP($A25,Tbl_Glob_BerPoeder,I$1,FALSE)</f>
        <v>0</v>
      </c>
      <c r="J25" s="339">
        <f>VLOOKUP($A25,Tbl_Glob_BerPoeder,J$1,FALSE)</f>
        <v>0</v>
      </c>
      <c r="K25" s="339">
        <f>VLOOKUP($A25,Tbl_Glob_BerPoeder,K$1,FALSE)</f>
        <v>0</v>
      </c>
      <c r="L25" s="339">
        <f>VLOOKUP($A25,Tbl_Glob_BerPoeder,L$1,FALSE)</f>
        <v>0</v>
      </c>
      <c r="M25" s="339">
        <f>VLOOKUP($A25,Tbl_Glob_BerPoeder,M$1,FALSE)</f>
        <v>0</v>
      </c>
    </row>
    <row r="26" spans="1:13" s="339" customFormat="1" x14ac:dyDescent="0.2">
      <c r="A26" s="486" t="s">
        <v>1055</v>
      </c>
      <c r="B26" s="339">
        <f>VLOOKUP($A26,Tbl_Glob_BerPoeder,B$1,FALSE)</f>
        <v>4.84</v>
      </c>
      <c r="C26" s="339">
        <f>VLOOKUP($A26,Tbl_Glob_BerPoeder,C$1,FALSE)</f>
        <v>9.6999999999999989E-2</v>
      </c>
      <c r="D26" s="339">
        <f>VLOOKUP($A26,Tbl_Glob_BerPoeder,D$1,FALSE)</f>
        <v>0.53799999999999992</v>
      </c>
      <c r="E26" s="339">
        <f>VLOOKUP($A26,Tbl_Glob_BerPoeder,E$1,FALSE)</f>
        <v>0.247</v>
      </c>
      <c r="F26" s="339">
        <f>VLOOKUP($A26,Tbl_Glob_BerPoeder,F$1,FALSE)</f>
        <v>5.43475E-2</v>
      </c>
      <c r="G26" s="339">
        <f>VLOOKUP($A26,Tbl_Glob_BerPoeder,G$1,FALSE)</f>
        <v>0.12846141</v>
      </c>
      <c r="H26" s="339">
        <f>VLOOKUP($A26,Tbl_Glob_BerPoeder,H$1,FALSE)</f>
        <v>0.10408199999999999</v>
      </c>
      <c r="I26" s="339">
        <f>VLOOKUP($A26,Tbl_Glob_BerPoeder,I$1,FALSE)</f>
        <v>7.6524929999999991E-2</v>
      </c>
      <c r="J26" s="339">
        <f>VLOOKUP($A26,Tbl_Glob_BerPoeder,J$1,FALSE)</f>
        <v>1.522217E-2</v>
      </c>
      <c r="K26" s="339">
        <f>VLOOKUP($A26,Tbl_Glob_BerPoeder,K$1,FALSE)</f>
        <v>6.981E-4</v>
      </c>
      <c r="L26" s="339">
        <f>VLOOKUP($A26,Tbl_Glob_BerPoeder,L$1,FALSE)</f>
        <v>3.48</v>
      </c>
      <c r="M26" s="339">
        <f>VLOOKUP($A26,Tbl_Glob_BerPoeder,M$1,FALSE)</f>
        <v>8.5746240000000001E-2</v>
      </c>
    </row>
    <row r="27" spans="1:13" s="339" customFormat="1" x14ac:dyDescent="0.2">
      <c r="A27" s="486" t="s">
        <v>967</v>
      </c>
      <c r="B27" s="339">
        <f>VLOOKUP($A27,Tbl_Glob_BerPoeder,B$1,FALSE)</f>
        <v>4.74</v>
      </c>
      <c r="C27" s="339">
        <f>VLOOKUP($A27,Tbl_Glob_BerPoeder,C$1,FALSE)</f>
        <v>0.156</v>
      </c>
      <c r="D27" s="339">
        <f>VLOOKUP($A27,Tbl_Glob_BerPoeder,D$1,FALSE)</f>
        <v>0.22899999999999998</v>
      </c>
      <c r="E27" s="339">
        <f>VLOOKUP($A27,Tbl_Glob_BerPoeder,E$1,FALSE)</f>
        <v>0.498</v>
      </c>
      <c r="F27" s="339">
        <f>VLOOKUP($A27,Tbl_Glob_BerPoeder,F$1,FALSE)</f>
        <v>0.1804337</v>
      </c>
      <c r="G27" s="339">
        <f>VLOOKUP($A27,Tbl_Glob_BerPoeder,G$1,FALSE)</f>
        <v>0.12153833999999999</v>
      </c>
      <c r="H27" s="339">
        <f>VLOOKUP($A27,Tbl_Glob_BerPoeder,H$1,FALSE)</f>
        <v>0.14765699999999998</v>
      </c>
      <c r="I27" s="339">
        <f>VLOOKUP($A27,Tbl_Glob_BerPoeder,I$1,FALSE)</f>
        <v>0.10719947999999999</v>
      </c>
      <c r="J27" s="339">
        <f>VLOOKUP($A27,Tbl_Glob_BerPoeder,J$1,FALSE)</f>
        <v>1.9336269999999999E-2</v>
      </c>
      <c r="K27" s="339">
        <f>VLOOKUP($A27,Tbl_Glob_BerPoeder,K$1,FALSE)</f>
        <v>1.7004999999999998E-3</v>
      </c>
      <c r="L27" s="339">
        <f>VLOOKUP($A27,Tbl_Glob_BerPoeder,L$1,FALSE)</f>
        <v>7.2</v>
      </c>
      <c r="M27" s="339">
        <f>VLOOKUP($A27,Tbl_Glob_BerPoeder,M$1,FALSE)</f>
        <v>0.14215823999999999</v>
      </c>
    </row>
    <row r="28" spans="1:13" s="339" customFormat="1" x14ac:dyDescent="0.2">
      <c r="A28" s="486" t="s">
        <v>968</v>
      </c>
      <c r="B28" s="339">
        <f>VLOOKUP($A28,Tbl_Glob_BerPoeder,B$1,FALSE)</f>
        <v>3.38</v>
      </c>
      <c r="C28" s="339">
        <f>VLOOKUP($A28,Tbl_Glob_BerPoeder,C$1,FALSE)</f>
        <v>0.82099999999999995</v>
      </c>
      <c r="D28" s="339">
        <f>VLOOKUP($A28,Tbl_Glob_BerPoeder,D$1,FALSE)</f>
        <v>2.2000000000000002E-2</v>
      </c>
      <c r="E28" s="339">
        <f>VLOOKUP($A28,Tbl_Glob_BerPoeder,E$1,FALSE)</f>
        <v>1E-3</v>
      </c>
      <c r="F28" s="339">
        <f>VLOOKUP($A28,Tbl_Glob_BerPoeder,F$1,FALSE)</f>
        <v>0.33738928000000001</v>
      </c>
      <c r="G28" s="339">
        <f>VLOOKUP($A28,Tbl_Glob_BerPoeder,G$1,FALSE)</f>
        <v>0.31435866000000001</v>
      </c>
      <c r="H28" s="339">
        <f>VLOOKUP($A28,Tbl_Glob_BerPoeder,H$1,FALSE)</f>
        <v>0.13047599999999998</v>
      </c>
      <c r="I28" s="339">
        <f>VLOOKUP($A28,Tbl_Glob_BerPoeder,I$1,FALSE)</f>
        <v>0.16661123999999997</v>
      </c>
      <c r="J28" s="339">
        <f>VLOOKUP($A28,Tbl_Glob_BerPoeder,J$1,FALSE)</f>
        <v>1.8924859999999998E-2</v>
      </c>
      <c r="K28" s="339">
        <f>VLOOKUP($A28,Tbl_Glob_BerPoeder,K$1,FALSE)</f>
        <v>0</v>
      </c>
      <c r="L28" s="339">
        <f>VLOOKUP($A28,Tbl_Glob_BerPoeder,L$1,FALSE)</f>
        <v>0</v>
      </c>
      <c r="M28" s="339">
        <f>VLOOKUP($A28,Tbl_Glob_BerPoeder,M$1,FALSE)</f>
        <v>1.8615959999999997E-2</v>
      </c>
    </row>
    <row r="29" spans="1:13" s="339" customFormat="1" x14ac:dyDescent="0.2">
      <c r="A29" s="486" t="s">
        <v>969</v>
      </c>
      <c r="B29" s="339">
        <f>VLOOKUP($A29,Tbl_Glob_BerPoeder,B$1,FALSE)</f>
        <v>4.5</v>
      </c>
      <c r="C29" s="339">
        <f>VLOOKUP($A29,Tbl_Glob_BerPoeder,C$1,FALSE)</f>
        <v>0</v>
      </c>
      <c r="D29" s="339">
        <f>VLOOKUP($A29,Tbl_Glob_BerPoeder,D$1,FALSE)</f>
        <v>0</v>
      </c>
      <c r="E29" s="339">
        <f>VLOOKUP($A29,Tbl_Glob_BerPoeder,E$1,FALSE)</f>
        <v>0.5</v>
      </c>
      <c r="F29" s="339">
        <f>VLOOKUP($A29,Tbl_Glob_BerPoeder,F$1,FALSE)</f>
        <v>3.04346E-3</v>
      </c>
      <c r="G29" s="339">
        <f>VLOOKUP($A29,Tbl_Glob_BerPoeder,G$1,FALSE)</f>
        <v>0</v>
      </c>
      <c r="H29" s="339">
        <f>VLOOKUP($A29,Tbl_Glob_BerPoeder,H$1,FALSE)</f>
        <v>0</v>
      </c>
      <c r="I29" s="339">
        <f>VLOOKUP($A29,Tbl_Glob_BerPoeder,I$1,FALSE)</f>
        <v>0</v>
      </c>
      <c r="J29" s="339">
        <f>VLOOKUP($A29,Tbl_Glob_BerPoeder,J$1,FALSE)</f>
        <v>0</v>
      </c>
      <c r="K29" s="339">
        <f>VLOOKUP($A29,Tbl_Glob_BerPoeder,K$1,FALSE)</f>
        <v>0</v>
      </c>
      <c r="L29" s="339">
        <f>VLOOKUP($A29,Tbl_Glob_BerPoeder,L$1,FALSE)</f>
        <v>0</v>
      </c>
      <c r="M29" s="339">
        <f>VLOOKUP($A29,Tbl_Glob_BerPoeder,M$1,FALSE)</f>
        <v>2.8206000000000001E-5</v>
      </c>
    </row>
    <row r="30" spans="1:13" s="339" customFormat="1" x14ac:dyDescent="0.2">
      <c r="A30" s="486" t="s">
        <v>1027</v>
      </c>
      <c r="B30" s="339">
        <f>VLOOKUP($A30,Tbl_Glob_BerPoeder,B$1,FALSE)</f>
        <v>3.18</v>
      </c>
      <c r="C30" s="339">
        <f>VLOOKUP($A30,Tbl_Glob_BerPoeder,C$1,FALSE)</f>
        <v>0</v>
      </c>
      <c r="D30" s="339">
        <f>VLOOKUP($A30,Tbl_Glob_BerPoeder,D$1,FALSE)</f>
        <v>0.66200000000000003</v>
      </c>
      <c r="E30" s="339">
        <f>VLOOKUP($A30,Tbl_Glob_BerPoeder,E$1,FALSE)</f>
        <v>3.0000000000000001E-3</v>
      </c>
      <c r="F30" s="339">
        <f>VLOOKUP($A30,Tbl_Glob_BerPoeder,F$1,FALSE)</f>
        <v>2.6086799999999999E-3</v>
      </c>
      <c r="G30" s="339">
        <f>VLOOKUP($A30,Tbl_Glob_BerPoeder,G$1,FALSE)</f>
        <v>2.3333310000000003E-2</v>
      </c>
      <c r="H30" s="339">
        <f>VLOOKUP($A30,Tbl_Glob_BerPoeder,H$1,FALSE)</f>
        <v>8.3415000000000003E-2</v>
      </c>
      <c r="I30" s="339">
        <f>VLOOKUP($A30,Tbl_Glob_BerPoeder,I$1,FALSE)</f>
        <v>3.8746799999999997E-3</v>
      </c>
      <c r="J30" s="339">
        <f>VLOOKUP($A30,Tbl_Glob_BerPoeder,J$1,FALSE)</f>
        <v>3.7438309999999995E-3</v>
      </c>
      <c r="K30" s="339">
        <f>VLOOKUP($A30,Tbl_Glob_BerPoeder,K$1,FALSE)</f>
        <v>1.5751999999999999E-3</v>
      </c>
      <c r="L30" s="339">
        <f>VLOOKUP($A30,Tbl_Glob_BerPoeder,L$1,FALSE)</f>
        <v>0</v>
      </c>
      <c r="M30" s="339">
        <f>VLOOKUP($A30,Tbl_Glob_BerPoeder,M$1,FALSE)</f>
        <v>3.0744539999999997E-2</v>
      </c>
    </row>
    <row r="31" spans="1:13" s="339" customFormat="1" x14ac:dyDescent="0.2"/>
    <row r="32" spans="1:13" s="339" customFormat="1" x14ac:dyDescent="0.2">
      <c r="A32" s="339" t="s">
        <v>5430</v>
      </c>
    </row>
    <row r="33" spans="1:13" s="339" customFormat="1" x14ac:dyDescent="0.2"/>
    <row r="34" spans="1:13" s="339" customFormat="1" x14ac:dyDescent="0.2">
      <c r="A34" s="486" t="s">
        <v>969</v>
      </c>
      <c r="B34" s="339">
        <f>VLOOKUP($A34,Tbl_Glob_BerPoeder,B$1,FALSE)</f>
        <v>4.5</v>
      </c>
      <c r="C34" s="339">
        <f>VLOOKUP($A34,Tbl_Glob_BerPoeder,C$1,FALSE)</f>
        <v>0</v>
      </c>
      <c r="D34" s="339">
        <f>VLOOKUP($A34,Tbl_Glob_BerPoeder,D$1,FALSE)</f>
        <v>0</v>
      </c>
      <c r="E34" s="339">
        <f>VLOOKUP($A34,Tbl_Glob_BerPoeder,E$1,FALSE)</f>
        <v>0.5</v>
      </c>
      <c r="F34" s="339">
        <f>VLOOKUP($A34,Tbl_Glob_BerPoeder,F$1,FALSE)</f>
        <v>3.04346E-3</v>
      </c>
      <c r="G34" s="339">
        <f>VLOOKUP($A34,Tbl_Glob_BerPoeder,G$1,FALSE)</f>
        <v>0</v>
      </c>
      <c r="H34" s="339">
        <f>VLOOKUP($A34,Tbl_Glob_BerPoeder,H$1,FALSE)</f>
        <v>0</v>
      </c>
      <c r="I34" s="339">
        <f>VLOOKUP($A34,Tbl_Glob_BerPoeder,I$1,FALSE)</f>
        <v>0</v>
      </c>
      <c r="J34" s="339">
        <f>VLOOKUP($A34,Tbl_Glob_BerPoeder,J$1,FALSE)</f>
        <v>0</v>
      </c>
      <c r="K34" s="339">
        <f>VLOOKUP($A34,Tbl_Glob_BerPoeder,K$1,FALSE)</f>
        <v>0</v>
      </c>
      <c r="L34" s="339">
        <f>VLOOKUP($A34,Tbl_Glob_BerPoeder,L$1,FALSE)</f>
        <v>0</v>
      </c>
      <c r="M34" s="339">
        <f>VLOOKUP($A34,Tbl_Glob_BerPoeder,M$1,FALSE)</f>
        <v>2.8206000000000001E-5</v>
      </c>
    </row>
    <row r="35" spans="1:13" s="339" customFormat="1" x14ac:dyDescent="0.2">
      <c r="A35" s="486" t="s">
        <v>553</v>
      </c>
      <c r="B35" s="339">
        <f>VLOOKUP($A35,Tbl_Glob_BerPoeder,B$1,FALSE)</f>
        <v>3.84</v>
      </c>
      <c r="C35" s="339">
        <f>VLOOKUP($A35,Tbl_Glob_BerPoeder,C$1,FALSE)</f>
        <v>0</v>
      </c>
      <c r="D35" s="339">
        <f>VLOOKUP($A35,Tbl_Glob_BerPoeder,D$1,FALSE)</f>
        <v>0.96</v>
      </c>
      <c r="E35" s="339">
        <f>VLOOKUP($A35,Tbl_Glob_BerPoeder,E$1,FALSE)</f>
        <v>0</v>
      </c>
      <c r="F35" s="339">
        <f>VLOOKUP($A35,Tbl_Glob_BerPoeder,F$1,FALSE)</f>
        <v>8.6956000000000002E-4</v>
      </c>
      <c r="G35" s="339">
        <f>VLOOKUP($A35,Tbl_Glob_BerPoeder,G$1,FALSE)</f>
        <v>0</v>
      </c>
      <c r="H35" s="339">
        <f>VLOOKUP($A35,Tbl_Glob_BerPoeder,H$1,FALSE)</f>
        <v>0</v>
      </c>
      <c r="I35" s="339">
        <f>VLOOKUP($A35,Tbl_Glob_BerPoeder,I$1,FALSE)</f>
        <v>0</v>
      </c>
      <c r="J35" s="339">
        <f>VLOOKUP($A35,Tbl_Glob_BerPoeder,J$1,FALSE)</f>
        <v>0</v>
      </c>
      <c r="K35" s="339">
        <f>VLOOKUP($A35,Tbl_Glob_BerPoeder,K$1,FALSE)</f>
        <v>0</v>
      </c>
      <c r="L35" s="339">
        <f>VLOOKUP($A35,Tbl_Glob_BerPoeder,L$1,FALSE)</f>
        <v>0</v>
      </c>
      <c r="M35" s="339">
        <f>VLOOKUP($A35,Tbl_Glob_BerPoeder,M$1,FALSE)</f>
        <v>0</v>
      </c>
    </row>
    <row r="36" spans="1:13" s="339" customFormat="1" x14ac:dyDescent="0.2">
      <c r="A36" s="486" t="s">
        <v>967</v>
      </c>
      <c r="B36" s="339">
        <f>VLOOKUP($A36,Tbl_Glob_BerPoeder,B$1,FALSE)</f>
        <v>4.74</v>
      </c>
      <c r="C36" s="339">
        <f>VLOOKUP($A36,Tbl_Glob_BerPoeder,C$1,FALSE)</f>
        <v>0.156</v>
      </c>
      <c r="D36" s="339">
        <f>VLOOKUP($A36,Tbl_Glob_BerPoeder,D$1,FALSE)</f>
        <v>0.22899999999999998</v>
      </c>
      <c r="E36" s="339">
        <f>VLOOKUP($A36,Tbl_Glob_BerPoeder,E$1,FALSE)</f>
        <v>0.498</v>
      </c>
      <c r="F36" s="339">
        <f>VLOOKUP($A36,Tbl_Glob_BerPoeder,F$1,FALSE)</f>
        <v>0.1804337</v>
      </c>
      <c r="G36" s="339">
        <f>VLOOKUP($A36,Tbl_Glob_BerPoeder,G$1,FALSE)</f>
        <v>0.12153833999999999</v>
      </c>
      <c r="H36" s="339">
        <f>VLOOKUP($A36,Tbl_Glob_BerPoeder,H$1,FALSE)</f>
        <v>0.14765699999999998</v>
      </c>
      <c r="I36" s="339">
        <f>VLOOKUP($A36,Tbl_Glob_BerPoeder,I$1,FALSE)</f>
        <v>0.10719947999999999</v>
      </c>
      <c r="J36" s="339">
        <f>VLOOKUP($A36,Tbl_Glob_BerPoeder,J$1,FALSE)</f>
        <v>1.9336269999999999E-2</v>
      </c>
      <c r="K36" s="339">
        <f>VLOOKUP($A36,Tbl_Glob_BerPoeder,K$1,FALSE)</f>
        <v>1.7004999999999998E-3</v>
      </c>
      <c r="L36" s="339">
        <f>VLOOKUP($A36,Tbl_Glob_BerPoeder,L$1,FALSE)</f>
        <v>7.2</v>
      </c>
      <c r="M36" s="339">
        <f>VLOOKUP($A36,Tbl_Glob_BerPoeder,M$1,FALSE)</f>
        <v>0.14215823999999999</v>
      </c>
    </row>
    <row r="37" spans="1:13" s="339" customFormat="1" x14ac:dyDescent="0.2">
      <c r="A37" s="486" t="s">
        <v>1027</v>
      </c>
      <c r="B37" s="339">
        <f>VLOOKUP($A37,Tbl_Glob_BerPoeder,B$1,FALSE)</f>
        <v>3.18</v>
      </c>
      <c r="C37" s="339">
        <f>VLOOKUP($A37,Tbl_Glob_BerPoeder,C$1,FALSE)</f>
        <v>0</v>
      </c>
      <c r="D37" s="339">
        <f>VLOOKUP($A37,Tbl_Glob_BerPoeder,D$1,FALSE)</f>
        <v>0.66200000000000003</v>
      </c>
      <c r="E37" s="339">
        <f>VLOOKUP($A37,Tbl_Glob_BerPoeder,E$1,FALSE)</f>
        <v>3.0000000000000001E-3</v>
      </c>
      <c r="F37" s="339">
        <f>VLOOKUP($A37,Tbl_Glob_BerPoeder,F$1,FALSE)</f>
        <v>2.6086799999999999E-3</v>
      </c>
      <c r="G37" s="339">
        <f>VLOOKUP($A37,Tbl_Glob_BerPoeder,G$1,FALSE)</f>
        <v>2.3333310000000003E-2</v>
      </c>
      <c r="H37" s="339">
        <f>VLOOKUP($A37,Tbl_Glob_BerPoeder,H$1,FALSE)</f>
        <v>8.3415000000000003E-2</v>
      </c>
      <c r="I37" s="339">
        <f>VLOOKUP($A37,Tbl_Glob_BerPoeder,I$1,FALSE)</f>
        <v>3.8746799999999997E-3</v>
      </c>
      <c r="J37" s="339">
        <f>VLOOKUP($A37,Tbl_Glob_BerPoeder,J$1,FALSE)</f>
        <v>3.7438309999999995E-3</v>
      </c>
      <c r="K37" s="339">
        <f>VLOOKUP($A37,Tbl_Glob_BerPoeder,K$1,FALSE)</f>
        <v>1.5751999999999999E-3</v>
      </c>
      <c r="L37" s="339">
        <f>VLOOKUP($A37,Tbl_Glob_BerPoeder,L$1,FALSE)</f>
        <v>0</v>
      </c>
      <c r="M37" s="339">
        <f>VLOOKUP($A37,Tbl_Glob_BerPoeder,M$1,FALSE)</f>
        <v>3.0744539999999997E-2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Lijst">
    <tabColor rgb="FFFFC000"/>
  </sheetPr>
  <dimension ref="A1:AE292"/>
  <sheetViews>
    <sheetView workbookViewId="0">
      <selection activeCell="J23" sqref="J23"/>
    </sheetView>
  </sheetViews>
  <sheetFormatPr defaultColWidth="9.140625" defaultRowHeight="12.75" x14ac:dyDescent="0.2"/>
  <cols>
    <col min="1" max="1" width="14.28515625" style="400" customWidth="1"/>
    <col min="2" max="2" width="8.5703125" style="400" customWidth="1"/>
    <col min="3" max="3" width="6" style="400" bestFit="1" customWidth="1"/>
    <col min="4" max="4" width="2.28515625" style="400" bestFit="1" customWidth="1"/>
    <col min="5" max="5" width="5" style="400" bestFit="1" customWidth="1"/>
    <col min="6" max="6" width="3.28515625" style="400" bestFit="1" customWidth="1"/>
    <col min="7" max="7" width="3.5703125" style="400" bestFit="1" customWidth="1"/>
    <col min="8" max="8" width="4.7109375" style="400" bestFit="1" customWidth="1"/>
    <col min="9" max="9" width="2" style="400" bestFit="1" customWidth="1"/>
    <col min="10" max="10" width="12.7109375" style="400" customWidth="1"/>
    <col min="11" max="11" width="19.28515625" style="400" customWidth="1"/>
    <col min="12" max="12" width="24" style="400" bestFit="1" customWidth="1"/>
    <col min="13" max="13" width="27.42578125" style="400" bestFit="1" customWidth="1"/>
    <col min="14" max="25" width="11.28515625" style="400" customWidth="1"/>
    <col min="26" max="27" width="9.140625" style="400"/>
    <col min="28" max="28" width="14.5703125" style="400" customWidth="1"/>
    <col min="29" max="29" width="23" style="400" bestFit="1" customWidth="1"/>
    <col min="30" max="30" width="9.140625" style="400"/>
    <col min="31" max="31" width="23" style="400" bestFit="1" customWidth="1"/>
    <col min="32" max="16384" width="9.140625" style="400"/>
  </cols>
  <sheetData>
    <row r="1" spans="1:31" x14ac:dyDescent="0.2">
      <c r="A1" s="951" t="s">
        <v>1076</v>
      </c>
      <c r="B1" s="951"/>
      <c r="C1" s="951"/>
      <c r="D1" s="951"/>
      <c r="E1" s="951"/>
      <c r="F1" s="951"/>
      <c r="G1" s="951"/>
      <c r="H1" s="951"/>
      <c r="I1" s="952" t="s">
        <v>1077</v>
      </c>
      <c r="J1" s="952"/>
      <c r="K1" s="952"/>
      <c r="L1" s="950" t="s">
        <v>1078</v>
      </c>
      <c r="M1" s="950"/>
      <c r="N1" s="950"/>
      <c r="O1" s="950"/>
      <c r="P1" s="950"/>
      <c r="Q1" s="950"/>
      <c r="R1" s="950"/>
      <c r="S1" s="950"/>
      <c r="T1" s="950"/>
      <c r="U1" s="950"/>
      <c r="V1" s="950"/>
      <c r="W1" s="950"/>
      <c r="X1" s="950"/>
      <c r="Y1" s="950"/>
      <c r="Z1" s="950"/>
      <c r="AB1" s="950" t="s">
        <v>1083</v>
      </c>
      <c r="AC1" s="950"/>
      <c r="AE1" s="470" t="s">
        <v>1083</v>
      </c>
    </row>
    <row r="2" spans="1:31" x14ac:dyDescent="0.2">
      <c r="A2" s="400" t="s">
        <v>153</v>
      </c>
      <c r="B2" s="400" t="s">
        <v>550</v>
      </c>
      <c r="C2" s="400" t="s">
        <v>229</v>
      </c>
      <c r="D2" s="400" t="s">
        <v>230</v>
      </c>
      <c r="E2" s="400" t="s">
        <v>223</v>
      </c>
      <c r="F2" s="400" t="s">
        <v>231</v>
      </c>
      <c r="G2" s="400" t="s">
        <v>232</v>
      </c>
      <c r="H2" s="400" t="s">
        <v>549</v>
      </c>
      <c r="J2" s="400" t="s">
        <v>332</v>
      </c>
      <c r="K2" s="400" t="s">
        <v>602</v>
      </c>
      <c r="L2" s="406" t="s">
        <v>1056</v>
      </c>
      <c r="M2" s="406" t="s">
        <v>284</v>
      </c>
      <c r="N2" s="406" t="s">
        <v>229</v>
      </c>
      <c r="O2" s="406" t="s">
        <v>230</v>
      </c>
      <c r="P2" s="406" t="s">
        <v>231</v>
      </c>
      <c r="Q2" s="406" t="s">
        <v>232</v>
      </c>
      <c r="R2" s="406" t="s">
        <v>549</v>
      </c>
      <c r="S2" s="406" t="s">
        <v>228</v>
      </c>
      <c r="T2" s="406" t="s">
        <v>550</v>
      </c>
      <c r="U2" s="406" t="s">
        <v>551</v>
      </c>
      <c r="V2" s="406" t="s">
        <v>552</v>
      </c>
      <c r="W2" s="406" t="s">
        <v>603</v>
      </c>
      <c r="X2" s="406" t="s">
        <v>561</v>
      </c>
      <c r="Y2" s="406" t="s">
        <v>948</v>
      </c>
      <c r="Z2" s="406" t="s">
        <v>1034</v>
      </c>
      <c r="AB2" s="462" t="s">
        <v>930</v>
      </c>
      <c r="AC2" s="462" t="s">
        <v>931</v>
      </c>
      <c r="AE2" s="471"/>
    </row>
    <row r="3" spans="1:31" x14ac:dyDescent="0.2">
      <c r="I3" s="400">
        <v>1</v>
      </c>
      <c r="AE3" s="471" t="s">
        <v>584</v>
      </c>
    </row>
    <row r="4" spans="1:31" x14ac:dyDescent="0.2">
      <c r="A4" s="400" t="s">
        <v>606</v>
      </c>
      <c r="B4" s="400">
        <v>0.05</v>
      </c>
      <c r="I4" s="400">
        <v>2</v>
      </c>
      <c r="J4" s="400" t="s">
        <v>607</v>
      </c>
      <c r="K4" s="400">
        <v>1.44</v>
      </c>
      <c r="L4" s="400" t="s">
        <v>165</v>
      </c>
      <c r="M4" s="400" t="s">
        <v>165</v>
      </c>
      <c r="N4" s="409" t="e">
        <f t="shared" ref="N4:N19" si="0">VLOOKUP(M4,tblVoedingBasislijst,6,FALSE)*tblOmrekenNA/100</f>
        <v>#REF!</v>
      </c>
      <c r="O4" s="409" t="e">
        <f t="shared" ref="O4:O19" si="1">VLOOKUP(M4,tblVoedingBasislijst,7,FALSE)*tblOmrekenK/100</f>
        <v>#REF!</v>
      </c>
      <c r="P4" s="409" t="e">
        <f t="shared" ref="P4:P19" si="2">VLOOKUP(M4,tblVoedingBasislijst,8,FALSE)*tblOmrekenCa/100</f>
        <v>#REF!</v>
      </c>
      <c r="Q4" s="409" t="e">
        <f t="shared" ref="Q4:Q19" si="3">VLOOKUP(M4,tblVoedingBasislijst,10,FALSE)*tblOmrekenMg/100</f>
        <v>#REF!</v>
      </c>
      <c r="R4" s="409" t="e">
        <f t="shared" ref="R4:R19" si="4">VLOOKUP(M4,tblVoedingBasislijst,9,FALSE)*tblOmrekenP/100</f>
        <v>#REF!</v>
      </c>
      <c r="S4" s="409">
        <f t="shared" ref="S4:S19" si="5">VLOOKUP(M4,tblVoedingBasislijst,3,FALSE)/100</f>
        <v>0.01</v>
      </c>
      <c r="T4" s="409">
        <f t="shared" ref="T4:T19" si="6">VLOOKUP(M4,tblVoedingBasislijst,4,FALSE)/100</f>
        <v>7.0000000000000007E-2</v>
      </c>
      <c r="U4" s="409">
        <f t="shared" ref="U4:U19" si="7">VLOOKUP(M4,tblVoedingBasislijst,5,FALSE)/100</f>
        <v>0.04</v>
      </c>
      <c r="V4" s="409">
        <f t="shared" ref="V4:V19" si="8">VLOOKUP(M4,tblVoedingBasislijst,2,FALSE)/100</f>
        <v>0.68</v>
      </c>
      <c r="W4" s="409" t="e">
        <f t="shared" ref="W4:W19" si="9">VLOOKUP(M4,tblVoedingBasislijst,13,FALSE)*tblOmrekenCl/100</f>
        <v>#REF!</v>
      </c>
      <c r="X4" s="409" t="e">
        <f t="shared" ref="X4:X19" si="10">VLOOKUP(M4,tblVoedingBasislijst,12,FALSE)*tblOmrekenVitD/100</f>
        <v>#REF!</v>
      </c>
      <c r="Y4" s="409" t="e">
        <f t="shared" ref="Y4:Y19" si="11">VLOOKUP(M4,tblVoedingBasislijst,11,FALSE)*tblOmrekenFe/100</f>
        <v>#REF!</v>
      </c>
      <c r="Z4" s="409" t="s">
        <v>165</v>
      </c>
      <c r="AA4" s="409"/>
      <c r="AB4" s="400">
        <v>2.2000000000000002</v>
      </c>
      <c r="AC4" s="400">
        <v>0.5</v>
      </c>
      <c r="AE4" s="471" t="s">
        <v>1116</v>
      </c>
    </row>
    <row r="5" spans="1:31" x14ac:dyDescent="0.2">
      <c r="A5" s="400" t="s">
        <v>611</v>
      </c>
      <c r="B5" s="400">
        <v>0.1</v>
      </c>
      <c r="I5" s="400">
        <v>3</v>
      </c>
      <c r="J5" s="400" t="s">
        <v>362</v>
      </c>
      <c r="K5" s="400">
        <v>1</v>
      </c>
      <c r="L5" s="400" t="s">
        <v>953</v>
      </c>
      <c r="M5" s="400" t="s">
        <v>953</v>
      </c>
      <c r="N5" s="409" t="e">
        <f t="shared" si="0"/>
        <v>#REF!</v>
      </c>
      <c r="O5" s="409" t="e">
        <f t="shared" si="1"/>
        <v>#REF!</v>
      </c>
      <c r="P5" s="409" t="e">
        <f t="shared" si="2"/>
        <v>#REF!</v>
      </c>
      <c r="Q5" s="409" t="e">
        <f t="shared" si="3"/>
        <v>#REF!</v>
      </c>
      <c r="R5" s="409" t="e">
        <f t="shared" si="4"/>
        <v>#REF!</v>
      </c>
      <c r="S5" s="409">
        <f t="shared" si="5"/>
        <v>2.6000000000000002E-2</v>
      </c>
      <c r="T5" s="409">
        <f t="shared" si="6"/>
        <v>8.4000000000000005E-2</v>
      </c>
      <c r="U5" s="409">
        <f t="shared" si="7"/>
        <v>3.9E-2</v>
      </c>
      <c r="V5" s="409">
        <f t="shared" si="8"/>
        <v>0.8</v>
      </c>
      <c r="W5" s="409" t="e">
        <f t="shared" si="9"/>
        <v>#REF!</v>
      </c>
      <c r="X5" s="409" t="e">
        <f t="shared" si="10"/>
        <v>#REF!</v>
      </c>
      <c r="Y5" s="409" t="e">
        <f t="shared" si="11"/>
        <v>#REF!</v>
      </c>
      <c r="Z5" s="409" t="s">
        <v>1035</v>
      </c>
      <c r="AA5" s="409"/>
      <c r="AB5" s="400">
        <v>4.4000000000000004</v>
      </c>
      <c r="AC5" s="400">
        <v>1</v>
      </c>
    </row>
    <row r="6" spans="1:31" x14ac:dyDescent="0.2">
      <c r="A6" s="400" t="s">
        <v>614</v>
      </c>
      <c r="B6" s="400">
        <v>0.15</v>
      </c>
      <c r="I6" s="400">
        <v>4</v>
      </c>
      <c r="J6" s="400" t="s">
        <v>486</v>
      </c>
      <c r="K6" s="400">
        <v>1440</v>
      </c>
      <c r="L6" s="400" t="s">
        <v>954</v>
      </c>
      <c r="M6" s="400" t="s">
        <v>954</v>
      </c>
      <c r="N6" s="409" t="e">
        <f t="shared" si="0"/>
        <v>#REF!</v>
      </c>
      <c r="O6" s="409" t="e">
        <f t="shared" si="1"/>
        <v>#REF!</v>
      </c>
      <c r="P6" s="409" t="e">
        <f t="shared" si="2"/>
        <v>#REF!</v>
      </c>
      <c r="Q6" s="409" t="e">
        <f t="shared" si="3"/>
        <v>#REF!</v>
      </c>
      <c r="R6" s="409" t="e">
        <f t="shared" si="4"/>
        <v>#REF!</v>
      </c>
      <c r="S6" s="409">
        <f t="shared" si="5"/>
        <v>0.02</v>
      </c>
      <c r="T6" s="409">
        <f t="shared" si="6"/>
        <v>7.4999999999999997E-2</v>
      </c>
      <c r="U6" s="409">
        <f t="shared" si="7"/>
        <v>0.04</v>
      </c>
      <c r="V6" s="409">
        <f t="shared" si="8"/>
        <v>0.75</v>
      </c>
      <c r="W6" s="409" t="e">
        <f t="shared" si="9"/>
        <v>#REF!</v>
      </c>
      <c r="X6" s="409" t="e">
        <f t="shared" si="10"/>
        <v>#REF!</v>
      </c>
      <c r="Y6" s="409" t="e">
        <f t="shared" si="11"/>
        <v>#REF!</v>
      </c>
      <c r="Z6" s="409" t="s">
        <v>1035</v>
      </c>
      <c r="AA6" s="409"/>
      <c r="AC6" s="400">
        <v>1.5</v>
      </c>
    </row>
    <row r="7" spans="1:31" x14ac:dyDescent="0.2">
      <c r="A7" s="400" t="s">
        <v>616</v>
      </c>
      <c r="B7" s="400">
        <v>0.2</v>
      </c>
      <c r="I7" s="400">
        <v>5</v>
      </c>
      <c r="J7" s="400" t="s">
        <v>361</v>
      </c>
      <c r="K7" s="400">
        <v>24</v>
      </c>
      <c r="L7" s="400" t="s">
        <v>608</v>
      </c>
      <c r="M7" s="400" t="s">
        <v>608</v>
      </c>
      <c r="N7" s="409" t="e">
        <f t="shared" si="0"/>
        <v>#REF!</v>
      </c>
      <c r="O7" s="409" t="e">
        <f t="shared" si="1"/>
        <v>#REF!</v>
      </c>
      <c r="P7" s="409" t="e">
        <f t="shared" si="2"/>
        <v>#REF!</v>
      </c>
      <c r="Q7" s="409" t="e">
        <f t="shared" si="3"/>
        <v>#REF!</v>
      </c>
      <c r="R7" s="409" t="e">
        <f t="shared" si="4"/>
        <v>#REF!</v>
      </c>
      <c r="S7" s="409">
        <f t="shared" si="5"/>
        <v>1.3000000000000001E-2</v>
      </c>
      <c r="T7" s="409">
        <f t="shared" si="6"/>
        <v>7.2999999999999995E-2</v>
      </c>
      <c r="U7" s="409">
        <f t="shared" si="7"/>
        <v>3.4000000000000002E-2</v>
      </c>
      <c r="V7" s="409">
        <f t="shared" si="8"/>
        <v>0.66</v>
      </c>
      <c r="W7" s="409" t="e">
        <f t="shared" si="9"/>
        <v>#REF!</v>
      </c>
      <c r="X7" s="409" t="e">
        <f t="shared" si="10"/>
        <v>#REF!</v>
      </c>
      <c r="Y7" s="409" t="e">
        <f t="shared" si="11"/>
        <v>#REF!</v>
      </c>
      <c r="Z7" s="409" t="s">
        <v>1035</v>
      </c>
      <c r="AA7" s="409"/>
      <c r="AC7" s="400">
        <v>2</v>
      </c>
    </row>
    <row r="8" spans="1:31" x14ac:dyDescent="0.2">
      <c r="A8" s="400" t="s">
        <v>618</v>
      </c>
      <c r="B8" s="400">
        <v>0.25</v>
      </c>
      <c r="I8" s="400">
        <v>6</v>
      </c>
      <c r="J8" s="400" t="s">
        <v>422</v>
      </c>
      <c r="K8" s="400">
        <v>1.4400000000000001E-3</v>
      </c>
      <c r="L8" s="400" t="s">
        <v>1018</v>
      </c>
      <c r="M8" s="400" t="s">
        <v>1018</v>
      </c>
      <c r="N8" s="409" t="e">
        <f t="shared" si="0"/>
        <v>#REF!</v>
      </c>
      <c r="O8" s="409" t="e">
        <f t="shared" si="1"/>
        <v>#REF!</v>
      </c>
      <c r="P8" s="409" t="e">
        <f t="shared" si="2"/>
        <v>#REF!</v>
      </c>
      <c r="Q8" s="409" t="e">
        <f t="shared" si="3"/>
        <v>#REF!</v>
      </c>
      <c r="R8" s="409" t="e">
        <f t="shared" si="4"/>
        <v>#REF!</v>
      </c>
      <c r="S8" s="409">
        <f t="shared" si="5"/>
        <v>1.3999999999999999E-2</v>
      </c>
      <c r="T8" s="409">
        <f t="shared" si="6"/>
        <v>8.5999999999999993E-2</v>
      </c>
      <c r="U8" s="409">
        <f t="shared" si="7"/>
        <v>0.03</v>
      </c>
      <c r="V8" s="409">
        <f t="shared" si="8"/>
        <v>0.68</v>
      </c>
      <c r="W8" s="409" t="e">
        <f t="shared" si="9"/>
        <v>#REF!</v>
      </c>
      <c r="X8" s="409" t="e">
        <f t="shared" si="10"/>
        <v>#REF!</v>
      </c>
      <c r="Y8" s="409" t="e">
        <f t="shared" si="11"/>
        <v>#REF!</v>
      </c>
      <c r="Z8" s="409" t="s">
        <v>1035</v>
      </c>
      <c r="AA8" s="409"/>
      <c r="AC8" s="400">
        <v>2.5</v>
      </c>
    </row>
    <row r="9" spans="1:31" x14ac:dyDescent="0.2">
      <c r="A9" s="400" t="s">
        <v>620</v>
      </c>
      <c r="B9" s="400">
        <v>0.3</v>
      </c>
      <c r="I9" s="400">
        <v>7</v>
      </c>
      <c r="J9" s="400" t="s">
        <v>767</v>
      </c>
      <c r="K9" s="400">
        <v>2.4E-2</v>
      </c>
      <c r="L9" s="400" t="s">
        <v>1019</v>
      </c>
      <c r="M9" s="400" t="s">
        <v>1019</v>
      </c>
      <c r="N9" s="409" t="e">
        <f t="shared" si="0"/>
        <v>#REF!</v>
      </c>
      <c r="O9" s="409" t="e">
        <f t="shared" si="1"/>
        <v>#REF!</v>
      </c>
      <c r="P9" s="409" t="e">
        <f t="shared" si="2"/>
        <v>#REF!</v>
      </c>
      <c r="Q9" s="409" t="e">
        <f t="shared" si="3"/>
        <v>#REF!</v>
      </c>
      <c r="R9" s="409" t="e">
        <f t="shared" si="4"/>
        <v>#REF!</v>
      </c>
      <c r="S9" s="409">
        <f t="shared" si="5"/>
        <v>0.01</v>
      </c>
      <c r="T9" s="409">
        <f t="shared" si="6"/>
        <v>7.0000000000000007E-2</v>
      </c>
      <c r="U9" s="409">
        <f t="shared" si="7"/>
        <v>0.04</v>
      </c>
      <c r="V9" s="409">
        <f t="shared" si="8"/>
        <v>0.68</v>
      </c>
      <c r="W9" s="409" t="e">
        <f t="shared" si="9"/>
        <v>#REF!</v>
      </c>
      <c r="X9" s="409" t="e">
        <f t="shared" si="10"/>
        <v>#REF!</v>
      </c>
      <c r="Y9" s="409" t="e">
        <f t="shared" si="11"/>
        <v>#REF!</v>
      </c>
      <c r="Z9" s="409" t="s">
        <v>165</v>
      </c>
      <c r="AA9" s="409"/>
      <c r="AC9" s="400">
        <v>3</v>
      </c>
    </row>
    <row r="10" spans="1:31" x14ac:dyDescent="0.2">
      <c r="A10" s="400" t="s">
        <v>622</v>
      </c>
      <c r="B10" s="400">
        <v>0.35</v>
      </c>
      <c r="I10" s="400">
        <v>8</v>
      </c>
      <c r="J10" s="400" t="s">
        <v>363</v>
      </c>
      <c r="K10" s="400">
        <v>1</v>
      </c>
      <c r="L10" s="400" t="s">
        <v>1020</v>
      </c>
      <c r="M10" s="400" t="s">
        <v>1020</v>
      </c>
      <c r="N10" s="409" t="e">
        <f t="shared" si="0"/>
        <v>#REF!</v>
      </c>
      <c r="O10" s="409" t="e">
        <f t="shared" si="1"/>
        <v>#REF!</v>
      </c>
      <c r="P10" s="409" t="e">
        <f t="shared" si="2"/>
        <v>#REF!</v>
      </c>
      <c r="Q10" s="409" t="e">
        <f t="shared" si="3"/>
        <v>#REF!</v>
      </c>
      <c r="R10" s="409" t="e">
        <f t="shared" si="4"/>
        <v>#REF!</v>
      </c>
      <c r="S10" s="409">
        <f t="shared" si="5"/>
        <v>0.01</v>
      </c>
      <c r="T10" s="409">
        <f t="shared" si="6"/>
        <v>7.0000000000000007E-2</v>
      </c>
      <c r="U10" s="409">
        <f t="shared" si="7"/>
        <v>0.04</v>
      </c>
      <c r="V10" s="409">
        <f t="shared" si="8"/>
        <v>0.68</v>
      </c>
      <c r="W10" s="409" t="e">
        <f t="shared" si="9"/>
        <v>#REF!</v>
      </c>
      <c r="X10" s="409" t="e">
        <f t="shared" si="10"/>
        <v>#REF!</v>
      </c>
      <c r="Y10" s="409" t="e">
        <f t="shared" si="11"/>
        <v>#REF!</v>
      </c>
      <c r="Z10" s="409" t="s">
        <v>165</v>
      </c>
      <c r="AA10" s="409"/>
      <c r="AC10" s="400">
        <v>3.5</v>
      </c>
    </row>
    <row r="11" spans="1:31" x14ac:dyDescent="0.2">
      <c r="A11" s="400" t="s">
        <v>623</v>
      </c>
      <c r="B11" s="400">
        <v>0.4</v>
      </c>
      <c r="I11" s="400">
        <v>9</v>
      </c>
      <c r="J11" s="148" t="s">
        <v>66</v>
      </c>
      <c r="K11" s="400">
        <v>24</v>
      </c>
      <c r="L11" s="400" t="s">
        <v>1021</v>
      </c>
      <c r="M11" s="400" t="s">
        <v>1021</v>
      </c>
      <c r="N11" s="409" t="e">
        <f t="shared" si="0"/>
        <v>#REF!</v>
      </c>
      <c r="O11" s="409" t="e">
        <f t="shared" si="1"/>
        <v>#REF!</v>
      </c>
      <c r="P11" s="409" t="e">
        <f t="shared" si="2"/>
        <v>#REF!</v>
      </c>
      <c r="Q11" s="409" t="e">
        <f t="shared" si="3"/>
        <v>#REF!</v>
      </c>
      <c r="R11" s="409" t="e">
        <f t="shared" si="4"/>
        <v>#REF!</v>
      </c>
      <c r="S11" s="409">
        <f t="shared" si="5"/>
        <v>0.01</v>
      </c>
      <c r="T11" s="409">
        <f t="shared" si="6"/>
        <v>7.0000000000000007E-2</v>
      </c>
      <c r="U11" s="409">
        <f t="shared" si="7"/>
        <v>0.04</v>
      </c>
      <c r="V11" s="409">
        <f t="shared" si="8"/>
        <v>0.68</v>
      </c>
      <c r="W11" s="409" t="e">
        <f t="shared" si="9"/>
        <v>#REF!</v>
      </c>
      <c r="X11" s="409" t="e">
        <f t="shared" si="10"/>
        <v>#REF!</v>
      </c>
      <c r="Y11" s="409" t="e">
        <f t="shared" si="11"/>
        <v>#REF!</v>
      </c>
      <c r="Z11" s="409" t="s">
        <v>165</v>
      </c>
      <c r="AA11" s="409"/>
      <c r="AC11" s="400">
        <v>4</v>
      </c>
    </row>
    <row r="12" spans="1:31" x14ac:dyDescent="0.2">
      <c r="A12" s="400" t="s">
        <v>624</v>
      </c>
      <c r="B12" s="400">
        <v>0.45</v>
      </c>
      <c r="L12" s="400" t="s">
        <v>1022</v>
      </c>
      <c r="M12" s="400" t="s">
        <v>1022</v>
      </c>
      <c r="N12" s="409" t="e">
        <f t="shared" si="0"/>
        <v>#REF!</v>
      </c>
      <c r="O12" s="409" t="e">
        <f t="shared" si="1"/>
        <v>#REF!</v>
      </c>
      <c r="P12" s="409" t="e">
        <f t="shared" si="2"/>
        <v>#REF!</v>
      </c>
      <c r="Q12" s="409" t="e">
        <f t="shared" si="3"/>
        <v>#REF!</v>
      </c>
      <c r="R12" s="409" t="e">
        <f t="shared" si="4"/>
        <v>#REF!</v>
      </c>
      <c r="S12" s="409">
        <f t="shared" si="5"/>
        <v>0.01</v>
      </c>
      <c r="T12" s="409">
        <f t="shared" si="6"/>
        <v>7.0000000000000007E-2</v>
      </c>
      <c r="U12" s="409">
        <f t="shared" si="7"/>
        <v>0.04</v>
      </c>
      <c r="V12" s="409">
        <f t="shared" si="8"/>
        <v>0.68</v>
      </c>
      <c r="W12" s="409" t="e">
        <f t="shared" si="9"/>
        <v>#REF!</v>
      </c>
      <c r="X12" s="409" t="e">
        <f t="shared" si="10"/>
        <v>#REF!</v>
      </c>
      <c r="Y12" s="409" t="e">
        <f t="shared" si="11"/>
        <v>#REF!</v>
      </c>
      <c r="Z12" s="409" t="s">
        <v>165</v>
      </c>
      <c r="AA12" s="409"/>
      <c r="AC12" s="400">
        <v>4.5</v>
      </c>
    </row>
    <row r="13" spans="1:31" x14ac:dyDescent="0.2">
      <c r="A13" s="400" t="s">
        <v>625</v>
      </c>
      <c r="B13" s="400">
        <v>0.5</v>
      </c>
      <c r="L13" s="400" t="s">
        <v>1023</v>
      </c>
      <c r="M13" s="400" t="s">
        <v>1023</v>
      </c>
      <c r="N13" s="409" t="e">
        <f t="shared" si="0"/>
        <v>#REF!</v>
      </c>
      <c r="O13" s="409" t="e">
        <f t="shared" si="1"/>
        <v>#REF!</v>
      </c>
      <c r="P13" s="409" t="e">
        <f t="shared" si="2"/>
        <v>#REF!</v>
      </c>
      <c r="Q13" s="409" t="e">
        <f t="shared" si="3"/>
        <v>#REF!</v>
      </c>
      <c r="R13" s="409" t="e">
        <f t="shared" si="4"/>
        <v>#REF!</v>
      </c>
      <c r="S13" s="409">
        <f t="shared" si="5"/>
        <v>0.01</v>
      </c>
      <c r="T13" s="409">
        <f t="shared" si="6"/>
        <v>7.0000000000000007E-2</v>
      </c>
      <c r="U13" s="409">
        <f t="shared" si="7"/>
        <v>0.04</v>
      </c>
      <c r="V13" s="409">
        <f t="shared" si="8"/>
        <v>0.68</v>
      </c>
      <c r="W13" s="409" t="e">
        <f t="shared" si="9"/>
        <v>#REF!</v>
      </c>
      <c r="X13" s="409" t="e">
        <f t="shared" si="10"/>
        <v>#REF!</v>
      </c>
      <c r="Y13" s="409" t="e">
        <f t="shared" si="11"/>
        <v>#REF!</v>
      </c>
      <c r="Z13" s="409" t="s">
        <v>165</v>
      </c>
      <c r="AA13" s="409"/>
      <c r="AC13" s="400">
        <v>5</v>
      </c>
    </row>
    <row r="14" spans="1:31" x14ac:dyDescent="0.2">
      <c r="A14" s="400" t="s">
        <v>309</v>
      </c>
      <c r="C14" s="400">
        <v>0.155</v>
      </c>
      <c r="L14" s="400" t="s">
        <v>1024</v>
      </c>
      <c r="M14" s="400" t="s">
        <v>1024</v>
      </c>
      <c r="N14" s="409" t="e">
        <f t="shared" si="0"/>
        <v>#REF!</v>
      </c>
      <c r="O14" s="409" t="e">
        <f t="shared" si="1"/>
        <v>#REF!</v>
      </c>
      <c r="P14" s="409" t="e">
        <f t="shared" si="2"/>
        <v>#REF!</v>
      </c>
      <c r="Q14" s="409" t="e">
        <f t="shared" si="3"/>
        <v>#REF!</v>
      </c>
      <c r="R14" s="409" t="e">
        <f t="shared" si="4"/>
        <v>#REF!</v>
      </c>
      <c r="S14" s="409">
        <f t="shared" si="5"/>
        <v>0.01</v>
      </c>
      <c r="T14" s="409">
        <f t="shared" si="6"/>
        <v>7.0000000000000007E-2</v>
      </c>
      <c r="U14" s="409">
        <f t="shared" si="7"/>
        <v>0.04</v>
      </c>
      <c r="V14" s="409">
        <f t="shared" si="8"/>
        <v>0.68</v>
      </c>
      <c r="W14" s="409" t="e">
        <f t="shared" si="9"/>
        <v>#REF!</v>
      </c>
      <c r="X14" s="409" t="e">
        <f t="shared" si="10"/>
        <v>#REF!</v>
      </c>
      <c r="Y14" s="409" t="e">
        <f t="shared" si="11"/>
        <v>#REF!</v>
      </c>
      <c r="Z14" s="409" t="s">
        <v>165</v>
      </c>
      <c r="AA14" s="409"/>
    </row>
    <row r="15" spans="1:31" x14ac:dyDescent="0.2">
      <c r="A15" s="400" t="s">
        <v>628</v>
      </c>
      <c r="C15" s="400">
        <v>0.5</v>
      </c>
      <c r="L15" s="400" t="s">
        <v>955</v>
      </c>
      <c r="M15" s="400" t="s">
        <v>955</v>
      </c>
      <c r="N15" s="409" t="e">
        <f t="shared" si="0"/>
        <v>#REF!</v>
      </c>
      <c r="O15" s="409" t="e">
        <f t="shared" si="1"/>
        <v>#REF!</v>
      </c>
      <c r="P15" s="409" t="e">
        <f t="shared" si="2"/>
        <v>#REF!</v>
      </c>
      <c r="Q15" s="409" t="e">
        <f t="shared" si="3"/>
        <v>#REF!</v>
      </c>
      <c r="R15" s="409" t="e">
        <f t="shared" si="4"/>
        <v>#REF!</v>
      </c>
      <c r="S15" s="409">
        <f t="shared" si="5"/>
        <v>1.4999999999999999E-2</v>
      </c>
      <c r="T15" s="409">
        <f t="shared" si="6"/>
        <v>7.2000000000000008E-2</v>
      </c>
      <c r="U15" s="409">
        <f t="shared" si="7"/>
        <v>3.4000000000000002E-2</v>
      </c>
      <c r="V15" s="409">
        <f t="shared" si="8"/>
        <v>0.66</v>
      </c>
      <c r="W15" s="409" t="e">
        <f t="shared" si="9"/>
        <v>#REF!</v>
      </c>
      <c r="X15" s="409" t="e">
        <f t="shared" si="10"/>
        <v>#REF!</v>
      </c>
      <c r="Y15" s="409" t="e">
        <f t="shared" si="11"/>
        <v>#REF!</v>
      </c>
      <c r="Z15" s="409" t="s">
        <v>1035</v>
      </c>
      <c r="AA15" s="409"/>
    </row>
    <row r="16" spans="1:31" x14ac:dyDescent="0.2">
      <c r="A16" s="400" t="s">
        <v>55</v>
      </c>
      <c r="C16" s="400">
        <v>1</v>
      </c>
      <c r="L16" s="400" t="s">
        <v>1028</v>
      </c>
      <c r="M16" s="400" t="s">
        <v>1028</v>
      </c>
      <c r="N16" s="409" t="e">
        <f t="shared" si="0"/>
        <v>#REF!</v>
      </c>
      <c r="O16" s="409" t="e">
        <f t="shared" si="1"/>
        <v>#REF!</v>
      </c>
      <c r="P16" s="409" t="e">
        <f t="shared" si="2"/>
        <v>#REF!</v>
      </c>
      <c r="Q16" s="409" t="e">
        <f t="shared" si="3"/>
        <v>#REF!</v>
      </c>
      <c r="R16" s="409" t="e">
        <f t="shared" si="4"/>
        <v>#REF!</v>
      </c>
      <c r="S16" s="409">
        <f t="shared" si="5"/>
        <v>1.4999999999999999E-2</v>
      </c>
      <c r="T16" s="409">
        <f t="shared" si="6"/>
        <v>7.0000000000000007E-2</v>
      </c>
      <c r="U16" s="409">
        <f t="shared" si="7"/>
        <v>3.6000000000000004E-2</v>
      </c>
      <c r="V16" s="409">
        <f t="shared" si="8"/>
        <v>0.66299999999999992</v>
      </c>
      <c r="W16" s="409" t="e">
        <f t="shared" si="9"/>
        <v>#REF!</v>
      </c>
      <c r="X16" s="409" t="e">
        <f t="shared" si="10"/>
        <v>#REF!</v>
      </c>
      <c r="Y16" s="409" t="e">
        <f t="shared" si="11"/>
        <v>#REF!</v>
      </c>
      <c r="Z16" s="409" t="s">
        <v>1035</v>
      </c>
      <c r="AA16" s="409"/>
    </row>
    <row r="17" spans="1:27" x14ac:dyDescent="0.2">
      <c r="A17" s="400" t="s">
        <v>335</v>
      </c>
      <c r="C17" s="400">
        <v>0.5</v>
      </c>
      <c r="L17" s="400" t="s">
        <v>956</v>
      </c>
      <c r="M17" s="400" t="s">
        <v>956</v>
      </c>
      <c r="N17" s="409" t="e">
        <f>VLOOKUP(M17,tblVoedingBasislijst,6,FALSE)*tblOmrekenNA/100</f>
        <v>#REF!</v>
      </c>
      <c r="O17" s="409" t="e">
        <f t="shared" si="1"/>
        <v>#REF!</v>
      </c>
      <c r="P17" s="409" t="e">
        <f t="shared" si="2"/>
        <v>#REF!</v>
      </c>
      <c r="Q17" s="409" t="e">
        <f t="shared" si="3"/>
        <v>#REF!</v>
      </c>
      <c r="R17" s="409" t="e">
        <f t="shared" si="4"/>
        <v>#REF!</v>
      </c>
      <c r="S17" s="409">
        <f t="shared" si="5"/>
        <v>1.8000000000000002E-2</v>
      </c>
      <c r="T17" s="409">
        <f t="shared" si="6"/>
        <v>7.2000000000000008E-2</v>
      </c>
      <c r="U17" s="409">
        <f t="shared" si="7"/>
        <v>3.4000000000000002E-2</v>
      </c>
      <c r="V17" s="409">
        <f t="shared" si="8"/>
        <v>0.67</v>
      </c>
      <c r="W17" s="409" t="e">
        <f t="shared" si="9"/>
        <v>#REF!</v>
      </c>
      <c r="X17" s="409" t="e">
        <f t="shared" si="10"/>
        <v>#REF!</v>
      </c>
      <c r="Y17" s="409" t="e">
        <f t="shared" si="11"/>
        <v>#REF!</v>
      </c>
      <c r="Z17" s="409" t="s">
        <v>1035</v>
      </c>
      <c r="AA17" s="409"/>
    </row>
    <row r="18" spans="1:27" x14ac:dyDescent="0.2">
      <c r="A18" s="400" t="s">
        <v>762</v>
      </c>
      <c r="L18" s="400" t="s">
        <v>1031</v>
      </c>
      <c r="M18" s="400" t="s">
        <v>1031</v>
      </c>
      <c r="N18" s="409" t="e">
        <f t="shared" si="0"/>
        <v>#REF!</v>
      </c>
      <c r="O18" s="409" t="e">
        <f t="shared" si="1"/>
        <v>#REF!</v>
      </c>
      <c r="P18" s="409" t="e">
        <f t="shared" si="2"/>
        <v>#REF!</v>
      </c>
      <c r="Q18" s="409" t="e">
        <f t="shared" si="3"/>
        <v>#REF!</v>
      </c>
      <c r="R18" s="409" t="e">
        <f t="shared" si="4"/>
        <v>#REF!</v>
      </c>
      <c r="S18" s="409">
        <f t="shared" si="5"/>
        <v>1.6E-2</v>
      </c>
      <c r="T18" s="409">
        <f t="shared" si="6"/>
        <v>7.0000000000000007E-2</v>
      </c>
      <c r="U18" s="409">
        <f t="shared" si="7"/>
        <v>3.5000000000000003E-2</v>
      </c>
      <c r="V18" s="409">
        <f t="shared" si="8"/>
        <v>0.67</v>
      </c>
      <c r="W18" s="409" t="e">
        <f t="shared" si="9"/>
        <v>#REF!</v>
      </c>
      <c r="X18" s="409" t="e">
        <f t="shared" si="10"/>
        <v>#REF!</v>
      </c>
      <c r="Y18" s="409" t="e">
        <f t="shared" si="11"/>
        <v>#REF!</v>
      </c>
      <c r="Z18" s="409" t="s">
        <v>1035</v>
      </c>
      <c r="AA18" s="409"/>
    </row>
    <row r="19" spans="1:27" x14ac:dyDescent="0.2">
      <c r="L19" s="400" t="s">
        <v>958</v>
      </c>
      <c r="M19" s="400" t="s">
        <v>958</v>
      </c>
      <c r="N19" s="409" t="e">
        <f t="shared" si="0"/>
        <v>#REF!</v>
      </c>
      <c r="O19" s="409" t="e">
        <f t="shared" si="1"/>
        <v>#REF!</v>
      </c>
      <c r="P19" s="409" t="e">
        <f t="shared" si="2"/>
        <v>#REF!</v>
      </c>
      <c r="Q19" s="409" t="e">
        <f t="shared" si="3"/>
        <v>#REF!</v>
      </c>
      <c r="R19" s="409" t="e">
        <f t="shared" si="4"/>
        <v>#REF!</v>
      </c>
      <c r="S19" s="409">
        <f t="shared" si="5"/>
        <v>1.3999999999999999E-2</v>
      </c>
      <c r="T19" s="409">
        <f t="shared" si="6"/>
        <v>7.2000000000000008E-2</v>
      </c>
      <c r="U19" s="409">
        <f t="shared" si="7"/>
        <v>3.5000000000000003E-2</v>
      </c>
      <c r="V19" s="409">
        <f t="shared" si="8"/>
        <v>0.66</v>
      </c>
      <c r="W19" s="409" t="e">
        <f t="shared" si="9"/>
        <v>#REF!</v>
      </c>
      <c r="X19" s="409" t="e">
        <f t="shared" si="10"/>
        <v>#REF!</v>
      </c>
      <c r="Y19" s="409" t="e">
        <f t="shared" si="11"/>
        <v>#REF!</v>
      </c>
      <c r="Z19" s="409" t="s">
        <v>1035</v>
      </c>
      <c r="AA19" s="409"/>
    </row>
    <row r="23" spans="1:27" x14ac:dyDescent="0.2">
      <c r="L23" s="950" t="s">
        <v>1081</v>
      </c>
      <c r="M23" s="950"/>
      <c r="N23" s="950"/>
      <c r="O23" s="950"/>
      <c r="P23" s="950"/>
      <c r="Q23" s="950"/>
      <c r="R23" s="950"/>
      <c r="S23" s="950"/>
      <c r="T23" s="950"/>
      <c r="U23" s="950"/>
      <c r="V23" s="950"/>
      <c r="W23" s="950"/>
      <c r="X23" s="950"/>
      <c r="Y23" s="950"/>
      <c r="Z23" s="950"/>
    </row>
    <row r="24" spans="1:27" x14ac:dyDescent="0.2">
      <c r="M24" s="406" t="s">
        <v>233</v>
      </c>
      <c r="N24" s="406" t="s">
        <v>229</v>
      </c>
      <c r="O24" s="406" t="s">
        <v>230</v>
      </c>
      <c r="P24" s="406" t="s">
        <v>231</v>
      </c>
      <c r="Q24" s="406" t="s">
        <v>232</v>
      </c>
      <c r="R24" s="406" t="s">
        <v>549</v>
      </c>
      <c r="S24" s="406" t="s">
        <v>228</v>
      </c>
      <c r="T24" s="406" t="s">
        <v>550</v>
      </c>
      <c r="U24" s="406" t="s">
        <v>551</v>
      </c>
      <c r="V24" s="406" t="s">
        <v>552</v>
      </c>
    </row>
    <row r="25" spans="1:27" x14ac:dyDescent="0.2">
      <c r="M25" s="400" t="s">
        <v>333</v>
      </c>
      <c r="N25" s="400">
        <f>0.25/35</f>
        <v>7.1428571428571426E-3</v>
      </c>
      <c r="O25" s="400">
        <f>0.6/35</f>
        <v>1.7142857142857144E-2</v>
      </c>
      <c r="P25" s="400">
        <f>0.9/35</f>
        <v>2.5714285714285714E-2</v>
      </c>
      <c r="Q25" s="400">
        <f>0.2/35</f>
        <v>5.7142857142857143E-3</v>
      </c>
      <c r="R25" s="400">
        <f>0.75/35</f>
        <v>2.1428571428571429E-2</v>
      </c>
      <c r="S25" s="400">
        <f>2.6/35</f>
        <v>7.4285714285714288E-2</v>
      </c>
      <c r="T25" s="400">
        <v>0</v>
      </c>
      <c r="U25" s="400">
        <v>0</v>
      </c>
      <c r="V25" s="400">
        <v>0.28999999999999998</v>
      </c>
    </row>
    <row r="26" spans="1:27" x14ac:dyDescent="0.2">
      <c r="M26" s="400" t="s">
        <v>629</v>
      </c>
      <c r="N26" s="400">
        <f>1.9/35</f>
        <v>5.4285714285714284E-2</v>
      </c>
      <c r="O26" s="400">
        <f>2.5/35</f>
        <v>7.1428571428571425E-2</v>
      </c>
      <c r="P26" s="400">
        <f>0.225*4/35</f>
        <v>2.5714285714285714E-2</v>
      </c>
      <c r="Q26" s="400">
        <f>0.5*0.3/35</f>
        <v>4.2857142857142859E-3</v>
      </c>
      <c r="R26" s="400">
        <f>1.2/35</f>
        <v>3.4285714285714287E-2</v>
      </c>
      <c r="S26" s="400">
        <f>2.6/35</f>
        <v>7.4285714285714288E-2</v>
      </c>
      <c r="T26" s="400">
        <v>0</v>
      </c>
      <c r="U26" s="400">
        <v>0</v>
      </c>
      <c r="V26" s="400">
        <v>0.28999999999999998</v>
      </c>
    </row>
    <row r="29" spans="1:27" x14ac:dyDescent="0.2">
      <c r="N29" s="399"/>
      <c r="O29" s="399"/>
      <c r="P29" s="399"/>
      <c r="Q29" s="399"/>
      <c r="R29" s="399"/>
      <c r="S29" s="399"/>
      <c r="T29" s="399"/>
      <c r="U29" s="399"/>
      <c r="V29" s="399"/>
      <c r="W29" s="399"/>
      <c r="X29" s="399"/>
    </row>
    <row r="30" spans="1:27" x14ac:dyDescent="0.2">
      <c r="N30" s="399"/>
      <c r="O30" s="399"/>
      <c r="P30" s="399"/>
      <c r="Q30" s="399"/>
      <c r="R30" s="399"/>
      <c r="S30" s="399"/>
      <c r="T30" s="399"/>
      <c r="U30" s="399"/>
      <c r="V30" s="399"/>
      <c r="W30" s="399"/>
      <c r="X30" s="399"/>
    </row>
    <row r="31" spans="1:27" x14ac:dyDescent="0.2">
      <c r="L31" s="950" t="s">
        <v>1080</v>
      </c>
      <c r="M31" s="950"/>
      <c r="N31" s="950"/>
      <c r="O31" s="950"/>
      <c r="P31" s="950"/>
      <c r="Q31" s="950"/>
      <c r="R31" s="950"/>
      <c r="S31" s="950"/>
      <c r="T31" s="950"/>
      <c r="U31" s="950"/>
      <c r="V31" s="950"/>
      <c r="W31" s="950"/>
      <c r="X31" s="950"/>
      <c r="Y31" s="950"/>
      <c r="Z31" s="950"/>
    </row>
    <row r="32" spans="1:27" x14ac:dyDescent="0.2">
      <c r="M32" s="406" t="s">
        <v>932</v>
      </c>
      <c r="N32" s="406" t="s">
        <v>229</v>
      </c>
      <c r="O32" s="406" t="s">
        <v>230</v>
      </c>
      <c r="P32" s="406" t="s">
        <v>231</v>
      </c>
      <c r="Q32" s="406" t="s">
        <v>232</v>
      </c>
      <c r="R32" s="406" t="s">
        <v>549</v>
      </c>
      <c r="S32" s="406" t="s">
        <v>228</v>
      </c>
      <c r="T32" s="406" t="s">
        <v>550</v>
      </c>
      <c r="U32" s="406" t="s">
        <v>551</v>
      </c>
      <c r="V32" s="406" t="s">
        <v>552</v>
      </c>
      <c r="W32" s="408" t="s">
        <v>603</v>
      </c>
      <c r="X32" s="408" t="s">
        <v>604</v>
      </c>
      <c r="Y32" s="406" t="s">
        <v>948</v>
      </c>
    </row>
    <row r="34" spans="11:27" x14ac:dyDescent="0.2">
      <c r="L34" s="400" t="s">
        <v>553</v>
      </c>
      <c r="M34" s="400" t="s">
        <v>553</v>
      </c>
      <c r="N34" s="409" t="e">
        <f t="shared" ref="N34:N39" si="12">VLOOKUP(M34,tblVoedingPoeder,6,FALSE)*tblOmrekenNA/100</f>
        <v>#REF!</v>
      </c>
      <c r="O34" s="409" t="e">
        <f t="shared" ref="O34:O39" si="13">VLOOKUP(M34,tblVoedingPoeder,7,FALSE)*tblOmrekenK/100</f>
        <v>#REF!</v>
      </c>
      <c r="P34" s="409" t="e">
        <f t="shared" ref="P34:P39" si="14">VLOOKUP(M34,tblVoedingPoeder,8,FALSE)*tblOmrekenCa/100</f>
        <v>#REF!</v>
      </c>
      <c r="Q34" s="409" t="e">
        <f t="shared" ref="Q34:Q39" si="15">VLOOKUP(M34,tblVoedingPoeder,10,FALSE)*tblOmrekenMg/100</f>
        <v>#REF!</v>
      </c>
      <c r="R34" s="409" t="e">
        <f t="shared" ref="R34:R39" si="16">VLOOKUP(M34,tblVoedingPoeder,9,FALSE)*tblOmrekenP/100</f>
        <v>#REF!</v>
      </c>
      <c r="S34" s="409">
        <f t="shared" ref="S34:S39" si="17">VLOOKUP(M34,tblVoedingPoeder,3,FALSE)/100</f>
        <v>0</v>
      </c>
      <c r="T34" s="409">
        <f t="shared" ref="T34:T39" si="18">VLOOKUP(M34,tblVoedingPoeder,4,FALSE)/100</f>
        <v>0.96</v>
      </c>
      <c r="U34" s="409">
        <f t="shared" ref="U34:U39" si="19">VLOOKUP(M34,tblVoedingPoeder,5,FALSE)/100</f>
        <v>0</v>
      </c>
      <c r="V34" s="409">
        <f t="shared" ref="V34:V39" si="20">VLOOKUP(M34,tblVoedingPoeder,2,FALSE)/100</f>
        <v>3.84</v>
      </c>
      <c r="W34" s="409" t="e">
        <f t="shared" ref="W34:W39" si="21">VLOOKUP(M34,tblVoedingPoeder,13,FALSE)*tblOmrekenCl/100</f>
        <v>#REF!</v>
      </c>
      <c r="X34" s="409" t="e">
        <f t="shared" ref="X34:X39" si="22">VLOOKUP(M34,tblVoedingPoeder,12,FALSE)*tblOmrekenVitD/100</f>
        <v>#REF!</v>
      </c>
      <c r="Y34" s="409" t="e">
        <f t="shared" ref="Y34:Y39" si="23">VLOOKUP(M34,tblVoedingPoeder,11,FALSE)*tblOmrekenFe/100</f>
        <v>#REF!</v>
      </c>
    </row>
    <row r="35" spans="11:27" x14ac:dyDescent="0.2">
      <c r="L35" s="400" t="s">
        <v>609</v>
      </c>
      <c r="M35" s="400" t="s">
        <v>1055</v>
      </c>
      <c r="N35" s="409" t="e">
        <f t="shared" si="12"/>
        <v>#REF!</v>
      </c>
      <c r="O35" s="409" t="e">
        <f t="shared" si="13"/>
        <v>#REF!</v>
      </c>
      <c r="P35" s="409" t="e">
        <f t="shared" si="14"/>
        <v>#REF!</v>
      </c>
      <c r="Q35" s="409" t="e">
        <f t="shared" si="15"/>
        <v>#REF!</v>
      </c>
      <c r="R35" s="409" t="e">
        <f t="shared" si="16"/>
        <v>#REF!</v>
      </c>
      <c r="S35" s="409">
        <f t="shared" si="17"/>
        <v>9.6999999999999989E-2</v>
      </c>
      <c r="T35" s="409">
        <f t="shared" si="18"/>
        <v>0.53799999999999992</v>
      </c>
      <c r="U35" s="409">
        <f t="shared" si="19"/>
        <v>0.247</v>
      </c>
      <c r="V35" s="409">
        <f t="shared" si="20"/>
        <v>4.84</v>
      </c>
      <c r="W35" s="409" t="e">
        <f t="shared" si="21"/>
        <v>#REF!</v>
      </c>
      <c r="X35" s="409" t="e">
        <f t="shared" si="22"/>
        <v>#REF!</v>
      </c>
      <c r="Y35" s="409" t="e">
        <f t="shared" si="23"/>
        <v>#REF!</v>
      </c>
    </row>
    <row r="36" spans="11:27" x14ac:dyDescent="0.2">
      <c r="L36" s="400" t="s">
        <v>612</v>
      </c>
      <c r="M36" s="400" t="s">
        <v>967</v>
      </c>
      <c r="N36" s="409" t="e">
        <f t="shared" si="12"/>
        <v>#REF!</v>
      </c>
      <c r="O36" s="409" t="e">
        <f t="shared" si="13"/>
        <v>#REF!</v>
      </c>
      <c r="P36" s="409" t="e">
        <f t="shared" si="14"/>
        <v>#REF!</v>
      </c>
      <c r="Q36" s="409" t="e">
        <f t="shared" si="15"/>
        <v>#REF!</v>
      </c>
      <c r="R36" s="409" t="e">
        <f t="shared" si="16"/>
        <v>#REF!</v>
      </c>
      <c r="S36" s="409">
        <f t="shared" si="17"/>
        <v>0.156</v>
      </c>
      <c r="T36" s="409">
        <f t="shared" si="18"/>
        <v>0.22899999999999998</v>
      </c>
      <c r="U36" s="409">
        <f t="shared" si="19"/>
        <v>0.498</v>
      </c>
      <c r="V36" s="409">
        <f t="shared" si="20"/>
        <v>4.74</v>
      </c>
      <c r="W36" s="409" t="e">
        <f t="shared" si="21"/>
        <v>#REF!</v>
      </c>
      <c r="X36" s="409" t="e">
        <f t="shared" si="22"/>
        <v>#REF!</v>
      </c>
      <c r="Y36" s="409" t="e">
        <f t="shared" si="23"/>
        <v>#REF!</v>
      </c>
    </row>
    <row r="37" spans="11:27" x14ac:dyDescent="0.2">
      <c r="L37" s="400" t="s">
        <v>617</v>
      </c>
      <c r="M37" s="400" t="s">
        <v>968</v>
      </c>
      <c r="N37" s="409" t="e">
        <f t="shared" si="12"/>
        <v>#REF!</v>
      </c>
      <c r="O37" s="409" t="e">
        <f t="shared" si="13"/>
        <v>#REF!</v>
      </c>
      <c r="P37" s="409" t="e">
        <f t="shared" si="14"/>
        <v>#REF!</v>
      </c>
      <c r="Q37" s="409" t="e">
        <f t="shared" si="15"/>
        <v>#REF!</v>
      </c>
      <c r="R37" s="409" t="e">
        <f t="shared" si="16"/>
        <v>#REF!</v>
      </c>
      <c r="S37" s="409">
        <f t="shared" si="17"/>
        <v>0.82099999999999995</v>
      </c>
      <c r="T37" s="409">
        <f t="shared" si="18"/>
        <v>2.2000000000000002E-2</v>
      </c>
      <c r="U37" s="409">
        <f t="shared" si="19"/>
        <v>1E-3</v>
      </c>
      <c r="V37" s="409">
        <f t="shared" si="20"/>
        <v>3.38</v>
      </c>
      <c r="W37" s="409" t="e">
        <f t="shared" si="21"/>
        <v>#REF!</v>
      </c>
      <c r="X37" s="409" t="e">
        <f t="shared" si="22"/>
        <v>#REF!</v>
      </c>
      <c r="Y37" s="409" t="e">
        <f t="shared" si="23"/>
        <v>#REF!</v>
      </c>
    </row>
    <row r="38" spans="11:27" x14ac:dyDescent="0.2">
      <c r="L38" s="400" t="s">
        <v>619</v>
      </c>
      <c r="M38" s="400" t="s">
        <v>969</v>
      </c>
      <c r="N38" s="409" t="e">
        <f t="shared" si="12"/>
        <v>#REF!</v>
      </c>
      <c r="O38" s="409" t="e">
        <f t="shared" si="13"/>
        <v>#REF!</v>
      </c>
      <c r="P38" s="409" t="e">
        <f t="shared" si="14"/>
        <v>#REF!</v>
      </c>
      <c r="Q38" s="409" t="e">
        <f t="shared" si="15"/>
        <v>#REF!</v>
      </c>
      <c r="R38" s="409" t="e">
        <f t="shared" si="16"/>
        <v>#REF!</v>
      </c>
      <c r="S38" s="409">
        <f t="shared" si="17"/>
        <v>0</v>
      </c>
      <c r="T38" s="409">
        <f t="shared" si="18"/>
        <v>0</v>
      </c>
      <c r="U38" s="409">
        <f t="shared" si="19"/>
        <v>0.5</v>
      </c>
      <c r="V38" s="409">
        <f t="shared" si="20"/>
        <v>4.5</v>
      </c>
      <c r="W38" s="409" t="e">
        <f t="shared" si="21"/>
        <v>#REF!</v>
      </c>
      <c r="X38" s="409" t="e">
        <f t="shared" si="22"/>
        <v>#REF!</v>
      </c>
      <c r="Y38" s="409" t="e">
        <f t="shared" si="23"/>
        <v>#REF!</v>
      </c>
    </row>
    <row r="39" spans="11:27" x14ac:dyDescent="0.2">
      <c r="L39" s="400" t="s">
        <v>1027</v>
      </c>
      <c r="M39" s="400" t="s">
        <v>1027</v>
      </c>
      <c r="N39" s="409" t="e">
        <f t="shared" si="12"/>
        <v>#REF!</v>
      </c>
      <c r="O39" s="409" t="e">
        <f t="shared" si="13"/>
        <v>#REF!</v>
      </c>
      <c r="P39" s="409" t="e">
        <f t="shared" si="14"/>
        <v>#REF!</v>
      </c>
      <c r="Q39" s="409" t="e">
        <f t="shared" si="15"/>
        <v>#REF!</v>
      </c>
      <c r="R39" s="409" t="e">
        <f t="shared" si="16"/>
        <v>#REF!</v>
      </c>
      <c r="S39" s="409">
        <f t="shared" si="17"/>
        <v>0</v>
      </c>
      <c r="T39" s="409">
        <f t="shared" si="18"/>
        <v>0.66200000000000003</v>
      </c>
      <c r="U39" s="409">
        <f t="shared" si="19"/>
        <v>3.0000000000000001E-3</v>
      </c>
      <c r="V39" s="409">
        <f t="shared" si="20"/>
        <v>3.18</v>
      </c>
      <c r="W39" s="409" t="e">
        <f t="shared" si="21"/>
        <v>#REF!</v>
      </c>
      <c r="X39" s="409" t="e">
        <f t="shared" si="22"/>
        <v>#REF!</v>
      </c>
      <c r="Y39" s="409" t="e">
        <f t="shared" si="23"/>
        <v>#REF!</v>
      </c>
    </row>
    <row r="40" spans="11:27" x14ac:dyDescent="0.2">
      <c r="Z40" s="411"/>
      <c r="AA40" s="411"/>
    </row>
    <row r="41" spans="11:27" x14ac:dyDescent="0.2">
      <c r="K41" s="411"/>
    </row>
    <row r="42" spans="11:27" x14ac:dyDescent="0.2">
      <c r="L42" s="950" t="s">
        <v>1079</v>
      </c>
      <c r="M42" s="950"/>
      <c r="N42" s="950"/>
      <c r="O42" s="950"/>
      <c r="P42" s="950"/>
      <c r="Q42" s="950"/>
      <c r="R42" s="950"/>
      <c r="S42" s="950"/>
      <c r="T42" s="950"/>
      <c r="U42" s="950"/>
      <c r="V42" s="950"/>
      <c r="W42" s="950"/>
      <c r="X42" s="950"/>
      <c r="Y42" s="950"/>
      <c r="Z42" s="950"/>
    </row>
    <row r="43" spans="11:27" x14ac:dyDescent="0.2">
      <c r="M43" s="406" t="s">
        <v>933</v>
      </c>
      <c r="N43" s="406" t="s">
        <v>229</v>
      </c>
      <c r="O43" s="406" t="s">
        <v>230</v>
      </c>
      <c r="P43" s="406" t="s">
        <v>231</v>
      </c>
      <c r="Q43" s="406" t="s">
        <v>232</v>
      </c>
      <c r="R43" s="406" t="s">
        <v>549</v>
      </c>
      <c r="S43" s="406" t="s">
        <v>228</v>
      </c>
      <c r="T43" s="406" t="s">
        <v>550</v>
      </c>
      <c r="U43" s="406" t="s">
        <v>551</v>
      </c>
      <c r="V43" s="406" t="s">
        <v>552</v>
      </c>
      <c r="W43" s="408" t="s">
        <v>603</v>
      </c>
      <c r="X43" s="408" t="s">
        <v>604</v>
      </c>
      <c r="Y43" s="406" t="s">
        <v>948</v>
      </c>
    </row>
    <row r="45" spans="11:27" x14ac:dyDescent="0.2">
      <c r="L45" s="400" t="s">
        <v>934</v>
      </c>
      <c r="M45" s="400" t="s">
        <v>969</v>
      </c>
      <c r="N45" s="409" t="e">
        <f>VLOOKUP(M45,tblVoedingPoeder,6,FALSE)*tblOmrekenNA/100</f>
        <v>#REF!</v>
      </c>
      <c r="O45" s="409" t="e">
        <f>VLOOKUP(M45,tblVoedingPoeder,7,FALSE)*tblOmrekenK/100</f>
        <v>#REF!</v>
      </c>
      <c r="P45" s="409" t="e">
        <f>VLOOKUP(M45,tblVoedingPoeder,8,FALSE)*tblOmrekenCa/100</f>
        <v>#REF!</v>
      </c>
      <c r="Q45" s="409" t="e">
        <f>VLOOKUP(M45,tblVoedingPoeder,10,FALSE)*tblOmrekenMg/100</f>
        <v>#REF!</v>
      </c>
      <c r="R45" s="409" t="e">
        <f>VLOOKUP(M45,tblVoedingPoeder,9,FALSE)*tblOmrekenP/100</f>
        <v>#REF!</v>
      </c>
      <c r="S45" s="409">
        <f>VLOOKUP(M45,tblVoedingPoeder,3,FALSE)/100</f>
        <v>0</v>
      </c>
      <c r="T45" s="409">
        <f>VLOOKUP(M45,tblVoedingPoeder,4,FALSE)/100</f>
        <v>0</v>
      </c>
      <c r="U45" s="409">
        <f>VLOOKUP(M45,tblVoedingPoeder,5,FALSE)/100</f>
        <v>0.5</v>
      </c>
      <c r="V45" s="409">
        <f>VLOOKUP(M45,tblVoedingPoeder,2,FALSE)/100</f>
        <v>4.5</v>
      </c>
      <c r="W45" s="409" t="e">
        <f>VLOOKUP(M45,tblVoedingPoeder,13,FALSE)*tblOmrekenCl/100</f>
        <v>#REF!</v>
      </c>
      <c r="X45" s="409" t="e">
        <f>VLOOKUP(M45,tblVoedingPoeder,12,FALSE)*tblOmrekenVitD/100</f>
        <v>#REF!</v>
      </c>
      <c r="Y45" s="409" t="e">
        <f>VLOOKUP(M45,tblVoedingPoeder,11,FALSE)*tblOmrekenFe/100</f>
        <v>#REF!</v>
      </c>
      <c r="Z45" s="401"/>
      <c r="AA45" s="401"/>
    </row>
    <row r="46" spans="11:27" x14ac:dyDescent="0.2">
      <c r="L46" s="400" t="s">
        <v>935</v>
      </c>
      <c r="M46" s="400" t="s">
        <v>553</v>
      </c>
      <c r="N46" s="409" t="e">
        <f>VLOOKUP(M46,tblVoedingPoeder,6,FALSE)*tblOmrekenNA/100</f>
        <v>#REF!</v>
      </c>
      <c r="O46" s="409" t="e">
        <f>VLOOKUP(M46,tblVoedingPoeder,7,FALSE)*tblOmrekenK/100</f>
        <v>#REF!</v>
      </c>
      <c r="P46" s="409" t="e">
        <f>VLOOKUP(M46,tblVoedingPoeder,8,FALSE)*tblOmrekenCa/100</f>
        <v>#REF!</v>
      </c>
      <c r="Q46" s="409" t="e">
        <f>VLOOKUP(M46,tblVoedingPoeder,10,FALSE)*tblOmrekenMg/100</f>
        <v>#REF!</v>
      </c>
      <c r="R46" s="409" t="e">
        <f>VLOOKUP(M46,tblVoedingPoeder,9,FALSE)*tblOmrekenP/100</f>
        <v>#REF!</v>
      </c>
      <c r="S46" s="409">
        <f>VLOOKUP(M46,tblVoedingPoeder,3,FALSE)/100</f>
        <v>0</v>
      </c>
      <c r="T46" s="409">
        <f>VLOOKUP(M46,tblVoedingPoeder,4,FALSE)/100</f>
        <v>0.96</v>
      </c>
      <c r="U46" s="409">
        <f>VLOOKUP(M46,tblVoedingPoeder,5,FALSE)/100</f>
        <v>0</v>
      </c>
      <c r="V46" s="409">
        <f>VLOOKUP(M46,tblVoedingPoeder,2,FALSE)/100</f>
        <v>3.84</v>
      </c>
      <c r="W46" s="409" t="e">
        <f>VLOOKUP(M46,tblVoedingPoeder,13,FALSE)*tblOmrekenCl/100</f>
        <v>#REF!</v>
      </c>
      <c r="X46" s="409" t="e">
        <f>VLOOKUP(M46,tblVoedingPoeder,12,FALSE)*tblOmrekenVitD/100</f>
        <v>#REF!</v>
      </c>
      <c r="Y46" s="409" t="e">
        <f>VLOOKUP(M46,tblVoedingPoeder,11,FALSE)*tblOmrekenFe/100</f>
        <v>#REF!</v>
      </c>
      <c r="Z46" s="401"/>
      <c r="AA46" s="401"/>
    </row>
    <row r="47" spans="11:27" x14ac:dyDescent="0.2">
      <c r="L47" s="400" t="s">
        <v>936</v>
      </c>
      <c r="M47" s="400" t="s">
        <v>967</v>
      </c>
      <c r="N47" s="409" t="e">
        <f>VLOOKUP(M47,tblVoedingPoeder,6,FALSE)*tblOmrekenNA/100</f>
        <v>#REF!</v>
      </c>
      <c r="O47" s="409" t="e">
        <f>VLOOKUP(M47,tblVoedingPoeder,7,FALSE)*tblOmrekenK/100</f>
        <v>#REF!</v>
      </c>
      <c r="P47" s="409" t="e">
        <f>VLOOKUP(M47,tblVoedingPoeder,8,FALSE)*tblOmrekenCa/100</f>
        <v>#REF!</v>
      </c>
      <c r="Q47" s="409" t="e">
        <f>VLOOKUP(M47,tblVoedingPoeder,10,FALSE)*tblOmrekenMg/100</f>
        <v>#REF!</v>
      </c>
      <c r="R47" s="409" t="e">
        <f>VLOOKUP(M47,tblVoedingPoeder,9,FALSE)*tblOmrekenP/100</f>
        <v>#REF!</v>
      </c>
      <c r="S47" s="409">
        <f>VLOOKUP(M47,tblVoedingPoeder,3,FALSE)/100</f>
        <v>0.156</v>
      </c>
      <c r="T47" s="409">
        <f>VLOOKUP(M47,tblVoedingPoeder,4,FALSE)/100</f>
        <v>0.22899999999999998</v>
      </c>
      <c r="U47" s="409">
        <f>VLOOKUP(M47,tblVoedingPoeder,5,FALSE)/100</f>
        <v>0.498</v>
      </c>
      <c r="V47" s="409">
        <f>VLOOKUP(M47,tblVoedingPoeder,2,FALSE)/100</f>
        <v>4.74</v>
      </c>
      <c r="W47" s="409" t="e">
        <f>VLOOKUP(M47,tblVoedingPoeder,13,FALSE)*tblOmrekenCl/100</f>
        <v>#REF!</v>
      </c>
      <c r="X47" s="409" t="e">
        <f>VLOOKUP(M47,tblVoedingPoeder,12,FALSE)*tblOmrekenVitD/100</f>
        <v>#REF!</v>
      </c>
      <c r="Y47" s="409" t="e">
        <f>VLOOKUP(M47,tblVoedingPoeder,11,FALSE)*tblOmrekenFe/100</f>
        <v>#REF!</v>
      </c>
      <c r="Z47" s="401"/>
      <c r="AA47" s="401"/>
    </row>
    <row r="48" spans="11:27" x14ac:dyDescent="0.2">
      <c r="L48" s="400" t="s">
        <v>937</v>
      </c>
      <c r="M48" s="400" t="s">
        <v>1027</v>
      </c>
      <c r="N48" s="409" t="e">
        <f>VLOOKUP(M48,tblVoedingPoeder,6,FALSE)*tblOmrekenNA/100</f>
        <v>#REF!</v>
      </c>
      <c r="O48" s="409" t="e">
        <f>VLOOKUP(M48,tblVoedingPoeder,7,FALSE)*tblOmrekenK/100</f>
        <v>#REF!</v>
      </c>
      <c r="P48" s="409" t="e">
        <f>VLOOKUP(M48,tblVoedingPoeder,8,FALSE)*tblOmrekenCa/100</f>
        <v>#REF!</v>
      </c>
      <c r="Q48" s="409" t="e">
        <f>VLOOKUP(M48,tblVoedingPoeder,10,FALSE)*tblOmrekenMg/100</f>
        <v>#REF!</v>
      </c>
      <c r="R48" s="409" t="e">
        <f>VLOOKUP(M48,tblVoedingPoeder,9,FALSE)*tblOmrekenP/100</f>
        <v>#REF!</v>
      </c>
      <c r="S48" s="409">
        <f>VLOOKUP(M48,tblVoedingPoeder,3,FALSE)/100</f>
        <v>0</v>
      </c>
      <c r="T48" s="409">
        <f>VLOOKUP(M48,tblVoedingPoeder,4,FALSE)/100</f>
        <v>0.66200000000000003</v>
      </c>
      <c r="U48" s="409">
        <f>VLOOKUP(M48,tblVoedingPoeder,5,FALSE)/100</f>
        <v>3.0000000000000001E-3</v>
      </c>
      <c r="V48" s="409">
        <f>VLOOKUP(M48,tblVoedingPoeder,2,FALSE)/100</f>
        <v>3.18</v>
      </c>
      <c r="W48" s="409" t="e">
        <f>VLOOKUP(M48,tblVoedingPoeder,13,FALSE)*tblOmrekenCl/100</f>
        <v>#REF!</v>
      </c>
      <c r="X48" s="409" t="e">
        <f>VLOOKUP(M48,tblVoedingPoeder,12,FALSE)*tblOmrekenVitD/100</f>
        <v>#REF!</v>
      </c>
      <c r="Y48" s="409" t="e">
        <f>VLOOKUP(M48,tblVoedingPoeder,11,FALSE)*tblOmrekenFe/100</f>
        <v>#REF!</v>
      </c>
      <c r="Z48" s="401"/>
      <c r="AA48" s="401"/>
    </row>
    <row r="49" spans="1:27" x14ac:dyDescent="0.2">
      <c r="M49" s="411"/>
      <c r="P49" s="403"/>
      <c r="Q49" s="403"/>
      <c r="W49" s="403"/>
      <c r="Y49" s="401"/>
      <c r="Z49" s="401"/>
      <c r="AA49" s="401"/>
    </row>
    <row r="50" spans="1:27" x14ac:dyDescent="0.2">
      <c r="L50" s="950" t="s">
        <v>1082</v>
      </c>
      <c r="M50" s="950"/>
      <c r="N50" s="950"/>
      <c r="O50" s="950"/>
      <c r="P50" s="950"/>
      <c r="Q50" s="950"/>
      <c r="R50" s="950"/>
      <c r="S50" s="950"/>
      <c r="T50" s="950"/>
      <c r="U50" s="950"/>
      <c r="V50" s="950"/>
      <c r="W50" s="950"/>
      <c r="X50" s="950"/>
      <c r="Y50" s="950"/>
      <c r="Z50" s="950"/>
      <c r="AA50" s="401"/>
    </row>
    <row r="51" spans="1:27" x14ac:dyDescent="0.2">
      <c r="M51" s="406"/>
      <c r="N51" s="406" t="s">
        <v>229</v>
      </c>
      <c r="O51" s="406" t="s">
        <v>230</v>
      </c>
      <c r="P51" s="406" t="s">
        <v>231</v>
      </c>
      <c r="Q51" s="406" t="s">
        <v>232</v>
      </c>
      <c r="R51" s="406" t="s">
        <v>549</v>
      </c>
      <c r="S51" s="406" t="s">
        <v>228</v>
      </c>
      <c r="T51" s="406" t="s">
        <v>550</v>
      </c>
      <c r="U51" s="406" t="s">
        <v>551</v>
      </c>
      <c r="V51" s="406" t="s">
        <v>552</v>
      </c>
      <c r="W51" s="414" t="s">
        <v>603</v>
      </c>
      <c r="X51" s="414" t="s">
        <v>604</v>
      </c>
      <c r="Y51" s="406" t="s">
        <v>948</v>
      </c>
      <c r="Z51" s="401"/>
      <c r="AA51" s="401"/>
    </row>
    <row r="52" spans="1:27" x14ac:dyDescent="0.2">
      <c r="L52" s="400" t="s">
        <v>615</v>
      </c>
      <c r="M52" s="400" t="s">
        <v>615</v>
      </c>
      <c r="N52" s="409" t="e">
        <f>VLOOKUP(M52,tblVoedingPoeder,6,FALSE)*tblOmrekenNA/100</f>
        <v>#REF!</v>
      </c>
      <c r="O52" s="409" t="e">
        <f>VLOOKUP(M52,tblVoedingPoeder,7,FALSE)*tblOmrekenK/100</f>
        <v>#REF!</v>
      </c>
      <c r="P52" s="409" t="e">
        <f>VLOOKUP(M52,tblVoedingPoeder,8,FALSE)*tblOmrekenCa/100</f>
        <v>#REF!</v>
      </c>
      <c r="Q52" s="409" t="e">
        <f>VLOOKUP(M52,tblVoedingPoeder,10,FALSE)*tblOmrekenMg/100</f>
        <v>#REF!</v>
      </c>
      <c r="R52" s="409" t="e">
        <f>VLOOKUP(M52,tblVoedingPoeder,9,FALSE)*tblOmrekenP/100</f>
        <v>#REF!</v>
      </c>
      <c r="S52" s="409">
        <f>VLOOKUP(M52,tblVoedingPoeder,3,FALSE)/100</f>
        <v>0.252</v>
      </c>
      <c r="T52" s="409">
        <f>VLOOKUP(M52,tblVoedingPoeder,4,FALSE)/100</f>
        <v>0.622</v>
      </c>
      <c r="U52" s="409">
        <f>VLOOKUP(M52,tblVoedingPoeder,5,FALSE)/100</f>
        <v>0</v>
      </c>
      <c r="V52" s="409">
        <f>VLOOKUP(M52,tblVoedingPoeder,2,FALSE)/100</f>
        <v>3.47</v>
      </c>
      <c r="W52" s="409" t="e">
        <f>VLOOKUP(M52,tblVoedingPoeder,13,FALSE)*tblOmrekenCl/100</f>
        <v>#REF!</v>
      </c>
      <c r="X52" s="409" t="e">
        <f>VLOOKUP(M52,tblVoedingPoeder,12,FALSE)*tblOmrekenVitD/100</f>
        <v>#REF!</v>
      </c>
      <c r="Y52" s="409" t="e">
        <f>VLOOKUP(M52,tblVoedingPoeder,11,FALSE)*tblOmrekenFe/100</f>
        <v>#REF!</v>
      </c>
      <c r="Z52" s="401"/>
      <c r="AA52" s="401"/>
    </row>
    <row r="53" spans="1:27" x14ac:dyDescent="0.2">
      <c r="M53" s="401"/>
      <c r="N53" s="388"/>
      <c r="O53" s="388"/>
      <c r="P53" s="388"/>
      <c r="Q53" s="388"/>
      <c r="R53" s="388"/>
      <c r="S53" s="388"/>
      <c r="T53" s="388"/>
      <c r="U53" s="388"/>
      <c r="V53" s="388"/>
      <c r="W53" s="388"/>
      <c r="X53" s="388"/>
      <c r="Y53" s="388"/>
      <c r="Z53" s="388"/>
      <c r="AA53" s="388"/>
    </row>
    <row r="54" spans="1:27" x14ac:dyDescent="0.2">
      <c r="A54" s="401"/>
      <c r="B54" s="401"/>
      <c r="C54" s="401"/>
      <c r="D54" s="401"/>
      <c r="E54" s="401"/>
      <c r="F54" s="401"/>
      <c r="G54" s="401"/>
      <c r="H54" s="401"/>
      <c r="M54" s="401"/>
      <c r="N54" s="388"/>
      <c r="O54" s="388"/>
      <c r="P54" s="388"/>
      <c r="Q54" s="388"/>
      <c r="R54" s="388"/>
      <c r="S54" s="388"/>
      <c r="T54" s="388"/>
      <c r="U54" s="388"/>
      <c r="V54" s="388"/>
      <c r="W54" s="388"/>
      <c r="X54" s="388"/>
      <c r="Y54" s="388"/>
      <c r="Z54" s="388"/>
      <c r="AA54" s="388"/>
    </row>
    <row r="55" spans="1:27" x14ac:dyDescent="0.2">
      <c r="A55" s="401"/>
      <c r="B55" s="401"/>
      <c r="C55" s="401"/>
      <c r="D55" s="401"/>
      <c r="E55" s="401"/>
      <c r="F55" s="401"/>
      <c r="G55" s="401"/>
      <c r="H55" s="401"/>
      <c r="L55" s="401"/>
      <c r="M55" s="401"/>
      <c r="N55" s="388"/>
      <c r="O55" s="388"/>
      <c r="P55" s="388"/>
      <c r="Q55" s="388"/>
      <c r="R55" s="388"/>
      <c r="S55" s="388"/>
      <c r="T55" s="388"/>
      <c r="U55" s="388"/>
      <c r="V55" s="388"/>
      <c r="W55" s="388"/>
      <c r="X55" s="388"/>
      <c r="Y55" s="388"/>
      <c r="Z55" s="388"/>
      <c r="AA55" s="388"/>
    </row>
    <row r="56" spans="1:27" x14ac:dyDescent="0.2">
      <c r="A56" s="401"/>
      <c r="B56" s="401"/>
      <c r="C56" s="401"/>
      <c r="D56" s="401"/>
      <c r="E56" s="401"/>
      <c r="F56" s="401"/>
      <c r="G56" s="401"/>
      <c r="H56" s="401"/>
      <c r="I56" s="401"/>
      <c r="J56" s="401"/>
      <c r="K56" s="401"/>
      <c r="L56" s="401"/>
      <c r="M56" s="401"/>
      <c r="N56" s="388"/>
      <c r="O56" s="388"/>
      <c r="P56" s="388"/>
      <c r="Q56" s="388"/>
      <c r="R56" s="388"/>
      <c r="S56" s="388"/>
      <c r="T56" s="388"/>
      <c r="U56" s="388"/>
      <c r="V56" s="388"/>
      <c r="W56" s="388"/>
      <c r="X56" s="388"/>
      <c r="Y56" s="388"/>
      <c r="Z56" s="388"/>
      <c r="AA56" s="388"/>
    </row>
    <row r="57" spans="1:27" x14ac:dyDescent="0.2">
      <c r="A57" s="401"/>
      <c r="B57" s="401"/>
      <c r="C57" s="401"/>
      <c r="D57" s="401"/>
      <c r="E57" s="401"/>
      <c r="F57" s="401"/>
      <c r="G57" s="401"/>
      <c r="H57" s="401"/>
      <c r="I57" s="401"/>
      <c r="J57" s="401"/>
      <c r="K57" s="401"/>
      <c r="L57" s="401"/>
      <c r="M57" s="401"/>
      <c r="N57" s="388"/>
      <c r="O57" s="388"/>
      <c r="P57" s="388"/>
      <c r="Q57" s="388"/>
      <c r="R57" s="388"/>
      <c r="S57" s="388"/>
      <c r="T57" s="388"/>
      <c r="U57" s="388"/>
      <c r="V57" s="388"/>
      <c r="W57" s="388"/>
      <c r="X57" s="388"/>
      <c r="Y57" s="388"/>
      <c r="Z57" s="388"/>
      <c r="AA57" s="388"/>
    </row>
    <row r="58" spans="1:27" x14ac:dyDescent="0.2">
      <c r="A58" s="401"/>
      <c r="B58" s="401"/>
      <c r="C58" s="401"/>
      <c r="D58" s="401"/>
      <c r="E58" s="401"/>
      <c r="F58" s="401"/>
      <c r="G58" s="401"/>
      <c r="H58" s="401"/>
      <c r="I58" s="401"/>
      <c r="J58" s="401"/>
      <c r="K58" s="401"/>
      <c r="L58" s="401"/>
      <c r="P58" s="403"/>
      <c r="Q58" s="403"/>
      <c r="W58" s="389"/>
      <c r="X58" s="402"/>
      <c r="Y58" s="401"/>
      <c r="Z58" s="388"/>
      <c r="AA58" s="388"/>
    </row>
    <row r="59" spans="1:27" x14ac:dyDescent="0.2">
      <c r="A59" s="401"/>
      <c r="B59" s="401"/>
      <c r="C59" s="401"/>
      <c r="D59" s="401"/>
      <c r="E59" s="401"/>
      <c r="F59" s="401"/>
      <c r="G59" s="401"/>
      <c r="H59" s="401"/>
      <c r="I59" s="401"/>
      <c r="J59" s="401"/>
      <c r="K59" s="401"/>
      <c r="L59" s="401"/>
      <c r="P59" s="403"/>
      <c r="Q59" s="403"/>
      <c r="W59" s="399"/>
      <c r="Y59" s="401"/>
      <c r="Z59" s="401"/>
      <c r="AA59" s="401"/>
    </row>
    <row r="60" spans="1:27" x14ac:dyDescent="0.2">
      <c r="A60" s="401"/>
      <c r="B60" s="401"/>
      <c r="C60" s="401"/>
      <c r="D60" s="401"/>
      <c r="E60" s="401"/>
      <c r="F60" s="401"/>
      <c r="G60" s="401"/>
      <c r="H60" s="401"/>
      <c r="I60" s="401"/>
      <c r="J60" s="401"/>
      <c r="K60" s="401"/>
      <c r="L60" s="401"/>
      <c r="P60" s="403"/>
      <c r="Q60" s="403"/>
      <c r="W60" s="399"/>
      <c r="Y60" s="401"/>
      <c r="Z60" s="401"/>
      <c r="AA60" s="401"/>
    </row>
    <row r="61" spans="1:27" x14ac:dyDescent="0.2">
      <c r="A61" s="401"/>
      <c r="B61" s="401"/>
      <c r="C61" s="401"/>
      <c r="D61" s="401"/>
      <c r="E61" s="401"/>
      <c r="F61" s="401"/>
      <c r="G61" s="401"/>
      <c r="H61" s="401"/>
      <c r="I61" s="401"/>
      <c r="J61" s="401"/>
      <c r="K61" s="401"/>
      <c r="L61" s="401"/>
      <c r="P61" s="403"/>
      <c r="Q61" s="403"/>
      <c r="W61" s="399"/>
      <c r="Y61" s="401"/>
      <c r="Z61" s="401"/>
      <c r="AA61" s="401"/>
    </row>
    <row r="62" spans="1:27" x14ac:dyDescent="0.2">
      <c r="A62" s="401"/>
      <c r="B62" s="401"/>
      <c r="C62" s="401"/>
      <c r="D62" s="401"/>
      <c r="E62" s="401"/>
      <c r="F62" s="401"/>
      <c r="G62" s="401"/>
      <c r="H62" s="401"/>
      <c r="I62" s="401"/>
      <c r="J62" s="401"/>
      <c r="K62" s="401"/>
      <c r="L62" s="401"/>
      <c r="M62" s="410"/>
      <c r="N62" s="410"/>
      <c r="Z62" s="401"/>
      <c r="AA62" s="401"/>
    </row>
    <row r="63" spans="1:27" x14ac:dyDescent="0.2">
      <c r="A63" s="401"/>
      <c r="B63" s="401"/>
      <c r="C63" s="401"/>
      <c r="D63" s="401"/>
      <c r="E63" s="401"/>
      <c r="F63" s="401"/>
      <c r="G63" s="401"/>
      <c r="H63" s="401"/>
      <c r="I63" s="401"/>
      <c r="J63" s="401"/>
      <c r="K63" s="401"/>
      <c r="L63" s="401"/>
      <c r="M63" s="368"/>
    </row>
    <row r="64" spans="1:27" x14ac:dyDescent="0.2">
      <c r="A64" s="401"/>
      <c r="B64" s="401"/>
      <c r="C64" s="401"/>
      <c r="D64" s="401"/>
      <c r="E64" s="401"/>
      <c r="F64" s="401"/>
      <c r="G64" s="401"/>
      <c r="H64" s="401"/>
      <c r="I64" s="401"/>
      <c r="J64" s="401"/>
      <c r="K64" s="401"/>
      <c r="L64" s="401"/>
    </row>
    <row r="65" spans="1:27" x14ac:dyDescent="0.2">
      <c r="A65" s="401"/>
      <c r="B65" s="401"/>
      <c r="C65" s="401"/>
      <c r="D65" s="401"/>
      <c r="E65" s="401"/>
      <c r="F65" s="401"/>
      <c r="G65" s="401"/>
      <c r="H65" s="401"/>
      <c r="I65" s="401"/>
      <c r="J65" s="401"/>
      <c r="K65" s="401"/>
      <c r="L65" s="401"/>
      <c r="N65" s="411"/>
      <c r="O65" s="411"/>
      <c r="P65" s="411"/>
      <c r="Q65" s="411"/>
      <c r="R65" s="411"/>
      <c r="S65" s="411"/>
      <c r="T65" s="411"/>
      <c r="U65" s="411"/>
      <c r="V65" s="411"/>
      <c r="W65" s="411"/>
      <c r="X65" s="411"/>
      <c r="Y65" s="411"/>
    </row>
    <row r="66" spans="1:27" x14ac:dyDescent="0.2">
      <c r="A66" s="401"/>
      <c r="B66" s="401"/>
      <c r="C66" s="401"/>
      <c r="D66" s="401"/>
      <c r="E66" s="401"/>
      <c r="F66" s="401"/>
      <c r="G66" s="401"/>
      <c r="H66" s="401"/>
      <c r="I66" s="401"/>
      <c r="J66" s="401"/>
      <c r="K66" s="401"/>
      <c r="L66" s="401"/>
      <c r="P66" s="403"/>
      <c r="Q66" s="403"/>
      <c r="W66" s="404"/>
      <c r="X66" s="401"/>
      <c r="Y66" s="401"/>
      <c r="Z66" s="411"/>
      <c r="AA66" s="411"/>
    </row>
    <row r="67" spans="1:27" x14ac:dyDescent="0.2">
      <c r="A67" s="401"/>
      <c r="B67" s="401"/>
      <c r="C67" s="401"/>
      <c r="D67" s="401"/>
      <c r="E67" s="401"/>
      <c r="F67" s="401"/>
      <c r="G67" s="401"/>
      <c r="H67" s="401"/>
      <c r="I67" s="401"/>
      <c r="J67" s="401"/>
      <c r="K67" s="401"/>
      <c r="L67" s="401"/>
      <c r="M67" s="401"/>
      <c r="N67" s="401"/>
      <c r="O67" s="401"/>
      <c r="P67" s="404"/>
      <c r="Q67" s="404"/>
      <c r="R67" s="401"/>
      <c r="S67" s="401"/>
      <c r="T67" s="401"/>
      <c r="U67" s="401"/>
      <c r="V67" s="401"/>
      <c r="W67" s="392"/>
      <c r="X67" s="388"/>
      <c r="Y67" s="388"/>
      <c r="Z67" s="401"/>
      <c r="AA67" s="401"/>
    </row>
    <row r="68" spans="1:27" x14ac:dyDescent="0.2">
      <c r="A68" s="401"/>
      <c r="B68" s="401"/>
      <c r="C68" s="401"/>
      <c r="D68" s="401"/>
      <c r="E68" s="401"/>
      <c r="F68" s="401"/>
      <c r="G68" s="401"/>
      <c r="H68" s="401"/>
      <c r="I68" s="401"/>
      <c r="J68" s="401"/>
      <c r="K68" s="401"/>
      <c r="L68" s="401"/>
      <c r="M68" s="401"/>
      <c r="N68" s="401"/>
      <c r="O68" s="401"/>
      <c r="P68" s="404"/>
      <c r="Q68" s="404"/>
      <c r="R68" s="401"/>
      <c r="S68" s="401"/>
      <c r="T68" s="401"/>
      <c r="U68" s="401"/>
      <c r="V68" s="401"/>
      <c r="W68" s="392"/>
      <c r="X68" s="388"/>
      <c r="Y68" s="388"/>
      <c r="Z68" s="388"/>
      <c r="AA68" s="388"/>
    </row>
    <row r="69" spans="1:27" x14ac:dyDescent="0.2">
      <c r="A69" s="401"/>
      <c r="B69" s="401"/>
      <c r="C69" s="401"/>
      <c r="D69" s="401"/>
      <c r="E69" s="401"/>
      <c r="F69" s="401"/>
      <c r="G69" s="401"/>
      <c r="H69" s="401"/>
      <c r="I69" s="401"/>
      <c r="J69" s="401"/>
      <c r="K69" s="401"/>
      <c r="L69" s="401"/>
      <c r="M69" s="401"/>
      <c r="N69" s="401"/>
      <c r="O69" s="401"/>
      <c r="P69" s="404"/>
      <c r="Q69" s="404"/>
      <c r="R69" s="401"/>
      <c r="S69" s="401"/>
      <c r="T69" s="401"/>
      <c r="U69" s="401"/>
      <c r="V69" s="396"/>
      <c r="W69" s="394"/>
      <c r="X69" s="393"/>
      <c r="Y69" s="393"/>
      <c r="Z69" s="388"/>
      <c r="AA69" s="388"/>
    </row>
    <row r="70" spans="1:27" x14ac:dyDescent="0.2">
      <c r="A70" s="401"/>
      <c r="B70" s="401"/>
      <c r="C70" s="401"/>
      <c r="D70" s="401"/>
      <c r="E70" s="401"/>
      <c r="F70" s="401"/>
      <c r="G70" s="401"/>
      <c r="H70" s="401"/>
      <c r="I70" s="401"/>
      <c r="J70" s="401"/>
      <c r="K70" s="401"/>
      <c r="L70" s="401"/>
      <c r="M70" s="401"/>
      <c r="N70" s="401"/>
      <c r="O70" s="401"/>
      <c r="P70" s="404"/>
      <c r="Q70" s="404"/>
      <c r="R70" s="401"/>
      <c r="S70" s="401"/>
      <c r="T70" s="401"/>
      <c r="U70" s="401"/>
      <c r="V70" s="396"/>
      <c r="W70" s="394"/>
      <c r="X70" s="393"/>
      <c r="Y70" s="393"/>
      <c r="Z70" s="393"/>
      <c r="AA70" s="393"/>
    </row>
    <row r="71" spans="1:27" x14ac:dyDescent="0.2">
      <c r="A71" s="401"/>
      <c r="B71" s="401"/>
      <c r="C71" s="401"/>
      <c r="D71" s="401"/>
      <c r="E71" s="401"/>
      <c r="F71" s="401"/>
      <c r="G71" s="401"/>
      <c r="H71" s="401"/>
      <c r="I71" s="401"/>
      <c r="J71" s="401"/>
      <c r="K71" s="401"/>
      <c r="L71" s="401"/>
      <c r="M71" s="401"/>
      <c r="N71" s="401"/>
      <c r="O71" s="401"/>
      <c r="P71" s="404"/>
      <c r="Q71" s="404"/>
      <c r="R71" s="401"/>
      <c r="S71" s="401"/>
      <c r="T71" s="401"/>
      <c r="U71" s="401"/>
      <c r="V71" s="401"/>
      <c r="W71" s="394"/>
      <c r="X71" s="393"/>
      <c r="Y71" s="393"/>
      <c r="Z71" s="393"/>
      <c r="AA71" s="393"/>
    </row>
    <row r="72" spans="1:27" x14ac:dyDescent="0.2">
      <c r="A72" s="401"/>
      <c r="B72" s="401"/>
      <c r="C72" s="401"/>
      <c r="D72" s="401"/>
      <c r="E72" s="401"/>
      <c r="F72" s="401"/>
      <c r="G72" s="401"/>
      <c r="H72" s="401"/>
      <c r="I72" s="401"/>
      <c r="J72" s="401"/>
      <c r="K72" s="401"/>
      <c r="L72" s="401"/>
      <c r="M72" s="401"/>
      <c r="N72" s="401"/>
      <c r="O72" s="401"/>
      <c r="P72" s="404"/>
      <c r="Q72" s="404"/>
      <c r="R72" s="401"/>
      <c r="S72" s="401"/>
      <c r="T72" s="401"/>
      <c r="U72" s="401"/>
      <c r="V72" s="401"/>
      <c r="W72" s="394"/>
      <c r="X72" s="393"/>
      <c r="Y72" s="393"/>
      <c r="Z72" s="393"/>
      <c r="AA72" s="393"/>
    </row>
    <row r="73" spans="1:27" x14ac:dyDescent="0.2">
      <c r="A73" s="401"/>
      <c r="B73" s="401"/>
      <c r="C73" s="401"/>
      <c r="D73" s="401"/>
      <c r="E73" s="401"/>
      <c r="F73" s="401"/>
      <c r="G73" s="401"/>
      <c r="H73" s="401"/>
      <c r="I73" s="401"/>
      <c r="J73" s="401"/>
      <c r="K73" s="401"/>
      <c r="L73" s="401"/>
      <c r="M73" s="401"/>
      <c r="P73" s="403"/>
      <c r="Q73" s="403"/>
      <c r="W73" s="389"/>
      <c r="X73" s="402"/>
      <c r="Y73" s="388"/>
      <c r="Z73" s="393"/>
      <c r="AA73" s="393"/>
    </row>
    <row r="74" spans="1:27" x14ac:dyDescent="0.2">
      <c r="A74" s="401"/>
      <c r="B74" s="401"/>
      <c r="C74" s="401"/>
      <c r="D74" s="401"/>
      <c r="E74" s="401"/>
      <c r="F74" s="401"/>
      <c r="G74" s="401"/>
      <c r="H74" s="401"/>
      <c r="I74" s="401"/>
      <c r="J74" s="401"/>
      <c r="K74" s="401"/>
      <c r="L74" s="401"/>
      <c r="M74" s="401"/>
      <c r="P74" s="403"/>
      <c r="Q74" s="403"/>
      <c r="W74" s="389"/>
      <c r="X74" s="402"/>
      <c r="Y74" s="388"/>
      <c r="Z74" s="388"/>
      <c r="AA74" s="388"/>
    </row>
    <row r="75" spans="1:27" x14ac:dyDescent="0.2">
      <c r="A75" s="412"/>
      <c r="B75" s="412"/>
      <c r="C75" s="339"/>
      <c r="D75" s="339"/>
      <c r="E75" s="339"/>
      <c r="F75" s="339"/>
      <c r="G75" s="339"/>
      <c r="H75" s="339"/>
      <c r="I75" s="401"/>
      <c r="J75" s="401"/>
      <c r="K75" s="401"/>
      <c r="L75" s="401"/>
      <c r="M75" s="401"/>
      <c r="P75" s="403"/>
      <c r="Q75" s="403"/>
      <c r="W75" s="389"/>
      <c r="X75" s="402"/>
      <c r="Y75" s="388"/>
      <c r="Z75" s="388"/>
      <c r="AA75" s="388"/>
    </row>
    <row r="76" spans="1:27" x14ac:dyDescent="0.2">
      <c r="A76" s="412"/>
      <c r="B76" s="412"/>
      <c r="C76" s="339"/>
      <c r="D76" s="339"/>
      <c r="E76" s="339"/>
      <c r="F76" s="339"/>
      <c r="G76" s="339"/>
      <c r="H76" s="339"/>
      <c r="I76" s="401"/>
      <c r="J76" s="401"/>
      <c r="K76" s="401"/>
      <c r="L76" s="148"/>
      <c r="M76" s="401"/>
      <c r="P76" s="403"/>
      <c r="Q76" s="403"/>
      <c r="W76" s="389"/>
      <c r="X76" s="402"/>
      <c r="Y76" s="388"/>
      <c r="Z76" s="388"/>
      <c r="AA76" s="388"/>
    </row>
    <row r="77" spans="1:27" x14ac:dyDescent="0.2">
      <c r="A77" s="339"/>
      <c r="B77" s="339"/>
      <c r="C77" s="339"/>
      <c r="D77" s="339"/>
      <c r="E77" s="339"/>
      <c r="F77" s="339"/>
      <c r="G77" s="339"/>
      <c r="H77" s="339"/>
      <c r="I77" s="339"/>
      <c r="J77" s="339"/>
      <c r="K77" s="148"/>
      <c r="L77" s="339"/>
      <c r="M77" s="401"/>
      <c r="N77" s="401"/>
      <c r="O77" s="401"/>
      <c r="P77" s="404"/>
      <c r="Q77" s="404"/>
      <c r="R77" s="401"/>
      <c r="S77" s="401"/>
      <c r="T77" s="401"/>
      <c r="U77" s="401"/>
      <c r="V77" s="402"/>
      <c r="W77" s="404"/>
      <c r="X77" s="401"/>
      <c r="Y77" s="401"/>
      <c r="Z77" s="388"/>
      <c r="AA77" s="388"/>
    </row>
    <row r="78" spans="1:27" x14ac:dyDescent="0.2">
      <c r="A78" s="412"/>
      <c r="B78" s="412"/>
      <c r="C78" s="339"/>
      <c r="D78" s="339"/>
      <c r="E78" s="339"/>
      <c r="F78" s="339"/>
      <c r="G78" s="339"/>
      <c r="H78" s="339"/>
      <c r="I78" s="339"/>
      <c r="J78" s="339"/>
      <c r="K78" s="339"/>
      <c r="L78" s="339"/>
      <c r="M78" s="401"/>
      <c r="N78" s="401"/>
      <c r="O78" s="401"/>
      <c r="P78" s="404"/>
      <c r="Q78" s="404"/>
      <c r="R78" s="401"/>
      <c r="S78" s="401"/>
      <c r="T78" s="401"/>
      <c r="U78" s="401"/>
      <c r="V78" s="402"/>
      <c r="W78" s="404"/>
      <c r="X78" s="401"/>
      <c r="Y78" s="401"/>
      <c r="Z78" s="401"/>
      <c r="AA78" s="401"/>
    </row>
    <row r="79" spans="1:27" x14ac:dyDescent="0.2">
      <c r="A79" s="412"/>
      <c r="B79" s="412"/>
      <c r="C79" s="339"/>
      <c r="D79" s="339"/>
      <c r="E79" s="339"/>
      <c r="F79" s="339"/>
      <c r="G79" s="339"/>
      <c r="H79" s="339"/>
      <c r="I79" s="339"/>
      <c r="J79" s="339"/>
      <c r="K79" s="339"/>
      <c r="L79" s="339"/>
      <c r="M79" s="402"/>
      <c r="P79" s="403"/>
      <c r="Q79" s="403"/>
      <c r="W79" s="404"/>
      <c r="X79" s="401"/>
      <c r="Y79" s="401"/>
      <c r="Z79" s="401"/>
      <c r="AA79" s="401"/>
    </row>
    <row r="80" spans="1:27" x14ac:dyDescent="0.2">
      <c r="A80" s="412"/>
      <c r="B80" s="412"/>
      <c r="C80" s="339"/>
      <c r="D80" s="339"/>
      <c r="E80" s="339"/>
      <c r="F80" s="339"/>
      <c r="G80" s="339"/>
      <c r="H80" s="339"/>
      <c r="I80" s="339"/>
      <c r="J80" s="339"/>
      <c r="K80" s="339"/>
      <c r="L80" s="339"/>
      <c r="M80" s="402"/>
      <c r="N80" s="402"/>
      <c r="O80" s="402"/>
      <c r="P80" s="389"/>
      <c r="Q80" s="389"/>
      <c r="R80" s="402"/>
      <c r="S80" s="402"/>
      <c r="T80" s="402"/>
      <c r="U80" s="402"/>
      <c r="V80" s="402"/>
      <c r="W80" s="389"/>
      <c r="X80" s="402"/>
      <c r="Y80" s="388"/>
      <c r="Z80" s="401"/>
      <c r="AA80" s="401"/>
    </row>
    <row r="81" spans="1:27" x14ac:dyDescent="0.2">
      <c r="A81" s="412"/>
      <c r="B81" s="412"/>
      <c r="C81" s="339"/>
      <c r="D81" s="339"/>
      <c r="E81" s="339"/>
      <c r="F81" s="339"/>
      <c r="G81" s="339"/>
      <c r="H81" s="339"/>
      <c r="I81" s="339"/>
      <c r="J81" s="339"/>
      <c r="K81" s="339"/>
      <c r="L81" s="339"/>
      <c r="M81" s="402"/>
      <c r="N81" s="402"/>
      <c r="O81" s="402"/>
      <c r="P81" s="389"/>
      <c r="Q81" s="389"/>
      <c r="R81" s="402"/>
      <c r="S81" s="402"/>
      <c r="T81" s="402"/>
      <c r="U81" s="402"/>
      <c r="V81" s="402"/>
      <c r="W81" s="389"/>
      <c r="X81" s="402"/>
      <c r="Y81" s="388"/>
      <c r="Z81" s="388"/>
      <c r="AA81" s="388"/>
    </row>
    <row r="82" spans="1:27" x14ac:dyDescent="0.2">
      <c r="A82" s="339"/>
      <c r="B82" s="412"/>
      <c r="C82" s="339"/>
      <c r="D82" s="339"/>
      <c r="E82" s="339"/>
      <c r="F82" s="339"/>
      <c r="G82" s="339"/>
      <c r="H82" s="339"/>
      <c r="I82" s="339"/>
      <c r="J82" s="339"/>
      <c r="K82" s="339"/>
      <c r="L82" s="339"/>
      <c r="M82" s="402"/>
      <c r="N82" s="402"/>
      <c r="O82" s="402"/>
      <c r="P82" s="389"/>
      <c r="Q82" s="389"/>
      <c r="R82" s="402"/>
      <c r="S82" s="402"/>
      <c r="T82" s="402"/>
      <c r="U82" s="402"/>
      <c r="V82" s="402"/>
      <c r="W82" s="389"/>
      <c r="X82" s="402"/>
      <c r="Y82" s="388"/>
      <c r="Z82" s="388"/>
      <c r="AA82" s="388"/>
    </row>
    <row r="83" spans="1:27" x14ac:dyDescent="0.2">
      <c r="A83" s="339"/>
      <c r="B83" s="412"/>
      <c r="C83" s="339"/>
      <c r="D83" s="339"/>
      <c r="E83" s="339"/>
      <c r="F83" s="339"/>
      <c r="G83" s="339"/>
      <c r="H83" s="339"/>
      <c r="I83" s="339"/>
      <c r="J83" s="339"/>
      <c r="K83" s="339"/>
      <c r="L83" s="339"/>
      <c r="M83" s="402"/>
      <c r="N83" s="402"/>
      <c r="O83" s="402"/>
      <c r="P83" s="389"/>
      <c r="Q83" s="395"/>
      <c r="R83" s="402"/>
      <c r="S83" s="402"/>
      <c r="T83" s="402"/>
      <c r="U83" s="402"/>
      <c r="V83" s="402"/>
      <c r="W83" s="389"/>
      <c r="X83" s="390"/>
      <c r="Y83" s="393"/>
      <c r="Z83" s="388"/>
      <c r="AA83" s="388"/>
    </row>
    <row r="84" spans="1:27" x14ac:dyDescent="0.2">
      <c r="A84" s="412"/>
      <c r="B84" s="412"/>
      <c r="C84" s="339"/>
      <c r="D84" s="339"/>
      <c r="E84" s="339"/>
      <c r="F84" s="339"/>
      <c r="G84" s="339"/>
      <c r="H84" s="339"/>
      <c r="I84" s="339"/>
      <c r="J84" s="339"/>
      <c r="K84" s="339"/>
      <c r="L84" s="339"/>
      <c r="M84" s="402"/>
      <c r="N84" s="402"/>
      <c r="O84" s="402"/>
      <c r="P84" s="389"/>
      <c r="Q84" s="389"/>
      <c r="R84" s="402"/>
      <c r="S84" s="402"/>
      <c r="T84" s="402"/>
      <c r="U84" s="402"/>
      <c r="V84" s="402"/>
      <c r="W84" s="389"/>
      <c r="X84" s="390"/>
      <c r="Y84" s="393"/>
      <c r="Z84" s="393"/>
      <c r="AA84" s="393"/>
    </row>
    <row r="85" spans="1:27" x14ac:dyDescent="0.2">
      <c r="A85" s="412"/>
      <c r="B85" s="412"/>
      <c r="C85" s="339"/>
      <c r="D85" s="339"/>
      <c r="E85" s="339"/>
      <c r="F85" s="339"/>
      <c r="G85" s="339"/>
      <c r="H85" s="339"/>
      <c r="I85" s="339"/>
      <c r="J85" s="339"/>
      <c r="K85" s="339"/>
      <c r="L85" s="339"/>
      <c r="M85" s="402"/>
      <c r="N85" s="402"/>
      <c r="O85" s="402"/>
      <c r="P85" s="389"/>
      <c r="Q85" s="389"/>
      <c r="R85" s="402"/>
      <c r="S85" s="402"/>
      <c r="T85" s="402"/>
      <c r="U85" s="402"/>
      <c r="V85" s="402"/>
      <c r="W85" s="389"/>
      <c r="X85" s="390"/>
      <c r="Y85" s="393"/>
      <c r="Z85" s="393"/>
      <c r="AA85" s="393"/>
    </row>
    <row r="86" spans="1:27" x14ac:dyDescent="0.2">
      <c r="A86" s="412"/>
      <c r="B86" s="412"/>
      <c r="C86" s="339"/>
      <c r="D86" s="339"/>
      <c r="E86" s="339"/>
      <c r="F86" s="339"/>
      <c r="G86" s="339"/>
      <c r="H86" s="339"/>
      <c r="I86" s="339"/>
      <c r="J86" s="339"/>
      <c r="K86" s="339"/>
      <c r="L86" s="339"/>
      <c r="M86" s="402"/>
      <c r="N86" s="402"/>
      <c r="O86" s="402"/>
      <c r="P86" s="389"/>
      <c r="Q86" s="389"/>
      <c r="R86" s="402"/>
      <c r="S86" s="402"/>
      <c r="T86" s="402"/>
      <c r="U86" s="402"/>
      <c r="V86" s="402"/>
      <c r="W86" s="389"/>
      <c r="X86" s="402"/>
      <c r="Y86" s="388"/>
      <c r="Z86" s="393"/>
      <c r="AA86" s="393"/>
    </row>
    <row r="87" spans="1:27" x14ac:dyDescent="0.2">
      <c r="A87" s="412"/>
      <c r="B87" s="412"/>
      <c r="C87" s="339"/>
      <c r="D87" s="339"/>
      <c r="E87" s="339"/>
      <c r="F87" s="339"/>
      <c r="G87" s="339"/>
      <c r="H87" s="339"/>
      <c r="I87" s="339"/>
      <c r="J87" s="339"/>
      <c r="K87" s="339"/>
      <c r="L87" s="339"/>
      <c r="M87" s="388"/>
      <c r="N87" s="391"/>
      <c r="O87" s="391"/>
      <c r="P87" s="391"/>
      <c r="Q87" s="391"/>
      <c r="R87" s="391"/>
      <c r="S87" s="391"/>
      <c r="T87" s="391"/>
      <c r="U87" s="391"/>
      <c r="V87" s="391"/>
      <c r="W87" s="391"/>
      <c r="X87" s="391"/>
      <c r="Y87" s="388"/>
      <c r="Z87" s="388"/>
      <c r="AA87" s="388"/>
    </row>
    <row r="88" spans="1:27" x14ac:dyDescent="0.2">
      <c r="A88" s="412"/>
      <c r="B88" s="412"/>
      <c r="C88" s="339"/>
      <c r="D88" s="339"/>
      <c r="E88" s="339"/>
      <c r="F88" s="339"/>
      <c r="G88" s="339"/>
      <c r="H88" s="339"/>
      <c r="I88" s="339"/>
      <c r="J88" s="339"/>
      <c r="K88" s="339"/>
      <c r="L88" s="339"/>
      <c r="M88" s="388"/>
      <c r="N88" s="391"/>
      <c r="O88" s="391"/>
      <c r="P88" s="391"/>
      <c r="Q88" s="391"/>
      <c r="R88" s="391"/>
      <c r="S88" s="391"/>
      <c r="T88" s="391"/>
      <c r="U88" s="391"/>
      <c r="V88" s="391"/>
      <c r="W88" s="391"/>
      <c r="X88" s="391"/>
      <c r="Y88" s="388"/>
      <c r="Z88" s="388"/>
      <c r="AA88" s="388"/>
    </row>
    <row r="89" spans="1:27" x14ac:dyDescent="0.2">
      <c r="A89" s="412"/>
      <c r="B89" s="412"/>
      <c r="C89" s="339"/>
      <c r="D89" s="339"/>
      <c r="E89" s="339"/>
      <c r="F89" s="339"/>
      <c r="G89" s="339"/>
      <c r="H89" s="339"/>
      <c r="I89" s="339"/>
      <c r="J89" s="339"/>
      <c r="K89" s="339"/>
      <c r="L89" s="339"/>
      <c r="M89" s="339"/>
      <c r="N89" s="401"/>
      <c r="O89" s="401"/>
      <c r="P89" s="401"/>
      <c r="Q89" s="401"/>
      <c r="R89" s="401"/>
      <c r="S89" s="401"/>
      <c r="Z89" s="388"/>
      <c r="AA89" s="388"/>
    </row>
    <row r="90" spans="1:27" x14ac:dyDescent="0.2">
      <c r="A90" s="412"/>
      <c r="B90" s="412"/>
      <c r="C90" s="339"/>
      <c r="D90" s="339"/>
      <c r="E90" s="339"/>
      <c r="F90" s="339"/>
      <c r="G90" s="339"/>
      <c r="H90" s="339"/>
      <c r="I90" s="339"/>
      <c r="J90" s="339"/>
      <c r="K90" s="339"/>
      <c r="L90" s="339"/>
      <c r="M90" s="339"/>
      <c r="N90" s="401"/>
      <c r="O90" s="401"/>
      <c r="P90" s="401"/>
      <c r="Q90" s="401"/>
      <c r="R90" s="401"/>
      <c r="S90" s="401"/>
    </row>
    <row r="91" spans="1:27" x14ac:dyDescent="0.2">
      <c r="A91" s="412"/>
      <c r="B91" s="412"/>
      <c r="C91" s="339"/>
      <c r="D91" s="339"/>
      <c r="E91" s="339"/>
      <c r="F91" s="339"/>
      <c r="G91" s="339"/>
      <c r="H91" s="339"/>
      <c r="I91" s="339"/>
      <c r="J91" s="339"/>
      <c r="K91" s="339"/>
      <c r="L91" s="339"/>
      <c r="M91" s="339"/>
      <c r="N91" s="401"/>
      <c r="O91" s="401"/>
      <c r="P91" s="401"/>
      <c r="Q91" s="401"/>
      <c r="R91" s="401"/>
      <c r="S91" s="401"/>
    </row>
    <row r="92" spans="1:27" x14ac:dyDescent="0.2">
      <c r="A92" s="412"/>
      <c r="B92" s="412"/>
      <c r="C92" s="339"/>
      <c r="D92" s="339"/>
      <c r="E92" s="339"/>
      <c r="F92" s="339"/>
      <c r="G92" s="339"/>
      <c r="H92" s="339"/>
      <c r="I92" s="339"/>
      <c r="J92" s="339"/>
      <c r="K92" s="339"/>
      <c r="L92" s="339"/>
      <c r="M92" s="339"/>
      <c r="N92" s="401"/>
      <c r="O92" s="401"/>
      <c r="P92" s="401"/>
      <c r="Q92" s="401"/>
      <c r="R92" s="401"/>
      <c r="S92" s="401"/>
    </row>
    <row r="93" spans="1:27" x14ac:dyDescent="0.2">
      <c r="A93" s="412"/>
      <c r="B93" s="412"/>
      <c r="C93" s="339"/>
      <c r="D93" s="339"/>
      <c r="E93" s="339"/>
      <c r="F93" s="339"/>
      <c r="G93" s="339"/>
      <c r="H93" s="339"/>
      <c r="I93" s="339"/>
      <c r="J93" s="339"/>
      <c r="K93" s="339"/>
      <c r="L93" s="339"/>
      <c r="M93" s="339"/>
      <c r="N93" s="401"/>
      <c r="O93" s="401"/>
      <c r="P93" s="401"/>
      <c r="Q93" s="401"/>
      <c r="R93" s="401"/>
      <c r="S93" s="401"/>
    </row>
    <row r="94" spans="1:27" x14ac:dyDescent="0.2">
      <c r="A94" s="412"/>
      <c r="B94" s="412"/>
      <c r="C94" s="339"/>
      <c r="D94" s="339"/>
      <c r="E94" s="339"/>
      <c r="F94" s="339"/>
      <c r="G94" s="339"/>
      <c r="H94" s="339"/>
      <c r="I94" s="339"/>
      <c r="J94" s="339"/>
      <c r="K94" s="339"/>
      <c r="L94" s="339"/>
      <c r="M94" s="339"/>
      <c r="N94" s="401"/>
      <c r="O94" s="401"/>
      <c r="P94" s="401"/>
      <c r="Q94" s="401"/>
      <c r="R94" s="401"/>
      <c r="S94" s="401"/>
    </row>
    <row r="95" spans="1:27" x14ac:dyDescent="0.2">
      <c r="A95" s="412"/>
      <c r="B95" s="412"/>
      <c r="C95" s="339"/>
      <c r="D95" s="339"/>
      <c r="E95" s="339"/>
      <c r="F95" s="339"/>
      <c r="G95" s="339"/>
      <c r="H95" s="339"/>
      <c r="I95" s="339"/>
      <c r="J95" s="339"/>
      <c r="K95" s="339"/>
      <c r="L95" s="339"/>
      <c r="M95" s="339"/>
      <c r="N95" s="401"/>
      <c r="O95" s="401"/>
      <c r="P95" s="401"/>
      <c r="Q95" s="401"/>
      <c r="R95" s="401"/>
      <c r="S95" s="401"/>
    </row>
    <row r="96" spans="1:27" x14ac:dyDescent="0.2">
      <c r="A96" s="412"/>
      <c r="B96" s="412"/>
      <c r="C96" s="339"/>
      <c r="D96" s="339"/>
      <c r="E96" s="339"/>
      <c r="F96" s="339"/>
      <c r="G96" s="339"/>
      <c r="H96" s="339"/>
      <c r="I96" s="339"/>
      <c r="J96" s="339"/>
      <c r="K96" s="339"/>
      <c r="L96" s="339"/>
      <c r="M96" s="339"/>
      <c r="N96" s="401"/>
      <c r="O96" s="401"/>
      <c r="P96" s="401"/>
      <c r="Q96" s="401"/>
      <c r="R96" s="401"/>
      <c r="S96" s="401"/>
    </row>
    <row r="97" spans="1:19" x14ac:dyDescent="0.2">
      <c r="A97" s="412"/>
      <c r="B97" s="412"/>
      <c r="C97" s="339"/>
      <c r="D97" s="339"/>
      <c r="E97" s="339"/>
      <c r="F97" s="339"/>
      <c r="G97" s="339"/>
      <c r="H97" s="339"/>
      <c r="I97" s="339"/>
      <c r="J97" s="339"/>
      <c r="K97" s="339"/>
      <c r="L97" s="339"/>
      <c r="M97" s="339"/>
      <c r="N97" s="401"/>
      <c r="O97" s="401"/>
      <c r="P97" s="401"/>
      <c r="Q97" s="401"/>
      <c r="R97" s="401"/>
      <c r="S97" s="401"/>
    </row>
    <row r="98" spans="1:19" x14ac:dyDescent="0.2">
      <c r="A98" s="412"/>
      <c r="B98" s="412"/>
      <c r="C98" s="339"/>
      <c r="D98" s="339"/>
      <c r="E98" s="339"/>
      <c r="F98" s="339"/>
      <c r="G98" s="339"/>
      <c r="H98" s="339"/>
      <c r="I98" s="339"/>
      <c r="J98" s="339"/>
      <c r="K98" s="339"/>
      <c r="L98" s="339"/>
      <c r="M98" s="339"/>
      <c r="N98" s="401"/>
      <c r="O98" s="401"/>
      <c r="P98" s="401"/>
      <c r="Q98" s="401"/>
      <c r="R98" s="401"/>
      <c r="S98" s="401"/>
    </row>
    <row r="99" spans="1:19" x14ac:dyDescent="0.2">
      <c r="A99" s="412"/>
      <c r="B99" s="412"/>
      <c r="C99" s="339"/>
      <c r="D99" s="339"/>
      <c r="E99" s="339"/>
      <c r="F99" s="339"/>
      <c r="G99" s="339"/>
      <c r="H99" s="339"/>
      <c r="I99" s="339"/>
      <c r="J99" s="339"/>
      <c r="K99" s="339"/>
      <c r="L99" s="339"/>
      <c r="M99" s="339"/>
      <c r="N99" s="401"/>
      <c r="O99" s="401"/>
      <c r="P99" s="401"/>
      <c r="Q99" s="401"/>
      <c r="R99" s="401"/>
      <c r="S99" s="401"/>
    </row>
    <row r="100" spans="1:19" x14ac:dyDescent="0.2">
      <c r="A100" s="412"/>
      <c r="B100" s="412"/>
      <c r="C100" s="339"/>
      <c r="D100" s="339"/>
      <c r="E100" s="339"/>
      <c r="F100" s="339"/>
      <c r="G100" s="339"/>
      <c r="H100" s="339"/>
      <c r="I100" s="339"/>
      <c r="J100" s="339"/>
      <c r="K100" s="339"/>
      <c r="L100" s="339"/>
      <c r="M100" s="339"/>
      <c r="N100" s="401"/>
      <c r="O100" s="401"/>
      <c r="P100" s="401"/>
      <c r="Q100" s="401"/>
      <c r="R100" s="401"/>
      <c r="S100" s="401"/>
    </row>
    <row r="101" spans="1:19" x14ac:dyDescent="0.2">
      <c r="A101" s="412"/>
      <c r="B101" s="412"/>
      <c r="C101" s="339"/>
      <c r="D101" s="339"/>
      <c r="E101" s="339"/>
      <c r="F101" s="339"/>
      <c r="G101" s="339"/>
      <c r="H101" s="339"/>
      <c r="I101" s="339"/>
      <c r="J101" s="339"/>
      <c r="K101" s="339"/>
      <c r="L101" s="339"/>
      <c r="M101" s="339"/>
      <c r="N101" s="401"/>
      <c r="O101" s="401"/>
      <c r="P101" s="401"/>
      <c r="Q101" s="401"/>
      <c r="R101" s="401"/>
      <c r="S101" s="401"/>
    </row>
    <row r="102" spans="1:19" x14ac:dyDescent="0.2">
      <c r="A102" s="412"/>
      <c r="B102" s="412"/>
      <c r="C102" s="339"/>
      <c r="D102" s="339"/>
      <c r="E102" s="339"/>
      <c r="F102" s="339"/>
      <c r="G102" s="339"/>
      <c r="H102" s="339"/>
      <c r="I102" s="339"/>
      <c r="J102" s="339"/>
      <c r="K102" s="339"/>
      <c r="L102" s="339"/>
      <c r="M102" s="339"/>
      <c r="N102" s="401"/>
      <c r="O102" s="401"/>
      <c r="P102" s="401"/>
      <c r="Q102" s="401"/>
      <c r="R102" s="401"/>
      <c r="S102" s="401"/>
    </row>
    <row r="103" spans="1:19" x14ac:dyDescent="0.2">
      <c r="A103" s="412"/>
      <c r="B103" s="412"/>
      <c r="C103" s="339"/>
      <c r="D103" s="339"/>
      <c r="E103" s="339"/>
      <c r="F103" s="339"/>
      <c r="G103" s="339"/>
      <c r="H103" s="339"/>
      <c r="I103" s="339"/>
      <c r="J103" s="339"/>
      <c r="K103" s="339"/>
      <c r="L103" s="339"/>
      <c r="M103" s="339"/>
      <c r="N103" s="401"/>
      <c r="O103" s="401"/>
      <c r="P103" s="401"/>
      <c r="Q103" s="401"/>
      <c r="R103" s="401"/>
      <c r="S103" s="401"/>
    </row>
    <row r="104" spans="1:19" x14ac:dyDescent="0.2">
      <c r="A104" s="412"/>
      <c r="B104" s="412"/>
      <c r="C104" s="339"/>
      <c r="D104" s="339"/>
      <c r="E104" s="339"/>
      <c r="F104" s="339"/>
      <c r="G104" s="339"/>
      <c r="H104" s="339"/>
      <c r="I104" s="339"/>
      <c r="J104" s="339"/>
      <c r="K104" s="339"/>
      <c r="L104" s="339"/>
      <c r="M104" s="339"/>
      <c r="N104" s="401"/>
      <c r="O104" s="401"/>
      <c r="P104" s="401"/>
      <c r="Q104" s="401"/>
      <c r="R104" s="401"/>
      <c r="S104" s="401"/>
    </row>
    <row r="105" spans="1:19" x14ac:dyDescent="0.2">
      <c r="A105" s="412"/>
      <c r="B105" s="412"/>
      <c r="C105" s="339"/>
      <c r="D105" s="339"/>
      <c r="E105" s="339"/>
      <c r="F105" s="339"/>
      <c r="G105" s="339"/>
      <c r="H105" s="339"/>
      <c r="I105" s="339"/>
      <c r="J105" s="339"/>
      <c r="K105" s="339"/>
      <c r="L105" s="339"/>
      <c r="M105" s="339"/>
      <c r="N105" s="401"/>
      <c r="O105" s="401"/>
      <c r="P105" s="401"/>
      <c r="Q105" s="401"/>
      <c r="R105" s="401"/>
      <c r="S105" s="401"/>
    </row>
    <row r="106" spans="1:19" x14ac:dyDescent="0.2">
      <c r="A106" s="401"/>
      <c r="B106" s="401"/>
      <c r="C106" s="401"/>
      <c r="D106" s="401"/>
      <c r="E106" s="401"/>
      <c r="F106" s="401"/>
      <c r="G106" s="401"/>
      <c r="H106" s="401"/>
      <c r="I106" s="339"/>
      <c r="J106" s="339"/>
      <c r="K106" s="339"/>
      <c r="L106" s="339"/>
      <c r="M106" s="339"/>
      <c r="N106" s="401"/>
      <c r="O106" s="401"/>
      <c r="P106" s="401"/>
      <c r="Q106" s="401"/>
      <c r="R106" s="401"/>
      <c r="S106" s="401"/>
    </row>
    <row r="107" spans="1:19" x14ac:dyDescent="0.2">
      <c r="A107" s="401"/>
      <c r="B107" s="401"/>
      <c r="C107" s="401"/>
      <c r="D107" s="401"/>
      <c r="E107" s="401"/>
      <c r="F107" s="401"/>
      <c r="G107" s="401"/>
      <c r="H107" s="401"/>
      <c r="I107" s="339"/>
      <c r="J107" s="339"/>
      <c r="K107" s="339"/>
      <c r="L107" s="401"/>
      <c r="M107" s="401"/>
      <c r="N107" s="401"/>
      <c r="O107" s="401"/>
      <c r="P107" s="401"/>
      <c r="Q107" s="401"/>
      <c r="R107" s="401"/>
      <c r="S107" s="401"/>
    </row>
    <row r="108" spans="1:19" x14ac:dyDescent="0.2">
      <c r="A108" s="401"/>
      <c r="B108" s="401"/>
      <c r="C108" s="401"/>
      <c r="D108" s="401"/>
      <c r="E108" s="401"/>
      <c r="F108" s="401"/>
      <c r="G108" s="401"/>
      <c r="H108" s="401"/>
      <c r="I108" s="401"/>
      <c r="J108" s="401"/>
      <c r="K108" s="401"/>
      <c r="L108" s="401"/>
      <c r="M108" s="401"/>
      <c r="N108" s="401"/>
      <c r="O108" s="401"/>
      <c r="P108" s="401"/>
      <c r="Q108" s="401"/>
      <c r="R108" s="401"/>
      <c r="S108" s="401"/>
    </row>
    <row r="109" spans="1:19" x14ac:dyDescent="0.2">
      <c r="A109" s="401"/>
      <c r="B109" s="401"/>
      <c r="C109" s="401"/>
      <c r="D109" s="401"/>
      <c r="E109" s="401"/>
      <c r="F109" s="401"/>
      <c r="G109" s="401"/>
      <c r="H109" s="401"/>
      <c r="I109" s="401"/>
      <c r="J109" s="401"/>
      <c r="K109" s="401"/>
      <c r="L109" s="401"/>
      <c r="M109" s="401"/>
      <c r="N109" s="401"/>
      <c r="O109" s="401"/>
      <c r="P109" s="401"/>
      <c r="Q109" s="401"/>
      <c r="R109" s="401"/>
      <c r="S109" s="401"/>
    </row>
    <row r="110" spans="1:19" x14ac:dyDescent="0.2">
      <c r="A110" s="401"/>
      <c r="B110" s="401"/>
      <c r="C110" s="401"/>
      <c r="D110" s="401"/>
      <c r="E110" s="401"/>
      <c r="F110" s="401"/>
      <c r="G110" s="401"/>
      <c r="H110" s="401"/>
      <c r="I110" s="401"/>
      <c r="J110" s="401"/>
      <c r="K110" s="401"/>
      <c r="L110" s="401"/>
      <c r="M110" s="401"/>
      <c r="N110" s="401"/>
      <c r="O110" s="401"/>
      <c r="P110" s="401"/>
      <c r="Q110" s="401"/>
      <c r="R110" s="401"/>
      <c r="S110" s="401"/>
    </row>
    <row r="111" spans="1:19" x14ac:dyDescent="0.2">
      <c r="A111" s="401"/>
      <c r="B111" s="401"/>
      <c r="C111" s="401"/>
      <c r="D111" s="401"/>
      <c r="E111" s="401"/>
      <c r="F111" s="401"/>
      <c r="G111" s="401"/>
      <c r="H111" s="401"/>
      <c r="I111" s="401"/>
      <c r="J111" s="401"/>
      <c r="K111" s="401"/>
      <c r="L111" s="401"/>
      <c r="M111" s="401"/>
      <c r="N111" s="401"/>
      <c r="O111" s="401"/>
      <c r="P111" s="401"/>
      <c r="Q111" s="401"/>
      <c r="R111" s="401"/>
      <c r="S111" s="401"/>
    </row>
    <row r="112" spans="1:19" x14ac:dyDescent="0.2">
      <c r="A112" s="401"/>
      <c r="B112" s="401"/>
      <c r="C112" s="401"/>
      <c r="D112" s="401"/>
      <c r="E112" s="401"/>
      <c r="F112" s="401"/>
      <c r="G112" s="401"/>
      <c r="H112" s="401"/>
      <c r="I112" s="401"/>
      <c r="J112" s="401"/>
      <c r="K112" s="401"/>
      <c r="L112" s="401"/>
      <c r="M112" s="401"/>
      <c r="N112" s="401"/>
      <c r="O112" s="401"/>
      <c r="P112" s="401"/>
      <c r="Q112" s="401"/>
      <c r="R112" s="401"/>
      <c r="S112" s="401"/>
    </row>
    <row r="113" spans="1:19" x14ac:dyDescent="0.2">
      <c r="A113" s="401"/>
      <c r="B113" s="401"/>
      <c r="C113" s="401"/>
      <c r="D113" s="401"/>
      <c r="E113" s="401"/>
      <c r="F113" s="401"/>
      <c r="G113" s="401"/>
      <c r="H113" s="401"/>
      <c r="I113" s="401"/>
      <c r="J113" s="401"/>
      <c r="K113" s="401"/>
      <c r="L113" s="401"/>
      <c r="M113" s="401"/>
      <c r="N113" s="401"/>
      <c r="O113" s="401"/>
      <c r="P113" s="401"/>
      <c r="Q113" s="401"/>
      <c r="R113" s="401"/>
      <c r="S113" s="401"/>
    </row>
    <row r="114" spans="1:19" x14ac:dyDescent="0.2">
      <c r="A114" s="401"/>
      <c r="B114" s="401"/>
      <c r="C114" s="401"/>
      <c r="D114" s="401"/>
      <c r="E114" s="401"/>
      <c r="F114" s="401"/>
      <c r="G114" s="401"/>
      <c r="H114" s="401"/>
      <c r="I114" s="401"/>
      <c r="J114" s="401"/>
      <c r="K114" s="401"/>
      <c r="L114" s="401"/>
      <c r="M114" s="401"/>
      <c r="N114" s="401"/>
      <c r="O114" s="401"/>
      <c r="P114" s="401"/>
      <c r="Q114" s="401"/>
      <c r="R114" s="401"/>
      <c r="S114" s="401"/>
    </row>
    <row r="115" spans="1:19" x14ac:dyDescent="0.2">
      <c r="A115" s="401"/>
      <c r="B115" s="401"/>
      <c r="C115" s="401"/>
      <c r="D115" s="401"/>
      <c r="E115" s="401"/>
      <c r="F115" s="401"/>
      <c r="G115" s="401"/>
      <c r="H115" s="401"/>
      <c r="I115" s="401"/>
      <c r="J115" s="401"/>
      <c r="K115" s="401"/>
      <c r="L115" s="401"/>
      <c r="M115" s="401"/>
      <c r="N115" s="401"/>
      <c r="O115" s="401"/>
      <c r="P115" s="401"/>
      <c r="Q115" s="401"/>
      <c r="R115" s="401"/>
      <c r="S115" s="401"/>
    </row>
    <row r="116" spans="1:19" x14ac:dyDescent="0.2">
      <c r="A116" s="401"/>
      <c r="B116" s="401"/>
      <c r="C116" s="401"/>
      <c r="D116" s="401"/>
      <c r="E116" s="401"/>
      <c r="F116" s="401"/>
      <c r="G116" s="401"/>
      <c r="H116" s="401"/>
      <c r="I116" s="401"/>
      <c r="J116" s="401"/>
      <c r="K116" s="401"/>
      <c r="L116" s="401"/>
      <c r="M116" s="401"/>
      <c r="N116" s="401"/>
      <c r="O116" s="401"/>
      <c r="P116" s="401"/>
      <c r="Q116" s="401"/>
      <c r="R116" s="401"/>
      <c r="S116" s="401"/>
    </row>
    <row r="117" spans="1:19" x14ac:dyDescent="0.2">
      <c r="A117" s="401"/>
      <c r="B117" s="401"/>
      <c r="C117" s="401"/>
      <c r="D117" s="401"/>
      <c r="E117" s="401"/>
      <c r="F117" s="401"/>
      <c r="G117" s="401"/>
      <c r="H117" s="401"/>
      <c r="I117" s="401"/>
      <c r="J117" s="401"/>
      <c r="K117" s="401"/>
      <c r="L117" s="401"/>
      <c r="M117" s="401"/>
      <c r="N117" s="401"/>
      <c r="O117" s="401"/>
      <c r="P117" s="401"/>
      <c r="Q117" s="401"/>
      <c r="R117" s="401"/>
      <c r="S117" s="401"/>
    </row>
    <row r="118" spans="1:19" x14ac:dyDescent="0.2">
      <c r="A118" s="401"/>
      <c r="B118" s="401"/>
      <c r="C118" s="401"/>
      <c r="D118" s="401"/>
      <c r="E118" s="401"/>
      <c r="F118" s="401"/>
      <c r="G118" s="401"/>
      <c r="H118" s="401"/>
      <c r="I118" s="401"/>
      <c r="J118" s="401"/>
      <c r="K118" s="401"/>
      <c r="L118" s="401"/>
      <c r="M118" s="401"/>
      <c r="N118" s="401"/>
      <c r="O118" s="401"/>
      <c r="P118" s="401"/>
      <c r="Q118" s="401"/>
      <c r="R118" s="401"/>
      <c r="S118" s="401"/>
    </row>
    <row r="119" spans="1:19" x14ac:dyDescent="0.2">
      <c r="A119" s="401"/>
      <c r="B119" s="401"/>
      <c r="C119" s="401"/>
      <c r="D119" s="401"/>
      <c r="E119" s="401"/>
      <c r="F119" s="401"/>
      <c r="G119" s="401"/>
      <c r="H119" s="401"/>
      <c r="I119" s="401"/>
      <c r="J119" s="401"/>
      <c r="K119" s="401"/>
      <c r="L119" s="401"/>
      <c r="M119" s="401"/>
      <c r="N119" s="401"/>
      <c r="O119" s="401"/>
      <c r="P119" s="401"/>
      <c r="Q119" s="401"/>
      <c r="R119" s="401"/>
      <c r="S119" s="401"/>
    </row>
    <row r="120" spans="1:19" x14ac:dyDescent="0.2">
      <c r="A120" s="401"/>
      <c r="B120" s="401"/>
      <c r="C120" s="401"/>
      <c r="D120" s="401"/>
      <c r="E120" s="401"/>
      <c r="F120" s="401"/>
      <c r="G120" s="401"/>
      <c r="H120" s="401"/>
      <c r="I120" s="401"/>
      <c r="J120" s="401"/>
      <c r="K120" s="401"/>
      <c r="L120" s="401"/>
      <c r="M120" s="401"/>
      <c r="N120" s="401"/>
      <c r="O120" s="401"/>
      <c r="P120" s="401"/>
      <c r="Q120" s="401"/>
      <c r="R120" s="401"/>
      <c r="S120" s="401"/>
    </row>
    <row r="121" spans="1:19" x14ac:dyDescent="0.2">
      <c r="A121" s="401"/>
      <c r="B121" s="401"/>
      <c r="C121" s="401"/>
      <c r="D121" s="401"/>
      <c r="E121" s="401"/>
      <c r="F121" s="401"/>
      <c r="G121" s="401"/>
      <c r="H121" s="401"/>
      <c r="I121" s="401"/>
      <c r="J121" s="401"/>
      <c r="K121" s="401"/>
      <c r="L121" s="401"/>
      <c r="M121" s="401"/>
      <c r="N121" s="401"/>
      <c r="O121" s="401"/>
      <c r="P121" s="401"/>
      <c r="Q121" s="401"/>
      <c r="R121" s="401"/>
      <c r="S121" s="401"/>
    </row>
    <row r="122" spans="1:19" x14ac:dyDescent="0.2">
      <c r="A122" s="401"/>
      <c r="B122" s="401"/>
      <c r="C122" s="401"/>
      <c r="D122" s="401"/>
      <c r="E122" s="401"/>
      <c r="F122" s="401"/>
      <c r="G122" s="401"/>
      <c r="H122" s="401"/>
      <c r="I122" s="401"/>
      <c r="J122" s="401"/>
      <c r="K122" s="401"/>
      <c r="L122" s="401"/>
      <c r="M122" s="401"/>
      <c r="N122" s="401"/>
      <c r="O122" s="401"/>
      <c r="P122" s="401"/>
      <c r="Q122" s="401"/>
      <c r="R122" s="401"/>
      <c r="S122" s="401"/>
    </row>
    <row r="123" spans="1:19" x14ac:dyDescent="0.2">
      <c r="A123" s="401"/>
      <c r="B123" s="401"/>
      <c r="C123" s="401"/>
      <c r="D123" s="401"/>
      <c r="E123" s="401"/>
      <c r="F123" s="401"/>
      <c r="G123" s="401"/>
      <c r="H123" s="401"/>
      <c r="I123" s="401"/>
      <c r="J123" s="401"/>
      <c r="K123" s="401"/>
      <c r="L123" s="401"/>
      <c r="M123" s="401"/>
      <c r="N123" s="401"/>
      <c r="O123" s="401"/>
      <c r="P123" s="401"/>
      <c r="Q123" s="401"/>
      <c r="R123" s="401"/>
      <c r="S123" s="401"/>
    </row>
    <row r="124" spans="1:19" x14ac:dyDescent="0.2">
      <c r="A124" s="401"/>
      <c r="B124" s="401"/>
      <c r="C124" s="401"/>
      <c r="D124" s="401"/>
      <c r="E124" s="401"/>
      <c r="F124" s="401"/>
      <c r="G124" s="401"/>
      <c r="H124" s="401"/>
      <c r="I124" s="401"/>
      <c r="J124" s="401"/>
      <c r="K124" s="401"/>
      <c r="L124" s="401"/>
      <c r="M124" s="401"/>
      <c r="N124" s="401"/>
      <c r="O124" s="401"/>
      <c r="P124" s="401"/>
      <c r="Q124" s="401"/>
      <c r="R124" s="401"/>
      <c r="S124" s="401"/>
    </row>
    <row r="125" spans="1:19" x14ac:dyDescent="0.2">
      <c r="A125" s="401"/>
      <c r="B125" s="401"/>
      <c r="C125" s="401"/>
      <c r="D125" s="401"/>
      <c r="E125" s="401"/>
      <c r="F125" s="401"/>
      <c r="G125" s="401"/>
      <c r="H125" s="401"/>
      <c r="I125" s="401"/>
      <c r="J125" s="401"/>
      <c r="K125" s="401"/>
      <c r="L125" s="401"/>
      <c r="M125" s="401"/>
      <c r="N125" s="401"/>
      <c r="O125" s="401"/>
      <c r="P125" s="401"/>
      <c r="Q125" s="401"/>
      <c r="R125" s="401"/>
      <c r="S125" s="401"/>
    </row>
    <row r="126" spans="1:19" x14ac:dyDescent="0.2">
      <c r="A126" s="401"/>
      <c r="B126" s="401"/>
      <c r="C126" s="401"/>
      <c r="D126" s="401"/>
      <c r="E126" s="401"/>
      <c r="F126" s="401"/>
      <c r="G126" s="401"/>
      <c r="H126" s="401"/>
      <c r="I126" s="401"/>
      <c r="J126" s="401"/>
      <c r="K126" s="401"/>
      <c r="L126" s="401"/>
      <c r="M126" s="401"/>
      <c r="N126" s="401"/>
      <c r="O126" s="401"/>
      <c r="P126" s="401"/>
      <c r="Q126" s="401"/>
      <c r="R126" s="401"/>
      <c r="S126" s="401"/>
    </row>
    <row r="127" spans="1:19" x14ac:dyDescent="0.2">
      <c r="A127" s="401"/>
      <c r="B127" s="401"/>
      <c r="C127" s="401"/>
      <c r="D127" s="401"/>
      <c r="E127" s="401"/>
      <c r="F127" s="401"/>
      <c r="G127" s="401"/>
      <c r="H127" s="401"/>
      <c r="I127" s="401"/>
      <c r="J127" s="401"/>
      <c r="K127" s="401"/>
      <c r="L127" s="401"/>
      <c r="M127" s="401"/>
      <c r="N127" s="401"/>
      <c r="O127" s="401"/>
      <c r="P127" s="401"/>
      <c r="Q127" s="401"/>
      <c r="R127" s="401"/>
      <c r="S127" s="401"/>
    </row>
    <row r="128" spans="1:19" x14ac:dyDescent="0.2">
      <c r="A128" s="401"/>
      <c r="B128" s="401"/>
      <c r="C128" s="401"/>
      <c r="D128" s="401"/>
      <c r="E128" s="401"/>
      <c r="F128" s="401"/>
      <c r="G128" s="401"/>
      <c r="H128" s="401"/>
      <c r="I128" s="401"/>
      <c r="J128" s="401"/>
      <c r="K128" s="401"/>
      <c r="L128" s="401"/>
      <c r="M128" s="401"/>
      <c r="N128" s="401"/>
      <c r="O128" s="401"/>
      <c r="P128" s="401"/>
      <c r="Q128" s="401"/>
      <c r="R128" s="401"/>
      <c r="S128" s="401"/>
    </row>
    <row r="129" spans="1:19" x14ac:dyDescent="0.2">
      <c r="A129" s="401"/>
      <c r="B129" s="401"/>
      <c r="C129" s="401"/>
      <c r="D129" s="401"/>
      <c r="E129" s="401"/>
      <c r="F129" s="401"/>
      <c r="G129" s="401"/>
      <c r="H129" s="401"/>
      <c r="I129" s="401"/>
      <c r="J129" s="401"/>
      <c r="K129" s="401"/>
      <c r="L129" s="401"/>
      <c r="M129" s="401"/>
      <c r="N129" s="401"/>
      <c r="O129" s="401"/>
      <c r="P129" s="401"/>
      <c r="Q129" s="401"/>
      <c r="R129" s="401"/>
      <c r="S129" s="401"/>
    </row>
    <row r="130" spans="1:19" x14ac:dyDescent="0.2">
      <c r="A130" s="401"/>
      <c r="B130" s="401"/>
      <c r="C130" s="401"/>
      <c r="D130" s="401"/>
      <c r="E130" s="401"/>
      <c r="F130" s="401"/>
      <c r="G130" s="401"/>
      <c r="H130" s="401"/>
      <c r="I130" s="401"/>
      <c r="J130" s="401"/>
      <c r="K130" s="401"/>
      <c r="L130" s="401"/>
      <c r="M130" s="401"/>
      <c r="N130" s="401"/>
      <c r="O130" s="401"/>
      <c r="P130" s="401"/>
      <c r="Q130" s="401"/>
      <c r="R130" s="401"/>
      <c r="S130" s="401"/>
    </row>
    <row r="131" spans="1:19" x14ac:dyDescent="0.2">
      <c r="A131" s="401"/>
      <c r="B131" s="401"/>
      <c r="C131" s="401"/>
      <c r="D131" s="401"/>
      <c r="E131" s="401"/>
      <c r="F131" s="401"/>
      <c r="G131" s="401"/>
      <c r="H131" s="401"/>
      <c r="I131" s="401"/>
      <c r="J131" s="401"/>
      <c r="K131" s="401"/>
      <c r="L131" s="401"/>
      <c r="M131" s="401"/>
      <c r="N131" s="401"/>
      <c r="O131" s="401"/>
      <c r="P131" s="401"/>
      <c r="Q131" s="401"/>
      <c r="R131" s="401"/>
      <c r="S131" s="401"/>
    </row>
    <row r="132" spans="1:19" x14ac:dyDescent="0.2">
      <c r="A132" s="401"/>
      <c r="B132" s="401"/>
      <c r="C132" s="401"/>
      <c r="D132" s="401"/>
      <c r="E132" s="401"/>
      <c r="F132" s="401"/>
      <c r="G132" s="401"/>
      <c r="H132" s="401"/>
      <c r="I132" s="401"/>
      <c r="J132" s="401"/>
      <c r="K132" s="401"/>
      <c r="L132" s="401"/>
      <c r="M132" s="401"/>
      <c r="N132" s="401"/>
      <c r="O132" s="401"/>
      <c r="P132" s="401"/>
      <c r="Q132" s="401"/>
      <c r="R132" s="401"/>
      <c r="S132" s="401"/>
    </row>
    <row r="133" spans="1:19" x14ac:dyDescent="0.2">
      <c r="A133" s="401"/>
      <c r="B133" s="401"/>
      <c r="C133" s="401"/>
      <c r="D133" s="401"/>
      <c r="E133" s="401"/>
      <c r="F133" s="401"/>
      <c r="G133" s="401"/>
      <c r="H133" s="401"/>
      <c r="I133" s="401"/>
      <c r="J133" s="401"/>
      <c r="K133" s="401"/>
      <c r="L133" s="401"/>
      <c r="M133" s="401"/>
      <c r="N133" s="401"/>
      <c r="O133" s="401"/>
      <c r="P133" s="401"/>
      <c r="Q133" s="401"/>
      <c r="R133" s="401"/>
      <c r="S133" s="401"/>
    </row>
    <row r="134" spans="1:19" x14ac:dyDescent="0.2">
      <c r="A134" s="401"/>
      <c r="B134" s="401"/>
      <c r="C134" s="401"/>
      <c r="D134" s="401"/>
      <c r="E134" s="401"/>
      <c r="F134" s="401"/>
      <c r="G134" s="401"/>
      <c r="H134" s="401"/>
      <c r="I134" s="401"/>
      <c r="J134" s="401"/>
      <c r="K134" s="401"/>
      <c r="L134" s="401"/>
      <c r="M134" s="401"/>
      <c r="N134" s="401"/>
      <c r="O134" s="401"/>
      <c r="P134" s="401"/>
      <c r="Q134" s="401"/>
      <c r="R134" s="401"/>
      <c r="S134" s="401"/>
    </row>
    <row r="135" spans="1:19" x14ac:dyDescent="0.2">
      <c r="A135" s="401"/>
      <c r="B135" s="401"/>
      <c r="C135" s="401"/>
      <c r="D135" s="401"/>
      <c r="E135" s="401"/>
      <c r="F135" s="401"/>
      <c r="G135" s="401"/>
      <c r="H135" s="401"/>
      <c r="I135" s="401"/>
      <c r="J135" s="401"/>
      <c r="K135" s="401"/>
      <c r="L135" s="401"/>
      <c r="M135" s="401"/>
      <c r="N135" s="401"/>
      <c r="O135" s="401"/>
      <c r="P135" s="401"/>
      <c r="Q135" s="401"/>
      <c r="R135" s="401"/>
      <c r="S135" s="401"/>
    </row>
    <row r="136" spans="1:19" x14ac:dyDescent="0.2">
      <c r="A136" s="401"/>
      <c r="B136" s="401"/>
      <c r="C136" s="401"/>
      <c r="D136" s="401"/>
      <c r="E136" s="401"/>
      <c r="F136" s="401"/>
      <c r="G136" s="401"/>
      <c r="H136" s="401"/>
      <c r="I136" s="401"/>
      <c r="J136" s="401"/>
      <c r="K136" s="401"/>
      <c r="L136" s="401"/>
      <c r="M136" s="401"/>
      <c r="N136" s="401"/>
      <c r="O136" s="401"/>
      <c r="P136" s="401"/>
      <c r="Q136" s="401"/>
      <c r="R136" s="401"/>
      <c r="S136" s="401"/>
    </row>
    <row r="137" spans="1:19" x14ac:dyDescent="0.2">
      <c r="A137" s="401"/>
      <c r="B137" s="401"/>
      <c r="C137" s="401"/>
      <c r="D137" s="401"/>
      <c r="E137" s="401"/>
      <c r="F137" s="401"/>
      <c r="G137" s="401"/>
      <c r="H137" s="401"/>
      <c r="I137" s="401"/>
      <c r="J137" s="401"/>
      <c r="K137" s="401"/>
      <c r="L137" s="401"/>
      <c r="M137" s="401"/>
      <c r="N137" s="401"/>
      <c r="O137" s="401"/>
      <c r="P137" s="401"/>
      <c r="Q137" s="401"/>
      <c r="R137" s="401"/>
      <c r="S137" s="401"/>
    </row>
    <row r="138" spans="1:19" x14ac:dyDescent="0.2">
      <c r="A138" s="401"/>
      <c r="B138" s="401"/>
      <c r="C138" s="401"/>
      <c r="D138" s="401"/>
      <c r="E138" s="401"/>
      <c r="F138" s="401"/>
      <c r="G138" s="401"/>
      <c r="H138" s="401"/>
      <c r="I138" s="401"/>
      <c r="J138" s="401"/>
      <c r="K138" s="401"/>
      <c r="L138" s="401"/>
      <c r="M138" s="401"/>
      <c r="N138" s="401"/>
      <c r="O138" s="401"/>
      <c r="P138" s="401"/>
      <c r="Q138" s="401"/>
      <c r="R138" s="401"/>
      <c r="S138" s="401"/>
    </row>
    <row r="139" spans="1:19" x14ac:dyDescent="0.2">
      <c r="A139" s="401"/>
      <c r="B139" s="401"/>
      <c r="C139" s="401"/>
      <c r="D139" s="401"/>
      <c r="E139" s="401"/>
      <c r="F139" s="401"/>
      <c r="G139" s="401"/>
      <c r="H139" s="401"/>
      <c r="I139" s="401"/>
      <c r="J139" s="401"/>
      <c r="K139" s="401"/>
      <c r="L139" s="401"/>
      <c r="M139" s="401"/>
      <c r="N139" s="401"/>
      <c r="O139" s="401"/>
      <c r="P139" s="401"/>
      <c r="Q139" s="401"/>
      <c r="R139" s="401"/>
      <c r="S139" s="401"/>
    </row>
    <row r="140" spans="1:19" x14ac:dyDescent="0.2">
      <c r="A140" s="401"/>
      <c r="B140" s="401"/>
      <c r="C140" s="401"/>
      <c r="D140" s="401"/>
      <c r="E140" s="401"/>
      <c r="F140" s="401"/>
      <c r="G140" s="401"/>
      <c r="H140" s="401"/>
      <c r="I140" s="401"/>
      <c r="J140" s="401"/>
      <c r="K140" s="401"/>
      <c r="L140" s="401"/>
      <c r="M140" s="401"/>
      <c r="N140" s="401"/>
      <c r="O140" s="401"/>
      <c r="P140" s="401"/>
      <c r="Q140" s="401"/>
      <c r="R140" s="401"/>
      <c r="S140" s="401"/>
    </row>
    <row r="141" spans="1:19" x14ac:dyDescent="0.2">
      <c r="A141" s="401"/>
      <c r="B141" s="401"/>
      <c r="C141" s="401"/>
      <c r="D141" s="401"/>
      <c r="E141" s="401"/>
      <c r="F141" s="401"/>
      <c r="G141" s="401"/>
      <c r="H141" s="401"/>
      <c r="I141" s="401"/>
      <c r="J141" s="401"/>
      <c r="K141" s="401"/>
      <c r="L141" s="401"/>
      <c r="M141" s="401"/>
      <c r="N141" s="401"/>
      <c r="O141" s="401"/>
      <c r="P141" s="401"/>
      <c r="Q141" s="401"/>
      <c r="R141" s="401"/>
      <c r="S141" s="401"/>
    </row>
    <row r="142" spans="1:19" x14ac:dyDescent="0.2">
      <c r="A142" s="401"/>
      <c r="B142" s="401"/>
      <c r="C142" s="401"/>
      <c r="D142" s="401"/>
      <c r="E142" s="401"/>
      <c r="F142" s="401"/>
      <c r="G142" s="401"/>
      <c r="H142" s="401"/>
      <c r="I142" s="401"/>
      <c r="J142" s="401"/>
      <c r="K142" s="401"/>
      <c r="L142" s="401"/>
      <c r="M142" s="401"/>
      <c r="N142" s="401"/>
      <c r="O142" s="401"/>
      <c r="P142" s="401"/>
      <c r="Q142" s="401"/>
      <c r="R142" s="401"/>
      <c r="S142" s="401"/>
    </row>
    <row r="143" spans="1:19" x14ac:dyDescent="0.2">
      <c r="A143" s="401"/>
      <c r="B143" s="401"/>
      <c r="C143" s="401"/>
      <c r="D143" s="401"/>
      <c r="E143" s="401"/>
      <c r="F143" s="401"/>
      <c r="G143" s="401"/>
      <c r="H143" s="401"/>
      <c r="I143" s="401"/>
      <c r="J143" s="401"/>
      <c r="K143" s="401"/>
      <c r="L143" s="401"/>
      <c r="M143" s="401"/>
      <c r="N143" s="401"/>
      <c r="O143" s="401"/>
      <c r="P143" s="401"/>
      <c r="Q143" s="401"/>
      <c r="R143" s="401"/>
      <c r="S143" s="401"/>
    </row>
    <row r="144" spans="1:19" x14ac:dyDescent="0.2">
      <c r="A144" s="401"/>
      <c r="B144" s="401"/>
      <c r="C144" s="401"/>
      <c r="D144" s="401"/>
      <c r="E144" s="401"/>
      <c r="F144" s="401"/>
      <c r="G144" s="401"/>
      <c r="H144" s="401"/>
      <c r="I144" s="401"/>
      <c r="J144" s="401"/>
      <c r="K144" s="401"/>
      <c r="L144" s="401"/>
      <c r="M144" s="401"/>
      <c r="N144" s="401"/>
      <c r="O144" s="401"/>
      <c r="P144" s="401"/>
      <c r="Q144" s="401"/>
      <c r="R144" s="401"/>
      <c r="S144" s="401"/>
    </row>
    <row r="145" spans="1:19" x14ac:dyDescent="0.2">
      <c r="A145" s="401"/>
      <c r="B145" s="401"/>
      <c r="C145" s="401"/>
      <c r="D145" s="401"/>
      <c r="E145" s="401"/>
      <c r="F145" s="401"/>
      <c r="G145" s="401"/>
      <c r="H145" s="401"/>
      <c r="I145" s="401"/>
      <c r="J145" s="401"/>
      <c r="K145" s="401"/>
      <c r="L145" s="401"/>
      <c r="M145" s="401"/>
      <c r="N145" s="401"/>
      <c r="O145" s="401"/>
      <c r="P145" s="401"/>
      <c r="Q145" s="401"/>
      <c r="R145" s="401"/>
      <c r="S145" s="401"/>
    </row>
    <row r="146" spans="1:19" x14ac:dyDescent="0.2">
      <c r="A146" s="401"/>
      <c r="B146" s="401"/>
      <c r="C146" s="401"/>
      <c r="D146" s="401"/>
      <c r="E146" s="401"/>
      <c r="F146" s="401"/>
      <c r="G146" s="401"/>
      <c r="H146" s="401"/>
      <c r="I146" s="401"/>
      <c r="J146" s="401"/>
      <c r="K146" s="401"/>
      <c r="L146" s="401"/>
      <c r="M146" s="401"/>
      <c r="N146" s="401"/>
      <c r="O146" s="401"/>
      <c r="P146" s="401"/>
      <c r="Q146" s="401"/>
      <c r="R146" s="401"/>
      <c r="S146" s="401"/>
    </row>
    <row r="147" spans="1:19" x14ac:dyDescent="0.2">
      <c r="A147" s="401"/>
      <c r="B147" s="401"/>
      <c r="C147" s="401"/>
      <c r="D147" s="401"/>
      <c r="E147" s="401"/>
      <c r="F147" s="401"/>
      <c r="G147" s="401"/>
      <c r="H147" s="401"/>
      <c r="I147" s="401"/>
      <c r="J147" s="401"/>
      <c r="K147" s="401"/>
      <c r="L147" s="401"/>
      <c r="M147" s="401"/>
      <c r="N147" s="401"/>
      <c r="O147" s="401"/>
      <c r="P147" s="401"/>
      <c r="Q147" s="401"/>
      <c r="R147" s="401"/>
      <c r="S147" s="401"/>
    </row>
    <row r="148" spans="1:19" x14ac:dyDescent="0.2">
      <c r="A148" s="401"/>
      <c r="B148" s="401"/>
      <c r="C148" s="401"/>
      <c r="D148" s="401"/>
      <c r="E148" s="401"/>
      <c r="F148" s="401"/>
      <c r="G148" s="401"/>
      <c r="H148" s="401"/>
      <c r="I148" s="401"/>
      <c r="J148" s="401"/>
      <c r="K148" s="401"/>
      <c r="L148" s="401"/>
      <c r="M148" s="401"/>
      <c r="N148" s="401"/>
      <c r="O148" s="401"/>
      <c r="P148" s="401"/>
      <c r="Q148" s="401"/>
      <c r="R148" s="401"/>
      <c r="S148" s="401"/>
    </row>
    <row r="149" spans="1:19" x14ac:dyDescent="0.2">
      <c r="A149" s="401"/>
      <c r="B149" s="401"/>
      <c r="C149" s="401"/>
      <c r="D149" s="401"/>
      <c r="E149" s="401"/>
      <c r="F149" s="401"/>
      <c r="G149" s="401"/>
      <c r="H149" s="401"/>
      <c r="I149" s="401"/>
      <c r="J149" s="401"/>
      <c r="K149" s="401"/>
      <c r="L149" s="401"/>
      <c r="M149" s="401"/>
      <c r="N149" s="401"/>
      <c r="O149" s="401"/>
      <c r="P149" s="401"/>
      <c r="Q149" s="401"/>
      <c r="R149" s="401"/>
      <c r="S149" s="401"/>
    </row>
    <row r="150" spans="1:19" x14ac:dyDescent="0.2">
      <c r="A150" s="401"/>
      <c r="B150" s="401"/>
      <c r="C150" s="401"/>
      <c r="D150" s="401"/>
      <c r="E150" s="401"/>
      <c r="F150" s="401"/>
      <c r="G150" s="401"/>
      <c r="H150" s="401"/>
      <c r="I150" s="401"/>
      <c r="J150" s="401"/>
      <c r="K150" s="401"/>
      <c r="L150" s="401"/>
      <c r="M150" s="401"/>
      <c r="N150" s="401"/>
      <c r="O150" s="401"/>
      <c r="P150" s="401"/>
      <c r="Q150" s="401"/>
      <c r="R150" s="401"/>
      <c r="S150" s="401"/>
    </row>
    <row r="151" spans="1:19" x14ac:dyDescent="0.2">
      <c r="A151" s="401"/>
      <c r="B151" s="401"/>
      <c r="C151" s="401"/>
      <c r="D151" s="401"/>
      <c r="E151" s="401"/>
      <c r="F151" s="401"/>
      <c r="G151" s="401"/>
      <c r="H151" s="401"/>
      <c r="I151" s="401"/>
      <c r="J151" s="401"/>
      <c r="K151" s="401"/>
      <c r="L151" s="401"/>
      <c r="M151" s="401"/>
      <c r="N151" s="401"/>
      <c r="O151" s="401"/>
      <c r="P151" s="401"/>
      <c r="Q151" s="401"/>
      <c r="R151" s="401"/>
      <c r="S151" s="401"/>
    </row>
    <row r="152" spans="1:19" x14ac:dyDescent="0.2">
      <c r="A152" s="401"/>
      <c r="B152" s="401"/>
      <c r="C152" s="401"/>
      <c r="D152" s="401"/>
      <c r="E152" s="401"/>
      <c r="F152" s="401"/>
      <c r="G152" s="401"/>
      <c r="H152" s="401"/>
      <c r="I152" s="401"/>
      <c r="J152" s="401"/>
      <c r="K152" s="401"/>
      <c r="L152" s="401"/>
      <c r="M152" s="401"/>
      <c r="N152" s="401"/>
      <c r="O152" s="401"/>
      <c r="P152" s="401"/>
      <c r="Q152" s="401"/>
      <c r="R152" s="401"/>
      <c r="S152" s="401"/>
    </row>
    <row r="153" spans="1:19" x14ac:dyDescent="0.2">
      <c r="A153" s="401"/>
      <c r="B153" s="401"/>
      <c r="C153" s="401"/>
      <c r="D153" s="401"/>
      <c r="E153" s="401"/>
      <c r="F153" s="401"/>
      <c r="G153" s="401"/>
      <c r="H153" s="401"/>
      <c r="I153" s="401"/>
      <c r="J153" s="401"/>
      <c r="K153" s="401"/>
      <c r="L153" s="401"/>
      <c r="M153" s="401"/>
      <c r="N153" s="401"/>
      <c r="O153" s="401"/>
      <c r="P153" s="401"/>
      <c r="Q153" s="401"/>
      <c r="R153" s="401"/>
      <c r="S153" s="401"/>
    </row>
    <row r="154" spans="1:19" x14ac:dyDescent="0.2">
      <c r="A154" s="401"/>
      <c r="B154" s="401"/>
      <c r="C154" s="401"/>
      <c r="D154" s="401"/>
      <c r="E154" s="401"/>
      <c r="F154" s="401"/>
      <c r="G154" s="401"/>
      <c r="H154" s="401"/>
      <c r="I154" s="401"/>
      <c r="J154" s="401"/>
      <c r="K154" s="401"/>
      <c r="L154" s="401"/>
      <c r="M154" s="401"/>
      <c r="N154" s="401"/>
      <c r="O154" s="401"/>
      <c r="P154" s="401"/>
      <c r="Q154" s="401"/>
      <c r="R154" s="401"/>
      <c r="S154" s="401"/>
    </row>
    <row r="155" spans="1:19" x14ac:dyDescent="0.2">
      <c r="A155" s="401"/>
      <c r="B155" s="401"/>
      <c r="C155" s="401"/>
      <c r="D155" s="401"/>
      <c r="E155" s="401"/>
      <c r="F155" s="401"/>
      <c r="G155" s="401"/>
      <c r="H155" s="401"/>
      <c r="I155" s="401"/>
      <c r="J155" s="401"/>
      <c r="K155" s="401"/>
      <c r="L155" s="401"/>
      <c r="M155" s="401"/>
      <c r="N155" s="401"/>
      <c r="O155" s="401"/>
      <c r="P155" s="401"/>
      <c r="Q155" s="401"/>
      <c r="R155" s="401"/>
      <c r="S155" s="401"/>
    </row>
    <row r="156" spans="1:19" x14ac:dyDescent="0.2">
      <c r="A156" s="401"/>
      <c r="B156" s="401"/>
      <c r="C156" s="401"/>
      <c r="D156" s="401"/>
      <c r="E156" s="401"/>
      <c r="F156" s="401"/>
      <c r="G156" s="401"/>
      <c r="H156" s="401"/>
      <c r="I156" s="401"/>
      <c r="J156" s="401"/>
      <c r="K156" s="401"/>
      <c r="L156" s="401"/>
      <c r="M156" s="401"/>
      <c r="N156" s="401"/>
      <c r="O156" s="401"/>
      <c r="P156" s="401"/>
      <c r="Q156" s="401"/>
      <c r="R156" s="401"/>
      <c r="S156" s="401"/>
    </row>
    <row r="157" spans="1:19" x14ac:dyDescent="0.2">
      <c r="A157" s="401"/>
      <c r="B157" s="401"/>
      <c r="C157" s="401"/>
      <c r="D157" s="401"/>
      <c r="E157" s="401"/>
      <c r="F157" s="401"/>
      <c r="G157" s="401"/>
      <c r="H157" s="401"/>
      <c r="I157" s="401"/>
      <c r="J157" s="401"/>
      <c r="K157" s="401"/>
      <c r="L157" s="401"/>
      <c r="M157" s="401"/>
      <c r="N157" s="401"/>
      <c r="O157" s="401"/>
      <c r="P157" s="401"/>
      <c r="Q157" s="401"/>
      <c r="R157" s="401"/>
      <c r="S157" s="401"/>
    </row>
    <row r="158" spans="1:19" x14ac:dyDescent="0.2">
      <c r="A158" s="401"/>
      <c r="B158" s="401"/>
      <c r="C158" s="401"/>
      <c r="D158" s="401"/>
      <c r="E158" s="401"/>
      <c r="F158" s="401"/>
      <c r="G158" s="401"/>
      <c r="H158" s="401"/>
      <c r="I158" s="401"/>
      <c r="J158" s="401"/>
      <c r="K158" s="401"/>
      <c r="L158" s="401"/>
      <c r="M158" s="401"/>
      <c r="N158" s="401"/>
      <c r="O158" s="401"/>
      <c r="P158" s="401"/>
      <c r="Q158" s="401"/>
      <c r="R158" s="401"/>
      <c r="S158" s="401"/>
    </row>
    <row r="159" spans="1:19" x14ac:dyDescent="0.2">
      <c r="A159" s="401"/>
      <c r="B159" s="401"/>
      <c r="C159" s="401"/>
      <c r="D159" s="401"/>
      <c r="E159" s="401"/>
      <c r="F159" s="401"/>
      <c r="G159" s="401"/>
      <c r="H159" s="401"/>
      <c r="I159" s="401"/>
      <c r="J159" s="401"/>
      <c r="K159" s="401"/>
      <c r="L159" s="401"/>
      <c r="M159" s="401"/>
      <c r="N159" s="401"/>
      <c r="O159" s="401"/>
      <c r="P159" s="401"/>
      <c r="Q159" s="401"/>
      <c r="R159" s="401"/>
      <c r="S159" s="401"/>
    </row>
    <row r="160" spans="1:19" x14ac:dyDescent="0.2">
      <c r="A160" s="401"/>
      <c r="B160" s="401"/>
      <c r="C160" s="401"/>
      <c r="D160" s="401"/>
      <c r="E160" s="401"/>
      <c r="F160" s="401"/>
      <c r="G160" s="401"/>
      <c r="H160" s="401"/>
      <c r="I160" s="401"/>
      <c r="J160" s="401"/>
      <c r="K160" s="401"/>
      <c r="L160" s="401"/>
      <c r="M160" s="401"/>
      <c r="N160" s="401"/>
      <c r="O160" s="401"/>
      <c r="P160" s="401"/>
      <c r="Q160" s="401"/>
      <c r="R160" s="401"/>
      <c r="S160" s="401"/>
    </row>
    <row r="161" spans="1:19" x14ac:dyDescent="0.2">
      <c r="A161" s="401"/>
      <c r="B161" s="401"/>
      <c r="C161" s="401"/>
      <c r="D161" s="401"/>
      <c r="E161" s="401"/>
      <c r="F161" s="401"/>
      <c r="G161" s="401"/>
      <c r="H161" s="401"/>
      <c r="I161" s="401"/>
      <c r="J161" s="401"/>
      <c r="K161" s="401"/>
      <c r="L161" s="401"/>
      <c r="M161" s="401"/>
      <c r="N161" s="401"/>
      <c r="O161" s="401"/>
      <c r="P161" s="401"/>
      <c r="Q161" s="401"/>
      <c r="R161" s="401"/>
      <c r="S161" s="401"/>
    </row>
    <row r="162" spans="1:19" x14ac:dyDescent="0.2">
      <c r="A162" s="401"/>
      <c r="B162" s="401"/>
      <c r="C162" s="401"/>
      <c r="D162" s="401"/>
      <c r="E162" s="401"/>
      <c r="F162" s="401"/>
      <c r="G162" s="401"/>
      <c r="H162" s="401"/>
      <c r="I162" s="401"/>
      <c r="J162" s="401"/>
      <c r="K162" s="401"/>
      <c r="L162" s="401"/>
      <c r="M162" s="401"/>
      <c r="N162" s="401"/>
      <c r="O162" s="401"/>
      <c r="P162" s="401"/>
      <c r="Q162" s="401"/>
      <c r="R162" s="401"/>
      <c r="S162" s="401"/>
    </row>
    <row r="163" spans="1:19" x14ac:dyDescent="0.2">
      <c r="A163" s="401"/>
      <c r="B163" s="401"/>
      <c r="C163" s="401"/>
      <c r="D163" s="401"/>
      <c r="E163" s="401"/>
      <c r="F163" s="401"/>
      <c r="G163" s="401"/>
      <c r="H163" s="401"/>
      <c r="I163" s="401"/>
      <c r="J163" s="401"/>
      <c r="K163" s="401"/>
      <c r="L163" s="401"/>
      <c r="M163" s="401"/>
      <c r="N163" s="401"/>
      <c r="O163" s="401"/>
      <c r="P163" s="401"/>
      <c r="Q163" s="401"/>
      <c r="R163" s="401"/>
      <c r="S163" s="401"/>
    </row>
    <row r="164" spans="1:19" x14ac:dyDescent="0.2">
      <c r="A164" s="401"/>
      <c r="B164" s="401"/>
      <c r="C164" s="401"/>
      <c r="D164" s="401"/>
      <c r="E164" s="401"/>
      <c r="F164" s="401"/>
      <c r="G164" s="401"/>
      <c r="H164" s="401"/>
      <c r="I164" s="401"/>
      <c r="J164" s="401"/>
      <c r="K164" s="401"/>
      <c r="L164" s="401"/>
      <c r="M164" s="401"/>
      <c r="N164" s="401"/>
      <c r="O164" s="401"/>
      <c r="P164" s="401"/>
      <c r="Q164" s="401"/>
      <c r="R164" s="401"/>
      <c r="S164" s="401"/>
    </row>
    <row r="165" spans="1:19" x14ac:dyDescent="0.2">
      <c r="A165" s="401"/>
      <c r="B165" s="401"/>
      <c r="C165" s="401"/>
      <c r="D165" s="401"/>
      <c r="E165" s="401"/>
      <c r="F165" s="401"/>
      <c r="G165" s="401"/>
      <c r="H165" s="401"/>
      <c r="I165" s="401"/>
      <c r="J165" s="401"/>
      <c r="K165" s="401"/>
      <c r="L165" s="401"/>
      <c r="M165" s="401"/>
      <c r="N165" s="401"/>
      <c r="O165" s="401"/>
      <c r="P165" s="401"/>
      <c r="Q165" s="401"/>
      <c r="R165" s="401"/>
      <c r="S165" s="401"/>
    </row>
    <row r="166" spans="1:19" x14ac:dyDescent="0.2">
      <c r="A166" s="401"/>
      <c r="B166" s="401"/>
      <c r="C166" s="401"/>
      <c r="D166" s="401"/>
      <c r="E166" s="401"/>
      <c r="F166" s="401"/>
      <c r="G166" s="401"/>
      <c r="H166" s="401"/>
      <c r="I166" s="401"/>
      <c r="J166" s="401"/>
      <c r="K166" s="401"/>
      <c r="L166" s="401"/>
      <c r="M166" s="401"/>
      <c r="N166" s="401"/>
      <c r="O166" s="401"/>
      <c r="P166" s="401"/>
      <c r="Q166" s="401"/>
      <c r="R166" s="401"/>
      <c r="S166" s="401"/>
    </row>
    <row r="167" spans="1:19" x14ac:dyDescent="0.2">
      <c r="A167" s="401"/>
      <c r="B167" s="401"/>
      <c r="C167" s="401"/>
      <c r="D167" s="401"/>
      <c r="E167" s="401"/>
      <c r="F167" s="401"/>
      <c r="G167" s="401"/>
      <c r="H167" s="401"/>
      <c r="I167" s="401"/>
      <c r="J167" s="401"/>
      <c r="K167" s="401"/>
      <c r="L167" s="401"/>
      <c r="M167" s="401"/>
      <c r="N167" s="401"/>
      <c r="O167" s="401"/>
      <c r="P167" s="401"/>
      <c r="Q167" s="401"/>
      <c r="R167" s="401"/>
      <c r="S167" s="401"/>
    </row>
    <row r="168" spans="1:19" x14ac:dyDescent="0.2">
      <c r="A168" s="401"/>
      <c r="B168" s="401"/>
      <c r="C168" s="401"/>
      <c r="D168" s="401"/>
      <c r="E168" s="401"/>
      <c r="F168" s="401"/>
      <c r="G168" s="401"/>
      <c r="H168" s="401"/>
      <c r="I168" s="401"/>
      <c r="J168" s="401"/>
      <c r="K168" s="401"/>
      <c r="L168" s="401"/>
      <c r="M168" s="401"/>
      <c r="N168" s="401"/>
      <c r="O168" s="401"/>
      <c r="P168" s="401"/>
      <c r="Q168" s="401"/>
      <c r="R168" s="401"/>
      <c r="S168" s="401"/>
    </row>
    <row r="169" spans="1:19" x14ac:dyDescent="0.2">
      <c r="A169" s="401"/>
      <c r="B169" s="401"/>
      <c r="C169" s="401"/>
      <c r="D169" s="401"/>
      <c r="E169" s="401"/>
      <c r="F169" s="401"/>
      <c r="G169" s="401"/>
      <c r="H169" s="401"/>
      <c r="I169" s="401"/>
      <c r="J169" s="401"/>
      <c r="K169" s="401"/>
      <c r="L169" s="401"/>
      <c r="M169" s="401"/>
      <c r="N169" s="401"/>
      <c r="O169" s="401"/>
      <c r="P169" s="401"/>
      <c r="Q169" s="401"/>
      <c r="R169" s="401"/>
      <c r="S169" s="401"/>
    </row>
    <row r="170" spans="1:19" x14ac:dyDescent="0.2">
      <c r="A170" s="401"/>
      <c r="B170" s="401"/>
      <c r="C170" s="401"/>
      <c r="D170" s="401"/>
      <c r="E170" s="401"/>
      <c r="F170" s="401"/>
      <c r="G170" s="401"/>
      <c r="H170" s="401"/>
      <c r="I170" s="401"/>
      <c r="J170" s="401"/>
      <c r="K170" s="401"/>
      <c r="L170" s="401"/>
      <c r="M170" s="401"/>
      <c r="N170" s="401"/>
      <c r="O170" s="401"/>
      <c r="P170" s="401"/>
      <c r="Q170" s="401"/>
      <c r="R170" s="401"/>
      <c r="S170" s="401"/>
    </row>
    <row r="171" spans="1:19" x14ac:dyDescent="0.2">
      <c r="A171" s="401"/>
      <c r="B171" s="401"/>
      <c r="C171" s="401"/>
      <c r="D171" s="401"/>
      <c r="E171" s="401"/>
      <c r="F171" s="401"/>
      <c r="G171" s="401"/>
      <c r="H171" s="401"/>
      <c r="I171" s="401"/>
      <c r="J171" s="401"/>
      <c r="K171" s="401"/>
      <c r="L171" s="401"/>
      <c r="M171" s="401"/>
      <c r="N171" s="401"/>
      <c r="O171" s="401"/>
      <c r="P171" s="401"/>
      <c r="Q171" s="401"/>
      <c r="R171" s="401"/>
      <c r="S171" s="401"/>
    </row>
    <row r="172" spans="1:19" x14ac:dyDescent="0.2">
      <c r="A172" s="401"/>
      <c r="B172" s="401"/>
      <c r="C172" s="401"/>
      <c r="D172" s="401"/>
      <c r="E172" s="401"/>
      <c r="F172" s="401"/>
      <c r="G172" s="401"/>
      <c r="H172" s="401"/>
      <c r="I172" s="401"/>
      <c r="J172" s="401"/>
      <c r="K172" s="401"/>
      <c r="L172" s="401"/>
      <c r="M172" s="401"/>
      <c r="N172" s="401"/>
      <c r="O172" s="401"/>
      <c r="P172" s="401"/>
      <c r="Q172" s="401"/>
      <c r="R172" s="401"/>
      <c r="S172" s="401"/>
    </row>
    <row r="173" spans="1:19" x14ac:dyDescent="0.2">
      <c r="A173" s="401"/>
      <c r="B173" s="401"/>
      <c r="C173" s="401"/>
      <c r="D173" s="401"/>
      <c r="E173" s="401"/>
      <c r="F173" s="401"/>
      <c r="G173" s="401"/>
      <c r="H173" s="401"/>
      <c r="I173" s="401"/>
      <c r="J173" s="401"/>
      <c r="K173" s="401"/>
      <c r="L173" s="401"/>
      <c r="M173" s="401"/>
      <c r="N173" s="401"/>
      <c r="O173" s="401"/>
      <c r="P173" s="401"/>
      <c r="Q173" s="401"/>
      <c r="R173" s="401"/>
      <c r="S173" s="401"/>
    </row>
    <row r="174" spans="1:19" x14ac:dyDescent="0.2">
      <c r="A174" s="401"/>
      <c r="B174" s="401"/>
      <c r="C174" s="401"/>
      <c r="D174" s="401"/>
      <c r="E174" s="401"/>
      <c r="F174" s="401"/>
      <c r="G174" s="401"/>
      <c r="H174" s="401"/>
      <c r="I174" s="401"/>
      <c r="J174" s="401"/>
      <c r="K174" s="401"/>
      <c r="L174" s="401"/>
      <c r="M174" s="401"/>
      <c r="N174" s="401"/>
      <c r="O174" s="401"/>
      <c r="P174" s="401"/>
      <c r="Q174" s="401"/>
      <c r="R174" s="401"/>
      <c r="S174" s="401"/>
    </row>
    <row r="175" spans="1:19" x14ac:dyDescent="0.2">
      <c r="A175" s="401"/>
      <c r="B175" s="401"/>
      <c r="C175" s="401"/>
      <c r="D175" s="401"/>
      <c r="E175" s="401"/>
      <c r="F175" s="401"/>
      <c r="G175" s="401"/>
      <c r="H175" s="401"/>
      <c r="I175" s="401"/>
      <c r="J175" s="401"/>
      <c r="K175" s="401"/>
      <c r="L175" s="401"/>
      <c r="M175" s="401"/>
      <c r="N175" s="401"/>
      <c r="O175" s="401"/>
      <c r="P175" s="401"/>
      <c r="Q175" s="401"/>
      <c r="R175" s="401"/>
      <c r="S175" s="401"/>
    </row>
    <row r="176" spans="1:19" x14ac:dyDescent="0.2">
      <c r="A176" s="401"/>
      <c r="B176" s="401"/>
      <c r="C176" s="401"/>
      <c r="D176" s="401"/>
      <c r="E176" s="401"/>
      <c r="F176" s="401"/>
      <c r="G176" s="401"/>
      <c r="H176" s="401"/>
      <c r="I176" s="401"/>
      <c r="J176" s="401"/>
      <c r="K176" s="401"/>
      <c r="L176" s="401"/>
      <c r="M176" s="401"/>
      <c r="N176" s="401"/>
      <c r="O176" s="401"/>
      <c r="P176" s="401"/>
      <c r="Q176" s="401"/>
      <c r="R176" s="401"/>
      <c r="S176" s="401"/>
    </row>
    <row r="177" spans="1:19" x14ac:dyDescent="0.2">
      <c r="A177" s="401"/>
      <c r="B177" s="401"/>
      <c r="C177" s="401"/>
      <c r="D177" s="401"/>
      <c r="E177" s="401"/>
      <c r="F177" s="401"/>
      <c r="G177" s="401"/>
      <c r="H177" s="401"/>
      <c r="I177" s="401"/>
      <c r="J177" s="401"/>
      <c r="K177" s="401"/>
      <c r="L177" s="401"/>
      <c r="M177" s="401"/>
      <c r="N177" s="401"/>
      <c r="O177" s="401"/>
      <c r="P177" s="401"/>
      <c r="Q177" s="401"/>
      <c r="R177" s="401"/>
      <c r="S177" s="401"/>
    </row>
    <row r="178" spans="1:19" x14ac:dyDescent="0.2">
      <c r="A178" s="401"/>
      <c r="B178" s="401"/>
      <c r="C178" s="401"/>
      <c r="D178" s="401"/>
      <c r="E178" s="401"/>
      <c r="F178" s="401"/>
      <c r="G178" s="401"/>
      <c r="H178" s="401"/>
      <c r="I178" s="401"/>
      <c r="J178" s="401"/>
      <c r="K178" s="401"/>
      <c r="L178" s="401"/>
      <c r="M178" s="401"/>
      <c r="N178" s="401"/>
      <c r="O178" s="401"/>
      <c r="P178" s="401"/>
      <c r="Q178" s="401"/>
      <c r="R178" s="401"/>
      <c r="S178" s="401"/>
    </row>
    <row r="179" spans="1:19" x14ac:dyDescent="0.2">
      <c r="A179" s="401"/>
      <c r="B179" s="401"/>
      <c r="C179" s="401"/>
      <c r="D179" s="401"/>
      <c r="E179" s="401"/>
      <c r="F179" s="401"/>
      <c r="G179" s="401"/>
      <c r="H179" s="401"/>
      <c r="I179" s="401"/>
      <c r="J179" s="401"/>
      <c r="K179" s="401"/>
      <c r="L179" s="401"/>
      <c r="M179" s="401"/>
      <c r="N179" s="401"/>
      <c r="O179" s="401"/>
      <c r="P179" s="401"/>
      <c r="Q179" s="401"/>
      <c r="R179" s="401"/>
      <c r="S179" s="401"/>
    </row>
    <row r="180" spans="1:19" x14ac:dyDescent="0.2">
      <c r="A180" s="401"/>
      <c r="B180" s="401"/>
      <c r="C180" s="401"/>
      <c r="D180" s="401"/>
      <c r="E180" s="401"/>
      <c r="F180" s="401"/>
      <c r="G180" s="401"/>
      <c r="H180" s="401"/>
      <c r="I180" s="401"/>
      <c r="J180" s="401"/>
      <c r="K180" s="401"/>
      <c r="L180" s="401"/>
      <c r="M180" s="401"/>
      <c r="N180" s="401"/>
      <c r="O180" s="401"/>
      <c r="P180" s="401"/>
      <c r="Q180" s="401"/>
      <c r="R180" s="401"/>
      <c r="S180" s="401"/>
    </row>
    <row r="181" spans="1:19" x14ac:dyDescent="0.2">
      <c r="A181" s="401"/>
      <c r="B181" s="401"/>
      <c r="C181" s="401"/>
      <c r="D181" s="401"/>
      <c r="E181" s="401"/>
      <c r="F181" s="401"/>
      <c r="G181" s="401"/>
      <c r="H181" s="401"/>
      <c r="I181" s="401"/>
      <c r="J181" s="401"/>
      <c r="K181" s="401"/>
      <c r="L181" s="401"/>
      <c r="M181" s="401"/>
      <c r="N181" s="401"/>
      <c r="O181" s="401"/>
      <c r="P181" s="401"/>
      <c r="Q181" s="401"/>
      <c r="R181" s="401"/>
      <c r="S181" s="401"/>
    </row>
    <row r="182" spans="1:19" x14ac:dyDescent="0.2">
      <c r="A182" s="401"/>
      <c r="B182" s="401"/>
      <c r="C182" s="401"/>
      <c r="D182" s="401"/>
      <c r="E182" s="401"/>
      <c r="F182" s="401"/>
      <c r="G182" s="401"/>
      <c r="H182" s="401"/>
      <c r="I182" s="401"/>
      <c r="J182" s="401"/>
      <c r="K182" s="401"/>
      <c r="L182" s="401"/>
      <c r="M182" s="401"/>
      <c r="N182" s="401"/>
      <c r="O182" s="401"/>
      <c r="P182" s="401"/>
      <c r="Q182" s="401"/>
      <c r="R182" s="401"/>
      <c r="S182" s="401"/>
    </row>
    <row r="183" spans="1:19" x14ac:dyDescent="0.2">
      <c r="A183" s="401"/>
      <c r="B183" s="401"/>
      <c r="C183" s="401"/>
      <c r="D183" s="401"/>
      <c r="E183" s="401"/>
      <c r="F183" s="401"/>
      <c r="G183" s="401"/>
      <c r="H183" s="401"/>
      <c r="I183" s="401"/>
      <c r="J183" s="401"/>
      <c r="K183" s="401"/>
      <c r="L183" s="401"/>
      <c r="M183" s="401"/>
      <c r="N183" s="401"/>
      <c r="O183" s="401"/>
      <c r="P183" s="401"/>
      <c r="Q183" s="401"/>
      <c r="R183" s="401"/>
      <c r="S183" s="401"/>
    </row>
    <row r="184" spans="1:19" x14ac:dyDescent="0.2">
      <c r="A184" s="401"/>
      <c r="B184" s="401"/>
      <c r="C184" s="401"/>
      <c r="D184" s="401"/>
      <c r="E184" s="401"/>
      <c r="F184" s="401"/>
      <c r="G184" s="401"/>
      <c r="H184" s="401"/>
      <c r="I184" s="401"/>
      <c r="J184" s="401"/>
      <c r="K184" s="401"/>
      <c r="L184" s="401"/>
      <c r="M184" s="401"/>
      <c r="N184" s="401"/>
      <c r="O184" s="401"/>
      <c r="P184" s="401"/>
      <c r="Q184" s="401"/>
      <c r="R184" s="401"/>
      <c r="S184" s="401"/>
    </row>
    <row r="185" spans="1:19" x14ac:dyDescent="0.2">
      <c r="A185" s="401"/>
      <c r="B185" s="401"/>
      <c r="C185" s="401"/>
      <c r="D185" s="401"/>
      <c r="E185" s="401"/>
      <c r="F185" s="401"/>
      <c r="G185" s="401"/>
      <c r="H185" s="401"/>
      <c r="I185" s="401"/>
      <c r="J185" s="401"/>
      <c r="K185" s="401"/>
      <c r="L185" s="401"/>
      <c r="M185" s="401"/>
      <c r="N185" s="401"/>
      <c r="O185" s="401"/>
      <c r="P185" s="401"/>
      <c r="Q185" s="401"/>
      <c r="R185" s="401"/>
      <c r="S185" s="401"/>
    </row>
    <row r="186" spans="1:19" x14ac:dyDescent="0.2">
      <c r="A186" s="401"/>
      <c r="B186" s="401"/>
      <c r="C186" s="401"/>
      <c r="D186" s="401"/>
      <c r="E186" s="401"/>
      <c r="F186" s="401"/>
      <c r="G186" s="401"/>
      <c r="H186" s="401"/>
      <c r="I186" s="401"/>
      <c r="J186" s="401"/>
      <c r="K186" s="401"/>
      <c r="L186" s="401"/>
      <c r="M186" s="401"/>
      <c r="N186" s="401"/>
      <c r="O186" s="401"/>
      <c r="P186" s="401"/>
      <c r="Q186" s="401"/>
      <c r="R186" s="401"/>
      <c r="S186" s="401"/>
    </row>
    <row r="187" spans="1:19" x14ac:dyDescent="0.2">
      <c r="A187" s="401"/>
      <c r="B187" s="401"/>
      <c r="C187" s="401"/>
      <c r="D187" s="401"/>
      <c r="E187" s="401"/>
      <c r="F187" s="401"/>
      <c r="G187" s="401"/>
      <c r="H187" s="401"/>
      <c r="I187" s="401"/>
      <c r="J187" s="401"/>
      <c r="K187" s="401"/>
      <c r="L187" s="401"/>
      <c r="M187" s="401"/>
      <c r="N187" s="401"/>
      <c r="O187" s="401"/>
      <c r="P187" s="401"/>
      <c r="Q187" s="401"/>
      <c r="R187" s="401"/>
      <c r="S187" s="401"/>
    </row>
    <row r="188" spans="1:19" x14ac:dyDescent="0.2">
      <c r="A188" s="401"/>
      <c r="B188" s="401"/>
      <c r="C188" s="401"/>
      <c r="D188" s="401"/>
      <c r="E188" s="401"/>
      <c r="F188" s="401"/>
      <c r="G188" s="401"/>
      <c r="H188" s="401"/>
      <c r="I188" s="401"/>
      <c r="J188" s="401"/>
      <c r="K188" s="401"/>
      <c r="L188" s="401"/>
      <c r="M188" s="401"/>
      <c r="N188" s="401"/>
      <c r="O188" s="401"/>
      <c r="P188" s="401"/>
      <c r="Q188" s="401"/>
      <c r="R188" s="401"/>
      <c r="S188" s="401"/>
    </row>
    <row r="189" spans="1:19" x14ac:dyDescent="0.2">
      <c r="A189" s="401"/>
      <c r="B189" s="401"/>
      <c r="C189" s="401"/>
      <c r="D189" s="401"/>
      <c r="E189" s="401"/>
      <c r="F189" s="401"/>
      <c r="G189" s="401"/>
      <c r="H189" s="401"/>
      <c r="I189" s="401"/>
      <c r="J189" s="401"/>
      <c r="K189" s="401"/>
      <c r="L189" s="401"/>
      <c r="M189" s="401"/>
      <c r="N189" s="401"/>
      <c r="O189" s="401"/>
      <c r="P189" s="401"/>
      <c r="Q189" s="401"/>
      <c r="R189" s="401"/>
      <c r="S189" s="401"/>
    </row>
    <row r="190" spans="1:19" x14ac:dyDescent="0.2">
      <c r="A190" s="401"/>
      <c r="B190" s="401"/>
      <c r="C190" s="401"/>
      <c r="D190" s="401"/>
      <c r="E190" s="401"/>
      <c r="F190" s="401"/>
      <c r="G190" s="401"/>
      <c r="H190" s="401"/>
      <c r="I190" s="401"/>
      <c r="J190" s="401"/>
      <c r="K190" s="401"/>
      <c r="L190" s="401"/>
      <c r="M190" s="401"/>
      <c r="N190" s="401"/>
      <c r="O190" s="401"/>
      <c r="P190" s="401"/>
      <c r="Q190" s="401"/>
      <c r="R190" s="401"/>
      <c r="S190" s="401"/>
    </row>
    <row r="191" spans="1:19" x14ac:dyDescent="0.2">
      <c r="A191" s="401"/>
      <c r="B191" s="401"/>
      <c r="C191" s="401"/>
      <c r="D191" s="401"/>
      <c r="E191" s="401"/>
      <c r="F191" s="401"/>
      <c r="G191" s="401"/>
      <c r="H191" s="401"/>
      <c r="I191" s="401"/>
      <c r="J191" s="401"/>
      <c r="K191" s="401"/>
      <c r="L191" s="401"/>
      <c r="M191" s="401"/>
      <c r="N191" s="401"/>
      <c r="O191" s="401"/>
      <c r="P191" s="401"/>
      <c r="Q191" s="401"/>
      <c r="R191" s="401"/>
      <c r="S191" s="401"/>
    </row>
    <row r="192" spans="1:19" x14ac:dyDescent="0.2">
      <c r="A192" s="401"/>
      <c r="B192" s="401"/>
      <c r="C192" s="401"/>
      <c r="D192" s="401"/>
      <c r="E192" s="401"/>
      <c r="F192" s="401"/>
      <c r="G192" s="401"/>
      <c r="H192" s="401"/>
      <c r="I192" s="401"/>
      <c r="J192" s="401"/>
      <c r="K192" s="401"/>
      <c r="L192" s="401"/>
      <c r="M192" s="401"/>
      <c r="N192" s="401"/>
      <c r="O192" s="401"/>
      <c r="P192" s="401"/>
      <c r="Q192" s="401"/>
      <c r="R192" s="401"/>
      <c r="S192" s="401"/>
    </row>
    <row r="193" spans="1:19" x14ac:dyDescent="0.2">
      <c r="A193" s="401"/>
      <c r="B193" s="401"/>
      <c r="C193" s="401"/>
      <c r="D193" s="401"/>
      <c r="E193" s="401"/>
      <c r="F193" s="401"/>
      <c r="G193" s="401"/>
      <c r="H193" s="401"/>
      <c r="I193" s="401"/>
      <c r="J193" s="401"/>
      <c r="K193" s="401"/>
      <c r="L193" s="401"/>
      <c r="M193" s="401"/>
      <c r="N193" s="401"/>
      <c r="O193" s="401"/>
      <c r="P193" s="401"/>
      <c r="Q193" s="401"/>
      <c r="R193" s="401"/>
      <c r="S193" s="401"/>
    </row>
    <row r="194" spans="1:19" x14ac:dyDescent="0.2">
      <c r="A194" s="401"/>
      <c r="B194" s="401"/>
      <c r="C194" s="401"/>
      <c r="D194" s="401"/>
      <c r="E194" s="401"/>
      <c r="F194" s="401"/>
      <c r="G194" s="401"/>
      <c r="H194" s="401"/>
      <c r="I194" s="401"/>
      <c r="J194" s="401"/>
      <c r="K194" s="401"/>
      <c r="L194" s="401"/>
      <c r="M194" s="401"/>
      <c r="N194" s="401"/>
      <c r="O194" s="401"/>
      <c r="P194" s="401"/>
      <c r="Q194" s="401"/>
      <c r="R194" s="401"/>
      <c r="S194" s="401"/>
    </row>
    <row r="195" spans="1:19" x14ac:dyDescent="0.2">
      <c r="A195" s="401"/>
      <c r="B195" s="401"/>
      <c r="C195" s="401"/>
      <c r="D195" s="401"/>
      <c r="E195" s="401"/>
      <c r="F195" s="401"/>
      <c r="G195" s="401"/>
      <c r="H195" s="401"/>
      <c r="I195" s="401"/>
      <c r="J195" s="401"/>
      <c r="K195" s="401"/>
      <c r="L195" s="401"/>
      <c r="M195" s="401"/>
      <c r="N195" s="401"/>
      <c r="O195" s="401"/>
      <c r="P195" s="401"/>
      <c r="Q195" s="401"/>
      <c r="R195" s="401"/>
      <c r="S195" s="401"/>
    </row>
    <row r="196" spans="1:19" x14ac:dyDescent="0.2">
      <c r="A196" s="401"/>
      <c r="B196" s="401"/>
      <c r="C196" s="401"/>
      <c r="D196" s="401"/>
      <c r="E196" s="401"/>
      <c r="F196" s="401"/>
      <c r="G196" s="401"/>
      <c r="H196" s="401"/>
      <c r="I196" s="401"/>
      <c r="J196" s="401"/>
      <c r="K196" s="401"/>
      <c r="L196" s="401"/>
      <c r="M196" s="401"/>
      <c r="N196" s="401"/>
      <c r="O196" s="401"/>
      <c r="P196" s="401"/>
      <c r="Q196" s="401"/>
      <c r="R196" s="401"/>
      <c r="S196" s="401"/>
    </row>
    <row r="197" spans="1:19" x14ac:dyDescent="0.2">
      <c r="A197" s="401"/>
      <c r="B197" s="401"/>
      <c r="C197" s="401"/>
      <c r="D197" s="401"/>
      <c r="E197" s="401"/>
      <c r="F197" s="401"/>
      <c r="G197" s="401"/>
      <c r="H197" s="401"/>
      <c r="I197" s="401"/>
      <c r="J197" s="401"/>
      <c r="K197" s="401"/>
      <c r="L197" s="401"/>
      <c r="M197" s="401"/>
      <c r="N197" s="401"/>
      <c r="O197" s="401"/>
      <c r="P197" s="401"/>
      <c r="Q197" s="401"/>
      <c r="R197" s="401"/>
      <c r="S197" s="401"/>
    </row>
    <row r="198" spans="1:19" x14ac:dyDescent="0.2">
      <c r="A198" s="401"/>
      <c r="B198" s="401"/>
      <c r="C198" s="401"/>
      <c r="D198" s="401"/>
      <c r="E198" s="401"/>
      <c r="F198" s="401"/>
      <c r="G198" s="401"/>
      <c r="H198" s="401"/>
      <c r="I198" s="401"/>
      <c r="J198" s="401"/>
      <c r="K198" s="401"/>
      <c r="L198" s="401"/>
      <c r="M198" s="401"/>
      <c r="N198" s="401"/>
      <c r="O198" s="401"/>
      <c r="P198" s="401"/>
      <c r="Q198" s="401"/>
      <c r="R198" s="401"/>
      <c r="S198" s="401"/>
    </row>
    <row r="199" spans="1:19" x14ac:dyDescent="0.2">
      <c r="A199" s="401"/>
      <c r="B199" s="401"/>
      <c r="C199" s="401"/>
      <c r="D199" s="401"/>
      <c r="E199" s="401"/>
      <c r="F199" s="401"/>
      <c r="G199" s="401"/>
      <c r="H199" s="401"/>
      <c r="I199" s="401"/>
      <c r="J199" s="401"/>
      <c r="K199" s="401"/>
      <c r="L199" s="401"/>
      <c r="M199" s="401"/>
      <c r="N199" s="401"/>
      <c r="O199" s="401"/>
      <c r="P199" s="401"/>
      <c r="Q199" s="401"/>
      <c r="R199" s="401"/>
      <c r="S199" s="401"/>
    </row>
    <row r="200" spans="1:19" x14ac:dyDescent="0.2">
      <c r="A200" s="401"/>
      <c r="B200" s="401"/>
      <c r="C200" s="401"/>
      <c r="D200" s="401"/>
      <c r="E200" s="401"/>
      <c r="F200" s="401"/>
      <c r="G200" s="401"/>
      <c r="H200" s="401"/>
      <c r="I200" s="401"/>
      <c r="J200" s="401"/>
      <c r="K200" s="401"/>
      <c r="L200" s="401"/>
      <c r="M200" s="401"/>
      <c r="N200" s="401"/>
      <c r="O200" s="401"/>
      <c r="P200" s="401"/>
      <c r="Q200" s="401"/>
      <c r="R200" s="401"/>
      <c r="S200" s="401"/>
    </row>
    <row r="201" spans="1:19" x14ac:dyDescent="0.2">
      <c r="A201" s="401"/>
      <c r="B201" s="401"/>
      <c r="C201" s="401"/>
      <c r="D201" s="401"/>
      <c r="E201" s="401"/>
      <c r="F201" s="401"/>
      <c r="G201" s="401"/>
      <c r="H201" s="401"/>
      <c r="I201" s="401"/>
      <c r="J201" s="401"/>
      <c r="K201" s="401"/>
      <c r="L201" s="401"/>
      <c r="M201" s="401"/>
      <c r="N201" s="401"/>
      <c r="O201" s="401"/>
      <c r="P201" s="401"/>
      <c r="Q201" s="401"/>
      <c r="R201" s="401"/>
      <c r="S201" s="401"/>
    </row>
    <row r="202" spans="1:19" x14ac:dyDescent="0.2">
      <c r="A202" s="401"/>
      <c r="B202" s="401"/>
      <c r="C202" s="401"/>
      <c r="D202" s="401"/>
      <c r="E202" s="401"/>
      <c r="F202" s="401"/>
      <c r="G202" s="401"/>
      <c r="H202" s="401"/>
      <c r="I202" s="401"/>
      <c r="J202" s="401"/>
      <c r="K202" s="401"/>
      <c r="L202" s="401"/>
      <c r="M202" s="401"/>
      <c r="N202" s="401"/>
      <c r="O202" s="401"/>
      <c r="P202" s="401"/>
      <c r="Q202" s="401"/>
      <c r="R202" s="401"/>
      <c r="S202" s="401"/>
    </row>
    <row r="203" spans="1:19" x14ac:dyDescent="0.2">
      <c r="A203" s="401"/>
      <c r="B203" s="401"/>
      <c r="C203" s="401"/>
      <c r="D203" s="401"/>
      <c r="E203" s="401"/>
      <c r="F203" s="401"/>
      <c r="G203" s="401"/>
      <c r="H203" s="401"/>
      <c r="I203" s="401"/>
      <c r="J203" s="401"/>
      <c r="K203" s="401"/>
      <c r="L203" s="401"/>
      <c r="M203" s="401"/>
      <c r="N203" s="401"/>
      <c r="O203" s="401"/>
      <c r="P203" s="401"/>
      <c r="Q203" s="401"/>
      <c r="R203" s="401"/>
      <c r="S203" s="401"/>
    </row>
    <row r="204" spans="1:19" x14ac:dyDescent="0.2">
      <c r="A204" s="401"/>
      <c r="B204" s="401"/>
      <c r="C204" s="401"/>
      <c r="D204" s="401"/>
      <c r="E204" s="401"/>
      <c r="F204" s="401"/>
      <c r="G204" s="401"/>
      <c r="H204" s="401"/>
      <c r="I204" s="401"/>
      <c r="J204" s="401"/>
      <c r="K204" s="401"/>
      <c r="L204" s="401"/>
      <c r="M204" s="401"/>
      <c r="N204" s="401"/>
      <c r="O204" s="401"/>
      <c r="P204" s="401"/>
      <c r="Q204" s="401"/>
      <c r="R204" s="401"/>
      <c r="S204" s="401"/>
    </row>
    <row r="205" spans="1:19" x14ac:dyDescent="0.2">
      <c r="A205" s="401"/>
      <c r="B205" s="401"/>
      <c r="C205" s="401"/>
      <c r="D205" s="401"/>
      <c r="E205" s="401"/>
      <c r="F205" s="401"/>
      <c r="G205" s="401"/>
      <c r="H205" s="401"/>
      <c r="I205" s="401"/>
      <c r="J205" s="401"/>
      <c r="K205" s="401"/>
      <c r="L205" s="401"/>
      <c r="M205" s="401"/>
      <c r="N205" s="401"/>
      <c r="O205" s="401"/>
      <c r="P205" s="401"/>
      <c r="Q205" s="401"/>
      <c r="R205" s="401"/>
      <c r="S205" s="401"/>
    </row>
    <row r="206" spans="1:19" x14ac:dyDescent="0.2">
      <c r="A206" s="401"/>
      <c r="B206" s="401"/>
      <c r="C206" s="401"/>
      <c r="D206" s="401"/>
      <c r="E206" s="401"/>
      <c r="F206" s="401"/>
      <c r="G206" s="401"/>
      <c r="H206" s="401"/>
      <c r="I206" s="401"/>
      <c r="J206" s="401"/>
      <c r="K206" s="401"/>
      <c r="L206" s="401"/>
      <c r="M206" s="401"/>
      <c r="N206" s="401"/>
      <c r="O206" s="401"/>
      <c r="P206" s="401"/>
      <c r="Q206" s="401"/>
      <c r="R206" s="401"/>
      <c r="S206" s="401"/>
    </row>
    <row r="207" spans="1:19" x14ac:dyDescent="0.2">
      <c r="A207" s="401"/>
      <c r="B207" s="401"/>
      <c r="C207" s="401"/>
      <c r="D207" s="401"/>
      <c r="E207" s="401"/>
      <c r="F207" s="401"/>
      <c r="G207" s="401"/>
      <c r="H207" s="401"/>
      <c r="I207" s="401"/>
      <c r="J207" s="401"/>
      <c r="K207" s="401"/>
      <c r="L207" s="401"/>
      <c r="M207" s="401"/>
      <c r="N207" s="401"/>
      <c r="O207" s="401"/>
      <c r="P207" s="401"/>
      <c r="Q207" s="401"/>
      <c r="R207" s="401"/>
      <c r="S207" s="401"/>
    </row>
    <row r="208" spans="1:19" x14ac:dyDescent="0.2">
      <c r="A208" s="401"/>
      <c r="B208" s="401"/>
      <c r="C208" s="401"/>
      <c r="D208" s="401"/>
      <c r="E208" s="401"/>
      <c r="F208" s="401"/>
      <c r="G208" s="401"/>
      <c r="H208" s="401"/>
      <c r="I208" s="401"/>
      <c r="J208" s="401"/>
      <c r="K208" s="401"/>
      <c r="L208" s="401"/>
      <c r="M208" s="401"/>
      <c r="N208" s="401"/>
      <c r="O208" s="401"/>
      <c r="P208" s="401"/>
      <c r="Q208" s="401"/>
      <c r="R208" s="401"/>
      <c r="S208" s="401"/>
    </row>
    <row r="209" spans="1:19" x14ac:dyDescent="0.2">
      <c r="A209" s="401"/>
      <c r="B209" s="401"/>
      <c r="C209" s="401"/>
      <c r="D209" s="401"/>
      <c r="E209" s="401"/>
      <c r="F209" s="401"/>
      <c r="G209" s="401"/>
      <c r="H209" s="401"/>
      <c r="I209" s="401"/>
      <c r="J209" s="401"/>
      <c r="K209" s="401"/>
      <c r="L209" s="401"/>
      <c r="M209" s="401"/>
      <c r="N209" s="401"/>
      <c r="O209" s="401"/>
      <c r="P209" s="401"/>
      <c r="Q209" s="401"/>
      <c r="R209" s="401"/>
      <c r="S209" s="401"/>
    </row>
    <row r="210" spans="1:19" x14ac:dyDescent="0.2">
      <c r="A210" s="401"/>
      <c r="B210" s="401"/>
      <c r="C210" s="401"/>
      <c r="D210" s="401"/>
      <c r="E210" s="401"/>
      <c r="F210" s="401"/>
      <c r="G210" s="401"/>
      <c r="H210" s="401"/>
      <c r="I210" s="401"/>
      <c r="J210" s="401"/>
      <c r="K210" s="401"/>
      <c r="L210" s="401"/>
      <c r="M210" s="401"/>
      <c r="N210" s="401"/>
      <c r="O210" s="401"/>
      <c r="P210" s="401"/>
      <c r="Q210" s="401"/>
      <c r="R210" s="401"/>
      <c r="S210" s="401"/>
    </row>
    <row r="211" spans="1:19" x14ac:dyDescent="0.2">
      <c r="A211" s="401"/>
      <c r="B211" s="401"/>
      <c r="C211" s="401"/>
      <c r="D211" s="401"/>
      <c r="E211" s="401"/>
      <c r="F211" s="401"/>
      <c r="G211" s="401"/>
      <c r="H211" s="401"/>
      <c r="I211" s="401"/>
      <c r="J211" s="401"/>
      <c r="K211" s="401"/>
      <c r="L211" s="401"/>
      <c r="M211" s="401"/>
      <c r="N211" s="401"/>
      <c r="O211" s="401"/>
      <c r="P211" s="401"/>
      <c r="Q211" s="401"/>
      <c r="R211" s="401"/>
      <c r="S211" s="401"/>
    </row>
    <row r="212" spans="1:19" x14ac:dyDescent="0.2">
      <c r="A212" s="401"/>
      <c r="B212" s="401"/>
      <c r="C212" s="401"/>
      <c r="D212" s="401"/>
      <c r="E212" s="401"/>
      <c r="F212" s="401"/>
      <c r="G212" s="401"/>
      <c r="H212" s="401"/>
      <c r="I212" s="401"/>
      <c r="J212" s="401"/>
      <c r="K212" s="401"/>
      <c r="L212" s="401"/>
      <c r="M212" s="401"/>
      <c r="N212" s="401"/>
      <c r="O212" s="401"/>
      <c r="P212" s="401"/>
      <c r="Q212" s="401"/>
      <c r="R212" s="401"/>
      <c r="S212" s="401"/>
    </row>
    <row r="213" spans="1:19" x14ac:dyDescent="0.2">
      <c r="A213" s="401"/>
      <c r="B213" s="401"/>
      <c r="C213" s="401"/>
      <c r="D213" s="401"/>
      <c r="E213" s="401"/>
      <c r="F213" s="401"/>
      <c r="G213" s="401"/>
      <c r="H213" s="401"/>
      <c r="I213" s="401"/>
      <c r="J213" s="401"/>
      <c r="K213" s="401"/>
      <c r="L213" s="401"/>
      <c r="M213" s="401"/>
      <c r="N213" s="401"/>
      <c r="O213" s="401"/>
      <c r="P213" s="401"/>
      <c r="Q213" s="401"/>
      <c r="R213" s="401"/>
      <c r="S213" s="401"/>
    </row>
    <row r="214" spans="1:19" x14ac:dyDescent="0.2">
      <c r="A214" s="401"/>
      <c r="B214" s="401"/>
      <c r="C214" s="401"/>
      <c r="D214" s="401"/>
      <c r="E214" s="401"/>
      <c r="F214" s="401"/>
      <c r="G214" s="401"/>
      <c r="H214" s="401"/>
      <c r="I214" s="401"/>
      <c r="J214" s="401"/>
      <c r="K214" s="401"/>
      <c r="L214" s="401"/>
      <c r="M214" s="401"/>
      <c r="N214" s="401"/>
      <c r="O214" s="401"/>
      <c r="P214" s="401"/>
      <c r="Q214" s="401"/>
      <c r="R214" s="401"/>
      <c r="S214" s="401"/>
    </row>
    <row r="215" spans="1:19" x14ac:dyDescent="0.2">
      <c r="A215" s="401"/>
      <c r="B215" s="401"/>
      <c r="C215" s="401"/>
      <c r="D215" s="401"/>
      <c r="E215" s="401"/>
      <c r="F215" s="401"/>
      <c r="G215" s="401"/>
      <c r="H215" s="401"/>
      <c r="I215" s="401"/>
      <c r="J215" s="401"/>
      <c r="K215" s="401"/>
      <c r="L215" s="401"/>
      <c r="M215" s="401"/>
      <c r="N215" s="401"/>
      <c r="O215" s="401"/>
      <c r="P215" s="401"/>
      <c r="Q215" s="401"/>
      <c r="R215" s="401"/>
      <c r="S215" s="401"/>
    </row>
    <row r="216" spans="1:19" x14ac:dyDescent="0.2">
      <c r="A216" s="401"/>
      <c r="B216" s="401"/>
      <c r="C216" s="401"/>
      <c r="D216" s="401"/>
      <c r="E216" s="401"/>
      <c r="F216" s="401"/>
      <c r="G216" s="401"/>
      <c r="H216" s="401"/>
      <c r="I216" s="401"/>
      <c r="J216" s="401"/>
      <c r="K216" s="401"/>
      <c r="L216" s="401"/>
      <c r="M216" s="401"/>
      <c r="N216" s="401"/>
      <c r="O216" s="401"/>
      <c r="P216" s="401"/>
      <c r="Q216" s="401"/>
      <c r="R216" s="401"/>
      <c r="S216" s="401"/>
    </row>
    <row r="217" spans="1:19" x14ac:dyDescent="0.2">
      <c r="A217" s="401"/>
      <c r="B217" s="401"/>
      <c r="C217" s="401"/>
      <c r="D217" s="401"/>
      <c r="E217" s="401"/>
      <c r="F217" s="401"/>
      <c r="G217" s="401"/>
      <c r="H217" s="401"/>
      <c r="I217" s="401"/>
      <c r="J217" s="401"/>
      <c r="K217" s="401"/>
      <c r="L217" s="401"/>
      <c r="M217" s="401"/>
      <c r="N217" s="401"/>
      <c r="O217" s="401"/>
      <c r="P217" s="401"/>
      <c r="Q217" s="401"/>
      <c r="R217" s="401"/>
      <c r="S217" s="401"/>
    </row>
    <row r="218" spans="1:19" x14ac:dyDescent="0.2">
      <c r="A218" s="401"/>
      <c r="B218" s="401"/>
      <c r="C218" s="401"/>
      <c r="D218" s="401"/>
      <c r="E218" s="401"/>
      <c r="F218" s="401"/>
      <c r="G218" s="401"/>
      <c r="H218" s="401"/>
      <c r="I218" s="401"/>
      <c r="J218" s="401"/>
      <c r="K218" s="401"/>
      <c r="L218" s="401"/>
      <c r="M218" s="401"/>
      <c r="N218" s="401"/>
      <c r="O218" s="401"/>
      <c r="P218" s="401"/>
      <c r="Q218" s="401"/>
      <c r="R218" s="401"/>
      <c r="S218" s="401"/>
    </row>
    <row r="219" spans="1:19" x14ac:dyDescent="0.2">
      <c r="A219" s="401"/>
      <c r="B219" s="401"/>
      <c r="C219" s="401"/>
      <c r="D219" s="401"/>
      <c r="E219" s="401"/>
      <c r="F219" s="401"/>
      <c r="G219" s="401"/>
      <c r="H219" s="401"/>
      <c r="I219" s="401"/>
      <c r="J219" s="401"/>
      <c r="K219" s="401"/>
      <c r="L219" s="401"/>
      <c r="M219" s="401"/>
      <c r="N219" s="401"/>
      <c r="O219" s="401"/>
      <c r="P219" s="401"/>
      <c r="Q219" s="401"/>
      <c r="R219" s="401"/>
      <c r="S219" s="401"/>
    </row>
    <row r="220" spans="1:19" x14ac:dyDescent="0.2">
      <c r="A220" s="401"/>
      <c r="B220" s="401"/>
      <c r="C220" s="401"/>
      <c r="D220" s="401"/>
      <c r="E220" s="401"/>
      <c r="F220" s="401"/>
      <c r="G220" s="401"/>
      <c r="H220" s="401"/>
      <c r="I220" s="401"/>
      <c r="J220" s="401"/>
      <c r="K220" s="401"/>
      <c r="L220" s="401"/>
      <c r="M220" s="401"/>
      <c r="N220" s="401"/>
      <c r="O220" s="401"/>
      <c r="P220" s="401"/>
      <c r="Q220" s="401"/>
      <c r="R220" s="401"/>
      <c r="S220" s="401"/>
    </row>
    <row r="221" spans="1:19" x14ac:dyDescent="0.2">
      <c r="A221" s="401"/>
      <c r="B221" s="401"/>
      <c r="C221" s="401"/>
      <c r="D221" s="401"/>
      <c r="E221" s="401"/>
      <c r="F221" s="401"/>
      <c r="G221" s="401"/>
      <c r="H221" s="401"/>
      <c r="I221" s="401"/>
      <c r="J221" s="401"/>
      <c r="K221" s="401"/>
      <c r="L221" s="401"/>
      <c r="M221" s="401"/>
      <c r="N221" s="401"/>
      <c r="O221" s="401"/>
      <c r="P221" s="401"/>
      <c r="Q221" s="401"/>
      <c r="R221" s="401"/>
      <c r="S221" s="401"/>
    </row>
    <row r="222" spans="1:19" x14ac:dyDescent="0.2">
      <c r="A222" s="401"/>
      <c r="B222" s="401"/>
      <c r="C222" s="401"/>
      <c r="D222" s="401"/>
      <c r="E222" s="401"/>
      <c r="F222" s="401"/>
      <c r="G222" s="401"/>
      <c r="H222" s="401"/>
      <c r="I222" s="401"/>
      <c r="J222" s="401"/>
      <c r="K222" s="401"/>
      <c r="L222" s="401"/>
      <c r="M222" s="401"/>
      <c r="N222" s="401"/>
      <c r="O222" s="401"/>
      <c r="P222" s="401"/>
      <c r="Q222" s="401"/>
      <c r="R222" s="401"/>
      <c r="S222" s="401"/>
    </row>
    <row r="223" spans="1:19" x14ac:dyDescent="0.2">
      <c r="A223" s="401"/>
      <c r="B223" s="401"/>
      <c r="C223" s="401"/>
      <c r="D223" s="401"/>
      <c r="E223" s="401"/>
      <c r="F223" s="401"/>
      <c r="G223" s="401"/>
      <c r="H223" s="401"/>
      <c r="I223" s="401"/>
      <c r="J223" s="401"/>
      <c r="K223" s="401"/>
      <c r="L223" s="401"/>
      <c r="M223" s="401"/>
      <c r="N223" s="401"/>
      <c r="O223" s="401"/>
      <c r="P223" s="401"/>
      <c r="Q223" s="401"/>
      <c r="R223" s="401"/>
      <c r="S223" s="401"/>
    </row>
    <row r="224" spans="1:19" x14ac:dyDescent="0.2">
      <c r="A224" s="401"/>
      <c r="B224" s="401"/>
      <c r="C224" s="401"/>
      <c r="D224" s="401"/>
      <c r="E224" s="401"/>
      <c r="F224" s="401"/>
      <c r="G224" s="401"/>
      <c r="H224" s="401"/>
      <c r="I224" s="401"/>
      <c r="J224" s="401"/>
      <c r="K224" s="401"/>
      <c r="L224" s="401"/>
      <c r="M224" s="401"/>
      <c r="N224" s="401"/>
      <c r="O224" s="401"/>
      <c r="P224" s="401"/>
      <c r="Q224" s="401"/>
      <c r="R224" s="401"/>
      <c r="S224" s="401"/>
    </row>
    <row r="225" spans="1:19" x14ac:dyDescent="0.2">
      <c r="A225" s="401"/>
      <c r="B225" s="401"/>
      <c r="C225" s="401"/>
      <c r="D225" s="401"/>
      <c r="E225" s="401"/>
      <c r="F225" s="401"/>
      <c r="G225" s="401"/>
      <c r="H225" s="401"/>
      <c r="I225" s="401"/>
      <c r="J225" s="401"/>
      <c r="K225" s="401"/>
      <c r="L225" s="401"/>
      <c r="M225" s="401"/>
      <c r="N225" s="401"/>
      <c r="O225" s="401"/>
      <c r="P225" s="401"/>
      <c r="Q225" s="401"/>
      <c r="R225" s="401"/>
      <c r="S225" s="401"/>
    </row>
    <row r="226" spans="1:19" x14ac:dyDescent="0.2">
      <c r="A226" s="401"/>
      <c r="B226" s="401"/>
      <c r="C226" s="401"/>
      <c r="D226" s="401"/>
      <c r="E226" s="401"/>
      <c r="F226" s="401"/>
      <c r="G226" s="401"/>
      <c r="H226" s="401"/>
      <c r="I226" s="401"/>
      <c r="J226" s="401"/>
      <c r="K226" s="401"/>
      <c r="L226" s="401"/>
      <c r="M226" s="401"/>
      <c r="N226" s="401"/>
      <c r="O226" s="401"/>
      <c r="P226" s="401"/>
      <c r="Q226" s="401"/>
      <c r="R226" s="401"/>
      <c r="S226" s="401"/>
    </row>
    <row r="227" spans="1:19" x14ac:dyDescent="0.2">
      <c r="A227" s="401"/>
      <c r="B227" s="401"/>
      <c r="C227" s="401"/>
      <c r="D227" s="401"/>
      <c r="E227" s="401"/>
      <c r="F227" s="401"/>
      <c r="G227" s="401"/>
      <c r="H227" s="401"/>
      <c r="I227" s="401"/>
      <c r="J227" s="401"/>
      <c r="K227" s="401"/>
      <c r="L227" s="401"/>
      <c r="M227" s="401"/>
      <c r="N227" s="401"/>
      <c r="O227" s="401"/>
      <c r="P227" s="401"/>
      <c r="Q227" s="401"/>
      <c r="R227" s="401"/>
      <c r="S227" s="401"/>
    </row>
    <row r="228" spans="1:19" x14ac:dyDescent="0.2">
      <c r="A228" s="401"/>
      <c r="B228" s="401"/>
      <c r="C228" s="401"/>
      <c r="D228" s="401"/>
      <c r="E228" s="401"/>
      <c r="F228" s="401"/>
      <c r="G228" s="401"/>
      <c r="H228" s="401"/>
      <c r="I228" s="401"/>
      <c r="J228" s="401"/>
      <c r="K228" s="401"/>
      <c r="L228" s="401"/>
      <c r="M228" s="401"/>
      <c r="N228" s="401"/>
      <c r="O228" s="401"/>
      <c r="P228" s="401"/>
      <c r="Q228" s="401"/>
      <c r="R228" s="401"/>
      <c r="S228" s="401"/>
    </row>
    <row r="229" spans="1:19" x14ac:dyDescent="0.2">
      <c r="A229" s="401"/>
      <c r="B229" s="401"/>
      <c r="C229" s="401"/>
      <c r="D229" s="401"/>
      <c r="E229" s="401"/>
      <c r="F229" s="401"/>
      <c r="G229" s="401"/>
      <c r="H229" s="401"/>
      <c r="I229" s="401"/>
      <c r="J229" s="401"/>
      <c r="K229" s="401"/>
      <c r="L229" s="401"/>
      <c r="M229" s="401"/>
      <c r="N229" s="401"/>
      <c r="O229" s="401"/>
      <c r="P229" s="401"/>
      <c r="Q229" s="401"/>
      <c r="R229" s="401"/>
      <c r="S229" s="401"/>
    </row>
    <row r="230" spans="1:19" x14ac:dyDescent="0.2">
      <c r="A230" s="401"/>
      <c r="B230" s="401"/>
      <c r="C230" s="401"/>
      <c r="D230" s="401"/>
      <c r="E230" s="401"/>
      <c r="F230" s="401"/>
      <c r="G230" s="401"/>
      <c r="H230" s="401"/>
      <c r="I230" s="401"/>
      <c r="J230" s="401"/>
      <c r="K230" s="401"/>
      <c r="L230" s="401"/>
      <c r="M230" s="401"/>
      <c r="N230" s="401"/>
      <c r="O230" s="401"/>
      <c r="P230" s="401"/>
      <c r="Q230" s="401"/>
      <c r="R230" s="401"/>
      <c r="S230" s="401"/>
    </row>
    <row r="231" spans="1:19" x14ac:dyDescent="0.2">
      <c r="A231" s="401"/>
      <c r="B231" s="401"/>
      <c r="C231" s="401"/>
      <c r="D231" s="401"/>
      <c r="E231" s="401"/>
      <c r="F231" s="401"/>
      <c r="G231" s="401"/>
      <c r="H231" s="401"/>
      <c r="I231" s="401"/>
      <c r="J231" s="401"/>
      <c r="K231" s="401"/>
      <c r="L231" s="401"/>
      <c r="M231" s="401"/>
      <c r="N231" s="401"/>
      <c r="O231" s="401"/>
      <c r="P231" s="401"/>
      <c r="Q231" s="401"/>
      <c r="R231" s="401"/>
      <c r="S231" s="401"/>
    </row>
    <row r="232" spans="1:19" x14ac:dyDescent="0.2">
      <c r="A232" s="401"/>
      <c r="B232" s="401"/>
      <c r="C232" s="401"/>
      <c r="D232" s="401"/>
      <c r="E232" s="401"/>
      <c r="F232" s="401"/>
      <c r="G232" s="401"/>
      <c r="H232" s="401"/>
      <c r="I232" s="401"/>
      <c r="J232" s="401"/>
      <c r="K232" s="401"/>
      <c r="L232" s="401"/>
      <c r="M232" s="401"/>
      <c r="N232" s="401"/>
      <c r="O232" s="401"/>
      <c r="P232" s="401"/>
      <c r="Q232" s="401"/>
      <c r="R232" s="401"/>
      <c r="S232" s="401"/>
    </row>
    <row r="233" spans="1:19" x14ac:dyDescent="0.2">
      <c r="A233" s="401"/>
      <c r="B233" s="401"/>
      <c r="C233" s="401"/>
      <c r="D233" s="401"/>
      <c r="E233" s="401"/>
      <c r="F233" s="401"/>
      <c r="G233" s="401"/>
      <c r="H233" s="401"/>
      <c r="I233" s="401"/>
      <c r="J233" s="401"/>
      <c r="K233" s="401"/>
      <c r="L233" s="401"/>
      <c r="M233" s="401"/>
      <c r="N233" s="401"/>
      <c r="O233" s="401"/>
      <c r="P233" s="401"/>
      <c r="Q233" s="401"/>
      <c r="R233" s="401"/>
      <c r="S233" s="401"/>
    </row>
    <row r="234" spans="1:19" x14ac:dyDescent="0.2">
      <c r="A234" s="401"/>
      <c r="B234" s="401"/>
      <c r="C234" s="401"/>
      <c r="D234" s="401"/>
      <c r="E234" s="401"/>
      <c r="F234" s="401"/>
      <c r="G234" s="401"/>
      <c r="H234" s="401"/>
      <c r="I234" s="401"/>
      <c r="J234" s="401"/>
      <c r="K234" s="401"/>
      <c r="L234" s="401"/>
      <c r="M234" s="401"/>
      <c r="N234" s="401"/>
      <c r="O234" s="401"/>
      <c r="P234" s="401"/>
      <c r="Q234" s="401"/>
      <c r="R234" s="401"/>
      <c r="S234" s="401"/>
    </row>
    <row r="235" spans="1:19" x14ac:dyDescent="0.2">
      <c r="A235" s="401"/>
      <c r="B235" s="401"/>
      <c r="C235" s="401"/>
      <c r="D235" s="401"/>
      <c r="E235" s="401"/>
      <c r="F235" s="401"/>
      <c r="G235" s="401"/>
      <c r="H235" s="401"/>
      <c r="I235" s="401"/>
      <c r="J235" s="401"/>
      <c r="K235" s="401"/>
      <c r="L235" s="401"/>
      <c r="M235" s="401"/>
      <c r="N235" s="401"/>
      <c r="O235" s="401"/>
      <c r="P235" s="401"/>
      <c r="Q235" s="401"/>
      <c r="R235" s="401"/>
      <c r="S235" s="401"/>
    </row>
    <row r="236" spans="1:19" x14ac:dyDescent="0.2">
      <c r="A236" s="401"/>
      <c r="B236" s="401"/>
      <c r="C236" s="401"/>
      <c r="D236" s="401"/>
      <c r="E236" s="401"/>
      <c r="F236" s="401"/>
      <c r="G236" s="401"/>
      <c r="H236" s="401"/>
      <c r="I236" s="401"/>
      <c r="J236" s="401"/>
      <c r="K236" s="401"/>
      <c r="L236" s="401"/>
      <c r="M236" s="401"/>
      <c r="N236" s="401"/>
      <c r="O236" s="401"/>
      <c r="P236" s="401"/>
      <c r="Q236" s="401"/>
      <c r="R236" s="401"/>
      <c r="S236" s="401"/>
    </row>
    <row r="237" spans="1:19" x14ac:dyDescent="0.2">
      <c r="A237" s="401"/>
      <c r="B237" s="401"/>
      <c r="C237" s="401"/>
      <c r="D237" s="401"/>
      <c r="E237" s="401"/>
      <c r="F237" s="401"/>
      <c r="G237" s="401"/>
      <c r="H237" s="401"/>
      <c r="I237" s="401"/>
      <c r="J237" s="401"/>
      <c r="K237" s="401"/>
      <c r="L237" s="401"/>
      <c r="M237" s="401"/>
      <c r="N237" s="401"/>
      <c r="O237" s="401"/>
      <c r="P237" s="401"/>
      <c r="Q237" s="401"/>
      <c r="R237" s="401"/>
      <c r="S237" s="401"/>
    </row>
    <row r="238" spans="1:19" x14ac:dyDescent="0.2">
      <c r="A238" s="401"/>
      <c r="B238" s="401"/>
      <c r="C238" s="401"/>
      <c r="D238" s="401"/>
      <c r="E238" s="401"/>
      <c r="F238" s="401"/>
      <c r="G238" s="401"/>
      <c r="H238" s="401"/>
      <c r="I238" s="401"/>
      <c r="J238" s="401"/>
      <c r="K238" s="401"/>
      <c r="L238" s="401"/>
      <c r="M238" s="401"/>
      <c r="N238" s="401"/>
      <c r="O238" s="401"/>
      <c r="P238" s="401"/>
      <c r="Q238" s="401"/>
      <c r="R238" s="401"/>
      <c r="S238" s="401"/>
    </row>
    <row r="239" spans="1:19" x14ac:dyDescent="0.2">
      <c r="A239" s="401"/>
      <c r="B239" s="401"/>
      <c r="C239" s="401"/>
      <c r="D239" s="401"/>
      <c r="E239" s="401"/>
      <c r="F239" s="401"/>
      <c r="G239" s="401"/>
      <c r="H239" s="401"/>
      <c r="I239" s="401"/>
      <c r="J239" s="401"/>
      <c r="K239" s="401"/>
      <c r="L239" s="401"/>
      <c r="M239" s="401"/>
      <c r="N239" s="401"/>
      <c r="O239" s="401"/>
      <c r="P239" s="401"/>
      <c r="Q239" s="401"/>
      <c r="R239" s="401"/>
      <c r="S239" s="401"/>
    </row>
    <row r="240" spans="1:19" x14ac:dyDescent="0.2">
      <c r="A240" s="401"/>
      <c r="B240" s="401"/>
      <c r="C240" s="401"/>
      <c r="D240" s="401"/>
      <c r="E240" s="401"/>
      <c r="F240" s="401"/>
      <c r="G240" s="401"/>
      <c r="H240" s="401"/>
      <c r="I240" s="401"/>
      <c r="J240" s="401"/>
      <c r="K240" s="401"/>
      <c r="L240" s="401"/>
      <c r="M240" s="401"/>
      <c r="N240" s="401"/>
      <c r="O240" s="401"/>
      <c r="P240" s="401"/>
      <c r="Q240" s="401"/>
      <c r="R240" s="401"/>
      <c r="S240" s="401"/>
    </row>
    <row r="241" spans="1:19" x14ac:dyDescent="0.2">
      <c r="A241" s="401"/>
      <c r="B241" s="401"/>
      <c r="C241" s="401"/>
      <c r="D241" s="401"/>
      <c r="E241" s="401"/>
      <c r="F241" s="401"/>
      <c r="G241" s="401"/>
      <c r="H241" s="401"/>
      <c r="I241" s="401"/>
      <c r="J241" s="401"/>
      <c r="K241" s="401"/>
      <c r="L241" s="401"/>
      <c r="M241" s="401"/>
      <c r="N241" s="401"/>
      <c r="O241" s="401"/>
      <c r="P241" s="401"/>
      <c r="Q241" s="401"/>
      <c r="R241" s="401"/>
      <c r="S241" s="401"/>
    </row>
    <row r="242" spans="1:19" x14ac:dyDescent="0.2">
      <c r="A242" s="401"/>
      <c r="B242" s="401"/>
      <c r="C242" s="401"/>
      <c r="D242" s="401"/>
      <c r="E242" s="401"/>
      <c r="F242" s="401"/>
      <c r="G242" s="401"/>
      <c r="H242" s="401"/>
      <c r="I242" s="401"/>
      <c r="J242" s="401"/>
      <c r="K242" s="401"/>
      <c r="L242" s="401"/>
      <c r="M242" s="401"/>
      <c r="N242" s="401"/>
      <c r="O242" s="401"/>
      <c r="P242" s="401"/>
      <c r="Q242" s="401"/>
      <c r="R242" s="401"/>
      <c r="S242" s="401"/>
    </row>
    <row r="243" spans="1:19" x14ac:dyDescent="0.2">
      <c r="A243" s="401"/>
      <c r="B243" s="401"/>
      <c r="C243" s="401"/>
      <c r="D243" s="401"/>
      <c r="E243" s="401"/>
      <c r="F243" s="401"/>
      <c r="G243" s="401"/>
      <c r="H243" s="401"/>
      <c r="I243" s="401"/>
      <c r="J243" s="401"/>
      <c r="K243" s="401"/>
      <c r="L243" s="401"/>
      <c r="M243" s="401"/>
      <c r="N243" s="401"/>
      <c r="O243" s="401"/>
      <c r="P243" s="401"/>
      <c r="Q243" s="401"/>
      <c r="R243" s="401"/>
      <c r="S243" s="401"/>
    </row>
    <row r="244" spans="1:19" x14ac:dyDescent="0.2">
      <c r="A244" s="401"/>
      <c r="B244" s="401"/>
      <c r="C244" s="401"/>
      <c r="D244" s="401"/>
      <c r="E244" s="401"/>
      <c r="F244" s="401"/>
      <c r="G244" s="401"/>
      <c r="H244" s="401"/>
      <c r="I244" s="401"/>
      <c r="J244" s="401"/>
      <c r="K244" s="401"/>
      <c r="L244" s="401"/>
      <c r="M244" s="401"/>
      <c r="N244" s="401"/>
      <c r="O244" s="401"/>
      <c r="P244" s="401"/>
      <c r="Q244" s="401"/>
      <c r="R244" s="401"/>
      <c r="S244" s="401"/>
    </row>
    <row r="245" spans="1:19" x14ac:dyDescent="0.2">
      <c r="A245" s="401"/>
      <c r="B245" s="401"/>
      <c r="C245" s="401"/>
      <c r="D245" s="401"/>
      <c r="E245" s="401"/>
      <c r="F245" s="401"/>
      <c r="G245" s="401"/>
      <c r="H245" s="401"/>
      <c r="I245" s="401"/>
      <c r="J245" s="401"/>
      <c r="K245" s="401"/>
      <c r="L245" s="401"/>
      <c r="M245" s="401"/>
      <c r="N245" s="401"/>
      <c r="O245" s="401"/>
      <c r="P245" s="401"/>
      <c r="Q245" s="401"/>
      <c r="R245" s="401"/>
      <c r="S245" s="401"/>
    </row>
    <row r="246" spans="1:19" x14ac:dyDescent="0.2">
      <c r="A246" s="401"/>
      <c r="B246" s="401"/>
      <c r="C246" s="401"/>
      <c r="D246" s="401"/>
      <c r="E246" s="401"/>
      <c r="F246" s="401"/>
      <c r="G246" s="401"/>
      <c r="H246" s="401"/>
      <c r="I246" s="401"/>
      <c r="J246" s="401"/>
      <c r="K246" s="401"/>
      <c r="L246" s="401"/>
      <c r="M246" s="401"/>
      <c r="N246" s="401"/>
      <c r="O246" s="401"/>
      <c r="P246" s="401"/>
      <c r="Q246" s="401"/>
      <c r="R246" s="401"/>
      <c r="S246" s="401"/>
    </row>
    <row r="247" spans="1:19" x14ac:dyDescent="0.2">
      <c r="A247" s="401"/>
      <c r="B247" s="401"/>
      <c r="C247" s="401"/>
      <c r="D247" s="401"/>
      <c r="E247" s="401"/>
      <c r="F247" s="401"/>
      <c r="G247" s="401"/>
      <c r="H247" s="401"/>
      <c r="I247" s="401"/>
      <c r="J247" s="401"/>
      <c r="K247" s="401"/>
      <c r="L247" s="401"/>
      <c r="M247" s="401"/>
      <c r="N247" s="401"/>
      <c r="O247" s="401"/>
      <c r="P247" s="401"/>
      <c r="Q247" s="401"/>
      <c r="R247" s="401"/>
      <c r="S247" s="401"/>
    </row>
    <row r="248" spans="1:19" x14ac:dyDescent="0.2">
      <c r="A248" s="401"/>
      <c r="B248" s="401"/>
      <c r="C248" s="401"/>
      <c r="D248" s="401"/>
      <c r="E248" s="401"/>
      <c r="F248" s="401"/>
      <c r="G248" s="401"/>
      <c r="H248" s="401"/>
      <c r="I248" s="401"/>
      <c r="J248" s="401"/>
      <c r="K248" s="401"/>
      <c r="L248" s="401"/>
      <c r="M248" s="401"/>
      <c r="N248" s="401"/>
      <c r="O248" s="401"/>
      <c r="P248" s="401"/>
      <c r="Q248" s="401"/>
      <c r="R248" s="401"/>
      <c r="S248" s="401"/>
    </row>
    <row r="249" spans="1:19" x14ac:dyDescent="0.2">
      <c r="A249" s="401"/>
      <c r="B249" s="401"/>
      <c r="C249" s="401"/>
      <c r="D249" s="401"/>
      <c r="E249" s="401"/>
      <c r="F249" s="401"/>
      <c r="G249" s="401"/>
      <c r="H249" s="401"/>
      <c r="I249" s="401"/>
      <c r="J249" s="401"/>
      <c r="K249" s="401"/>
      <c r="L249" s="401"/>
      <c r="M249" s="401"/>
      <c r="N249" s="401"/>
      <c r="O249" s="401"/>
      <c r="P249" s="401"/>
      <c r="Q249" s="401"/>
      <c r="R249" s="401"/>
      <c r="S249" s="401"/>
    </row>
    <row r="250" spans="1:19" x14ac:dyDescent="0.2">
      <c r="A250" s="401"/>
      <c r="B250" s="401"/>
      <c r="C250" s="401"/>
      <c r="D250" s="401"/>
      <c r="E250" s="401"/>
      <c r="F250" s="401"/>
      <c r="G250" s="401"/>
      <c r="H250" s="401"/>
      <c r="I250" s="401"/>
      <c r="J250" s="401"/>
      <c r="K250" s="401"/>
      <c r="L250" s="401"/>
      <c r="M250" s="401"/>
      <c r="N250" s="401"/>
      <c r="O250" s="401"/>
      <c r="P250" s="401"/>
      <c r="Q250" s="401"/>
      <c r="R250" s="401"/>
      <c r="S250" s="401"/>
    </row>
    <row r="251" spans="1:19" x14ac:dyDescent="0.2">
      <c r="A251" s="401"/>
      <c r="B251" s="401"/>
      <c r="C251" s="401"/>
      <c r="D251" s="401"/>
      <c r="E251" s="401"/>
      <c r="F251" s="401"/>
      <c r="G251" s="401"/>
      <c r="H251" s="401"/>
      <c r="I251" s="401"/>
      <c r="J251" s="401"/>
      <c r="K251" s="401"/>
      <c r="L251" s="401"/>
      <c r="M251" s="401"/>
      <c r="N251" s="401"/>
      <c r="O251" s="401"/>
      <c r="P251" s="401"/>
      <c r="Q251" s="401"/>
      <c r="R251" s="401"/>
      <c r="S251" s="401"/>
    </row>
    <row r="252" spans="1:19" x14ac:dyDescent="0.2">
      <c r="A252" s="401"/>
      <c r="B252" s="401"/>
      <c r="C252" s="401"/>
      <c r="D252" s="401"/>
      <c r="E252" s="401"/>
      <c r="F252" s="401"/>
      <c r="G252" s="401"/>
      <c r="H252" s="401"/>
      <c r="I252" s="401"/>
      <c r="J252" s="401"/>
      <c r="K252" s="401"/>
      <c r="L252" s="401"/>
      <c r="M252" s="401"/>
      <c r="N252" s="401"/>
      <c r="O252" s="401"/>
      <c r="P252" s="401"/>
      <c r="Q252" s="401"/>
      <c r="R252" s="401"/>
      <c r="S252" s="401"/>
    </row>
    <row r="253" spans="1:19" x14ac:dyDescent="0.2">
      <c r="A253" s="401"/>
      <c r="B253" s="401"/>
      <c r="C253" s="401"/>
      <c r="D253" s="401"/>
      <c r="E253" s="401"/>
      <c r="F253" s="401"/>
      <c r="G253" s="401"/>
      <c r="H253" s="401"/>
      <c r="I253" s="401"/>
      <c r="J253" s="401"/>
      <c r="K253" s="401"/>
      <c r="L253" s="401"/>
      <c r="M253" s="401"/>
      <c r="N253" s="401"/>
      <c r="O253" s="401"/>
      <c r="P253" s="401"/>
      <c r="Q253" s="401"/>
      <c r="R253" s="401"/>
      <c r="S253" s="401"/>
    </row>
    <row r="254" spans="1:19" x14ac:dyDescent="0.2">
      <c r="A254" s="401"/>
      <c r="B254" s="401"/>
      <c r="C254" s="401"/>
      <c r="D254" s="401"/>
      <c r="E254" s="401"/>
      <c r="F254" s="401"/>
      <c r="G254" s="401"/>
      <c r="H254" s="401"/>
      <c r="I254" s="401"/>
      <c r="J254" s="401"/>
      <c r="K254" s="401"/>
      <c r="L254" s="401"/>
      <c r="M254" s="401"/>
      <c r="N254" s="401"/>
      <c r="O254" s="401"/>
      <c r="P254" s="401"/>
      <c r="Q254" s="401"/>
      <c r="R254" s="401"/>
      <c r="S254" s="401"/>
    </row>
    <row r="255" spans="1:19" x14ac:dyDescent="0.2">
      <c r="A255" s="401"/>
      <c r="B255" s="401"/>
      <c r="C255" s="401"/>
      <c r="D255" s="401"/>
      <c r="E255" s="401"/>
      <c r="F255" s="401"/>
      <c r="G255" s="401"/>
      <c r="H255" s="401"/>
      <c r="I255" s="401"/>
      <c r="J255" s="401"/>
      <c r="K255" s="401"/>
      <c r="L255" s="401"/>
      <c r="M255" s="401"/>
      <c r="N255" s="401"/>
      <c r="O255" s="401"/>
      <c r="P255" s="401"/>
      <c r="Q255" s="401"/>
      <c r="R255" s="401"/>
      <c r="S255" s="401"/>
    </row>
    <row r="256" spans="1:19" x14ac:dyDescent="0.2">
      <c r="A256" s="401"/>
      <c r="B256" s="401"/>
      <c r="C256" s="401"/>
      <c r="D256" s="401"/>
      <c r="E256" s="401"/>
      <c r="F256" s="401"/>
      <c r="G256" s="401"/>
      <c r="H256" s="401"/>
      <c r="I256" s="401"/>
      <c r="J256" s="401"/>
      <c r="K256" s="401"/>
      <c r="L256" s="401"/>
      <c r="M256" s="401"/>
      <c r="N256" s="401"/>
      <c r="O256" s="401"/>
      <c r="P256" s="401"/>
      <c r="Q256" s="401"/>
      <c r="R256" s="401"/>
      <c r="S256" s="401"/>
    </row>
    <row r="257" spans="1:19" x14ac:dyDescent="0.2">
      <c r="A257" s="401"/>
      <c r="B257" s="401"/>
      <c r="C257" s="401"/>
      <c r="D257" s="401"/>
      <c r="E257" s="401"/>
      <c r="F257" s="401"/>
      <c r="G257" s="401"/>
      <c r="H257" s="401"/>
      <c r="I257" s="401"/>
      <c r="J257" s="401"/>
      <c r="K257" s="401"/>
      <c r="L257" s="401"/>
      <c r="M257" s="401"/>
      <c r="N257" s="401"/>
      <c r="O257" s="401"/>
      <c r="P257" s="401"/>
      <c r="Q257" s="401"/>
      <c r="R257" s="401"/>
      <c r="S257" s="401"/>
    </row>
    <row r="258" spans="1:19" x14ac:dyDescent="0.2">
      <c r="A258" s="401"/>
      <c r="B258" s="401"/>
      <c r="C258" s="401"/>
      <c r="D258" s="401"/>
      <c r="E258" s="401"/>
      <c r="F258" s="401"/>
      <c r="G258" s="401"/>
      <c r="H258" s="401"/>
      <c r="I258" s="401"/>
      <c r="J258" s="401"/>
      <c r="K258" s="401"/>
      <c r="L258" s="401"/>
      <c r="M258" s="401"/>
      <c r="N258" s="401"/>
      <c r="O258" s="401"/>
      <c r="P258" s="401"/>
      <c r="Q258" s="401"/>
      <c r="R258" s="401"/>
      <c r="S258" s="401"/>
    </row>
    <row r="259" spans="1:19" x14ac:dyDescent="0.2">
      <c r="A259" s="401"/>
      <c r="B259" s="401"/>
      <c r="C259" s="401"/>
      <c r="D259" s="401"/>
      <c r="E259" s="401"/>
      <c r="F259" s="401"/>
      <c r="G259" s="401"/>
      <c r="H259" s="401"/>
      <c r="I259" s="401"/>
      <c r="J259" s="401"/>
      <c r="K259" s="401"/>
      <c r="L259" s="401"/>
      <c r="M259" s="401"/>
      <c r="N259" s="401"/>
      <c r="O259" s="401"/>
      <c r="P259" s="401"/>
      <c r="Q259" s="401"/>
      <c r="R259" s="401"/>
      <c r="S259" s="401"/>
    </row>
    <row r="260" spans="1:19" x14ac:dyDescent="0.2">
      <c r="A260" s="401"/>
      <c r="B260" s="401"/>
      <c r="C260" s="401"/>
      <c r="D260" s="401"/>
      <c r="E260" s="401"/>
      <c r="F260" s="401"/>
      <c r="G260" s="401"/>
      <c r="H260" s="401"/>
      <c r="I260" s="401"/>
      <c r="J260" s="401"/>
      <c r="K260" s="401"/>
      <c r="L260" s="401"/>
      <c r="M260" s="401"/>
      <c r="N260" s="401"/>
      <c r="O260" s="401"/>
      <c r="P260" s="401"/>
      <c r="Q260" s="401"/>
      <c r="R260" s="401"/>
      <c r="S260" s="401"/>
    </row>
    <row r="261" spans="1:19" x14ac:dyDescent="0.2">
      <c r="A261" s="401"/>
      <c r="B261" s="401"/>
      <c r="C261" s="401"/>
      <c r="D261" s="401"/>
      <c r="E261" s="401"/>
      <c r="F261" s="401"/>
      <c r="G261" s="401"/>
      <c r="H261" s="401"/>
      <c r="I261" s="401"/>
      <c r="J261" s="401"/>
      <c r="K261" s="401"/>
      <c r="L261" s="401"/>
      <c r="M261" s="401"/>
      <c r="N261" s="401"/>
      <c r="O261" s="401"/>
      <c r="P261" s="401"/>
      <c r="Q261" s="401"/>
      <c r="R261" s="401"/>
      <c r="S261" s="401"/>
    </row>
    <row r="262" spans="1:19" x14ac:dyDescent="0.2">
      <c r="A262" s="401"/>
      <c r="B262" s="401"/>
      <c r="C262" s="401"/>
      <c r="D262" s="401"/>
      <c r="E262" s="401"/>
      <c r="F262" s="401"/>
      <c r="G262" s="401"/>
      <c r="H262" s="401"/>
      <c r="I262" s="401"/>
      <c r="J262" s="401"/>
      <c r="K262" s="401"/>
      <c r="L262" s="401"/>
      <c r="M262" s="401"/>
      <c r="N262" s="401"/>
      <c r="O262" s="401"/>
      <c r="P262" s="401"/>
      <c r="Q262" s="401"/>
      <c r="R262" s="401"/>
      <c r="S262" s="401"/>
    </row>
    <row r="263" spans="1:19" x14ac:dyDescent="0.2">
      <c r="A263" s="401"/>
      <c r="B263" s="401"/>
      <c r="C263" s="401"/>
      <c r="D263" s="401"/>
      <c r="E263" s="401"/>
      <c r="F263" s="401"/>
      <c r="G263" s="401"/>
      <c r="H263" s="401"/>
      <c r="I263" s="401"/>
      <c r="J263" s="401"/>
      <c r="K263" s="401"/>
      <c r="L263" s="401"/>
      <c r="M263" s="401"/>
      <c r="N263" s="401"/>
      <c r="O263" s="401"/>
      <c r="P263" s="401"/>
      <c r="Q263" s="401"/>
      <c r="R263" s="401"/>
      <c r="S263" s="401"/>
    </row>
    <row r="264" spans="1:19" x14ac:dyDescent="0.2">
      <c r="A264" s="401"/>
      <c r="B264" s="401"/>
      <c r="C264" s="401"/>
      <c r="D264" s="401"/>
      <c r="E264" s="401"/>
      <c r="F264" s="401"/>
      <c r="G264" s="401"/>
      <c r="H264" s="401"/>
      <c r="I264" s="401"/>
      <c r="J264" s="401"/>
      <c r="K264" s="401"/>
      <c r="L264" s="401"/>
      <c r="M264" s="401"/>
      <c r="N264" s="401"/>
      <c r="O264" s="401"/>
      <c r="P264" s="401"/>
      <c r="Q264" s="401"/>
      <c r="R264" s="401"/>
      <c r="S264" s="401"/>
    </row>
    <row r="265" spans="1:19" x14ac:dyDescent="0.2">
      <c r="A265" s="401"/>
      <c r="B265" s="401"/>
      <c r="C265" s="401"/>
      <c r="D265" s="401"/>
      <c r="E265" s="401"/>
      <c r="F265" s="401"/>
      <c r="G265" s="401"/>
      <c r="H265" s="401"/>
      <c r="I265" s="401"/>
      <c r="J265" s="401"/>
      <c r="K265" s="401"/>
      <c r="L265" s="401"/>
      <c r="M265" s="401"/>
      <c r="N265" s="401"/>
      <c r="O265" s="401"/>
      <c r="P265" s="401"/>
      <c r="Q265" s="401"/>
      <c r="R265" s="401"/>
      <c r="S265" s="401"/>
    </row>
    <row r="266" spans="1:19" x14ac:dyDescent="0.2">
      <c r="A266" s="401"/>
      <c r="B266" s="401"/>
      <c r="C266" s="401"/>
      <c r="D266" s="401"/>
      <c r="E266" s="401"/>
      <c r="F266" s="401"/>
      <c r="G266" s="401"/>
      <c r="H266" s="401"/>
      <c r="I266" s="401"/>
      <c r="J266" s="401"/>
      <c r="K266" s="401"/>
      <c r="L266" s="401"/>
      <c r="M266" s="401"/>
      <c r="N266" s="401"/>
      <c r="O266" s="401"/>
      <c r="P266" s="401"/>
      <c r="Q266" s="401"/>
      <c r="R266" s="401"/>
      <c r="S266" s="401"/>
    </row>
    <row r="267" spans="1:19" x14ac:dyDescent="0.2">
      <c r="A267" s="401"/>
      <c r="B267" s="401"/>
      <c r="C267" s="401"/>
      <c r="D267" s="401"/>
      <c r="E267" s="401"/>
      <c r="F267" s="401"/>
      <c r="G267" s="401"/>
      <c r="H267" s="401"/>
      <c r="I267" s="401"/>
      <c r="J267" s="401"/>
      <c r="K267" s="401"/>
      <c r="L267" s="401"/>
      <c r="M267" s="401"/>
      <c r="N267" s="401"/>
      <c r="O267" s="401"/>
      <c r="P267" s="401"/>
      <c r="Q267" s="401"/>
      <c r="R267" s="401"/>
      <c r="S267" s="401"/>
    </row>
    <row r="268" spans="1:19" x14ac:dyDescent="0.2">
      <c r="A268" s="401"/>
      <c r="B268" s="401"/>
      <c r="C268" s="401"/>
      <c r="D268" s="401"/>
      <c r="E268" s="401"/>
      <c r="F268" s="401"/>
      <c r="G268" s="401"/>
      <c r="H268" s="401"/>
      <c r="I268" s="401"/>
      <c r="J268" s="401"/>
      <c r="K268" s="401"/>
      <c r="L268" s="401"/>
      <c r="M268" s="401"/>
      <c r="N268" s="401"/>
      <c r="O268" s="401"/>
      <c r="P268" s="401"/>
      <c r="Q268" s="401"/>
      <c r="R268" s="401"/>
      <c r="S268" s="401"/>
    </row>
    <row r="269" spans="1:19" x14ac:dyDescent="0.2">
      <c r="A269" s="401"/>
      <c r="B269" s="401"/>
      <c r="C269" s="401"/>
      <c r="D269" s="401"/>
      <c r="E269" s="401"/>
      <c r="F269" s="401"/>
      <c r="G269" s="401"/>
      <c r="H269" s="401"/>
      <c r="I269" s="401"/>
      <c r="J269" s="401"/>
      <c r="K269" s="401"/>
      <c r="L269" s="401"/>
      <c r="M269" s="401"/>
      <c r="N269" s="401"/>
      <c r="O269" s="401"/>
      <c r="P269" s="401"/>
      <c r="Q269" s="401"/>
      <c r="R269" s="401"/>
      <c r="S269" s="401"/>
    </row>
    <row r="270" spans="1:19" x14ac:dyDescent="0.2">
      <c r="A270" s="401"/>
      <c r="B270" s="401"/>
      <c r="C270" s="401"/>
      <c r="D270" s="401"/>
      <c r="E270" s="401"/>
      <c r="F270" s="401"/>
      <c r="G270" s="401"/>
      <c r="H270" s="401"/>
      <c r="I270" s="401"/>
      <c r="J270" s="401"/>
      <c r="K270" s="401"/>
      <c r="L270" s="401"/>
      <c r="M270" s="401"/>
      <c r="N270" s="401"/>
      <c r="O270" s="401"/>
      <c r="P270" s="401"/>
      <c r="Q270" s="401"/>
      <c r="R270" s="401"/>
      <c r="S270" s="401"/>
    </row>
    <row r="271" spans="1:19" x14ac:dyDescent="0.2">
      <c r="A271" s="401"/>
      <c r="B271" s="401"/>
      <c r="C271" s="401"/>
      <c r="D271" s="401"/>
      <c r="E271" s="401"/>
      <c r="F271" s="401"/>
      <c r="G271" s="401"/>
      <c r="H271" s="401"/>
      <c r="I271" s="401"/>
      <c r="J271" s="401"/>
      <c r="K271" s="401"/>
      <c r="L271" s="401"/>
      <c r="M271" s="401"/>
      <c r="N271" s="401"/>
      <c r="O271" s="401"/>
      <c r="P271" s="401"/>
      <c r="Q271" s="401"/>
      <c r="R271" s="401"/>
      <c r="S271" s="401"/>
    </row>
    <row r="272" spans="1:19" x14ac:dyDescent="0.2">
      <c r="A272" s="401"/>
      <c r="B272" s="401"/>
      <c r="C272" s="401"/>
      <c r="D272" s="401"/>
      <c r="E272" s="401"/>
      <c r="F272" s="401"/>
      <c r="G272" s="401"/>
      <c r="H272" s="401"/>
      <c r="I272" s="401"/>
      <c r="J272" s="401"/>
      <c r="K272" s="401"/>
      <c r="L272" s="401"/>
      <c r="M272" s="401"/>
      <c r="N272" s="401"/>
      <c r="O272" s="401"/>
      <c r="P272" s="401"/>
      <c r="Q272" s="401"/>
      <c r="R272" s="401"/>
      <c r="S272" s="401"/>
    </row>
    <row r="273" spans="1:19" x14ac:dyDescent="0.2">
      <c r="A273" s="401"/>
      <c r="B273" s="401"/>
      <c r="C273" s="401"/>
      <c r="D273" s="401"/>
      <c r="E273" s="401"/>
      <c r="F273" s="401"/>
      <c r="G273" s="401"/>
      <c r="H273" s="401"/>
      <c r="I273" s="401"/>
      <c r="J273" s="401"/>
      <c r="K273" s="401"/>
      <c r="L273" s="401"/>
      <c r="M273" s="401"/>
      <c r="N273" s="401"/>
      <c r="O273" s="401"/>
      <c r="P273" s="401"/>
      <c r="Q273" s="401"/>
      <c r="R273" s="401"/>
      <c r="S273" s="401"/>
    </row>
    <row r="274" spans="1:19" x14ac:dyDescent="0.2">
      <c r="A274" s="401"/>
      <c r="B274" s="401"/>
      <c r="C274" s="401"/>
      <c r="D274" s="401"/>
      <c r="E274" s="401"/>
      <c r="F274" s="401"/>
      <c r="G274" s="401"/>
      <c r="H274" s="401"/>
      <c r="I274" s="401"/>
      <c r="J274" s="401"/>
      <c r="K274" s="401"/>
      <c r="L274" s="401"/>
      <c r="M274" s="401"/>
      <c r="N274" s="401"/>
      <c r="O274" s="401"/>
      <c r="P274" s="401"/>
      <c r="Q274" s="401"/>
      <c r="R274" s="401"/>
      <c r="S274" s="401"/>
    </row>
    <row r="275" spans="1:19" x14ac:dyDescent="0.2">
      <c r="A275" s="401"/>
      <c r="B275" s="401"/>
      <c r="C275" s="401"/>
      <c r="D275" s="401"/>
      <c r="E275" s="401"/>
      <c r="F275" s="401"/>
      <c r="G275" s="401"/>
      <c r="H275" s="401"/>
      <c r="I275" s="401"/>
      <c r="J275" s="401"/>
      <c r="K275" s="401"/>
      <c r="L275" s="401"/>
      <c r="M275" s="401"/>
      <c r="N275" s="401"/>
      <c r="O275" s="401"/>
      <c r="P275" s="401"/>
      <c r="Q275" s="401"/>
      <c r="R275" s="401"/>
      <c r="S275" s="401"/>
    </row>
    <row r="276" spans="1:19" x14ac:dyDescent="0.2">
      <c r="A276" s="401"/>
      <c r="B276" s="401"/>
      <c r="C276" s="401"/>
      <c r="D276" s="401"/>
      <c r="E276" s="401"/>
      <c r="F276" s="401"/>
      <c r="G276" s="401"/>
      <c r="H276" s="401"/>
      <c r="I276" s="401"/>
      <c r="J276" s="401"/>
      <c r="K276" s="401"/>
      <c r="L276" s="401"/>
      <c r="M276" s="401"/>
      <c r="N276" s="401"/>
      <c r="O276" s="401"/>
      <c r="P276" s="401"/>
      <c r="Q276" s="401"/>
      <c r="R276" s="401"/>
      <c r="S276" s="401"/>
    </row>
    <row r="277" spans="1:19" x14ac:dyDescent="0.2">
      <c r="A277" s="401"/>
      <c r="B277" s="401"/>
      <c r="C277" s="401"/>
      <c r="D277" s="401"/>
      <c r="E277" s="401"/>
      <c r="F277" s="401"/>
      <c r="G277" s="401"/>
      <c r="H277" s="401"/>
      <c r="I277" s="401"/>
      <c r="J277" s="401"/>
      <c r="K277" s="401"/>
      <c r="L277" s="401"/>
      <c r="M277" s="401"/>
      <c r="N277" s="401"/>
      <c r="O277" s="401"/>
      <c r="P277" s="401"/>
      <c r="Q277" s="401"/>
      <c r="R277" s="401"/>
      <c r="S277" s="401"/>
    </row>
    <row r="278" spans="1:19" x14ac:dyDescent="0.2">
      <c r="A278" s="401"/>
      <c r="B278" s="401"/>
      <c r="C278" s="401"/>
      <c r="D278" s="401"/>
      <c r="E278" s="401"/>
      <c r="F278" s="401"/>
      <c r="G278" s="401"/>
      <c r="H278" s="401"/>
      <c r="I278" s="401"/>
      <c r="J278" s="401"/>
      <c r="K278" s="401"/>
      <c r="L278" s="401"/>
      <c r="M278" s="401"/>
      <c r="N278" s="401"/>
      <c r="O278" s="401"/>
      <c r="P278" s="401"/>
      <c r="Q278" s="401"/>
      <c r="R278" s="401"/>
      <c r="S278" s="401"/>
    </row>
    <row r="279" spans="1:19" x14ac:dyDescent="0.2">
      <c r="A279" s="401"/>
      <c r="B279" s="401"/>
      <c r="C279" s="401"/>
      <c r="D279" s="401"/>
      <c r="E279" s="401"/>
      <c r="F279" s="401"/>
      <c r="G279" s="401"/>
      <c r="H279" s="401"/>
      <c r="I279" s="401"/>
      <c r="J279" s="401"/>
      <c r="K279" s="401"/>
      <c r="L279" s="401"/>
      <c r="M279" s="401"/>
      <c r="N279" s="401"/>
      <c r="O279" s="401"/>
      <c r="P279" s="401"/>
      <c r="Q279" s="401"/>
      <c r="R279" s="401"/>
      <c r="S279" s="401"/>
    </row>
    <row r="280" spans="1:19" x14ac:dyDescent="0.2">
      <c r="A280" s="401"/>
      <c r="B280" s="401"/>
      <c r="C280" s="401"/>
      <c r="D280" s="401"/>
      <c r="E280" s="401"/>
      <c r="F280" s="401"/>
      <c r="G280" s="401"/>
      <c r="H280" s="401"/>
      <c r="I280" s="401"/>
      <c r="J280" s="401"/>
      <c r="K280" s="401"/>
      <c r="L280" s="401"/>
      <c r="M280" s="401"/>
      <c r="N280" s="401"/>
      <c r="O280" s="401"/>
      <c r="P280" s="401"/>
      <c r="Q280" s="401"/>
      <c r="R280" s="401"/>
      <c r="S280" s="401"/>
    </row>
    <row r="281" spans="1:19" x14ac:dyDescent="0.2">
      <c r="A281" s="401"/>
      <c r="B281" s="401"/>
      <c r="C281" s="401"/>
      <c r="D281" s="401"/>
      <c r="E281" s="401"/>
      <c r="F281" s="401"/>
      <c r="G281" s="401"/>
      <c r="H281" s="401"/>
      <c r="I281" s="401"/>
      <c r="J281" s="401"/>
      <c r="K281" s="401"/>
      <c r="L281" s="401"/>
      <c r="M281" s="401"/>
      <c r="N281" s="401"/>
      <c r="O281" s="401"/>
      <c r="P281" s="401"/>
      <c r="Q281" s="401"/>
      <c r="R281" s="401"/>
      <c r="S281" s="401"/>
    </row>
    <row r="282" spans="1:19" x14ac:dyDescent="0.2">
      <c r="A282" s="401"/>
      <c r="B282" s="401"/>
      <c r="C282" s="401"/>
      <c r="D282" s="401"/>
      <c r="E282" s="401"/>
      <c r="F282" s="401"/>
      <c r="G282" s="401"/>
      <c r="H282" s="401"/>
      <c r="I282" s="401"/>
      <c r="J282" s="401"/>
      <c r="K282" s="401"/>
      <c r="L282" s="401"/>
      <c r="M282" s="401"/>
      <c r="N282" s="401"/>
      <c r="O282" s="401"/>
      <c r="P282" s="401"/>
      <c r="Q282" s="401"/>
      <c r="R282" s="401"/>
      <c r="S282" s="401"/>
    </row>
    <row r="283" spans="1:19" x14ac:dyDescent="0.2">
      <c r="A283" s="401"/>
      <c r="B283" s="401"/>
      <c r="C283" s="401"/>
      <c r="D283" s="401"/>
      <c r="E283" s="401"/>
      <c r="F283" s="401"/>
      <c r="G283" s="401"/>
      <c r="H283" s="401"/>
      <c r="I283" s="401"/>
      <c r="J283" s="401"/>
      <c r="K283" s="401"/>
      <c r="L283" s="401"/>
      <c r="M283" s="401"/>
      <c r="N283" s="401"/>
      <c r="O283" s="401"/>
      <c r="P283" s="401"/>
      <c r="Q283" s="401"/>
      <c r="R283" s="401"/>
      <c r="S283" s="401"/>
    </row>
    <row r="284" spans="1:19" x14ac:dyDescent="0.2">
      <c r="A284" s="401"/>
      <c r="B284" s="401"/>
      <c r="C284" s="401"/>
      <c r="D284" s="401"/>
      <c r="E284" s="401"/>
      <c r="F284" s="401"/>
      <c r="G284" s="401"/>
      <c r="H284" s="401"/>
      <c r="I284" s="401"/>
      <c r="J284" s="401"/>
      <c r="K284" s="401"/>
      <c r="L284" s="401"/>
      <c r="M284" s="401"/>
      <c r="N284" s="401"/>
      <c r="O284" s="401"/>
      <c r="P284" s="401"/>
      <c r="Q284" s="401"/>
      <c r="R284" s="401"/>
      <c r="S284" s="401"/>
    </row>
    <row r="285" spans="1:19" x14ac:dyDescent="0.2">
      <c r="A285" s="401"/>
      <c r="B285" s="401"/>
      <c r="C285" s="401"/>
      <c r="D285" s="401"/>
      <c r="E285" s="401"/>
      <c r="F285" s="401"/>
      <c r="G285" s="401"/>
      <c r="H285" s="401"/>
      <c r="I285" s="401"/>
      <c r="J285" s="401"/>
      <c r="K285" s="401"/>
      <c r="L285" s="401"/>
      <c r="M285" s="401"/>
      <c r="N285" s="401"/>
      <c r="O285" s="401"/>
      <c r="P285" s="401"/>
      <c r="Q285" s="401"/>
      <c r="R285" s="401"/>
      <c r="S285" s="401"/>
    </row>
    <row r="286" spans="1:19" x14ac:dyDescent="0.2">
      <c r="A286" s="401"/>
      <c r="B286" s="401"/>
      <c r="C286" s="401"/>
      <c r="D286" s="401"/>
      <c r="E286" s="401"/>
      <c r="F286" s="401"/>
      <c r="G286" s="401"/>
      <c r="H286" s="401"/>
      <c r="I286" s="401"/>
      <c r="J286" s="401"/>
      <c r="K286" s="401"/>
      <c r="L286" s="401"/>
      <c r="M286" s="401"/>
      <c r="N286" s="401"/>
      <c r="O286" s="401"/>
      <c r="P286" s="401"/>
      <c r="Q286" s="401"/>
      <c r="R286" s="401"/>
      <c r="S286" s="401"/>
    </row>
    <row r="287" spans="1:19" x14ac:dyDescent="0.2">
      <c r="A287" s="401"/>
      <c r="B287" s="401"/>
      <c r="C287" s="401"/>
      <c r="D287" s="401"/>
      <c r="E287" s="401"/>
      <c r="F287" s="401"/>
      <c r="G287" s="401"/>
      <c r="H287" s="401"/>
      <c r="I287" s="401"/>
      <c r="J287" s="401"/>
      <c r="K287" s="401"/>
      <c r="L287" s="401"/>
      <c r="M287" s="401"/>
      <c r="N287" s="401"/>
      <c r="O287" s="401"/>
      <c r="P287" s="401"/>
      <c r="Q287" s="401"/>
      <c r="R287" s="401"/>
      <c r="S287" s="401"/>
    </row>
    <row r="288" spans="1:19" x14ac:dyDescent="0.2">
      <c r="A288" s="401"/>
      <c r="B288" s="401"/>
      <c r="C288" s="401"/>
      <c r="D288" s="401"/>
      <c r="E288" s="401"/>
      <c r="F288" s="401"/>
      <c r="G288" s="401"/>
      <c r="H288" s="401"/>
      <c r="I288" s="401"/>
      <c r="J288" s="401"/>
      <c r="K288" s="401"/>
      <c r="L288" s="401"/>
      <c r="M288" s="401"/>
      <c r="N288" s="401"/>
      <c r="O288" s="401"/>
      <c r="P288" s="401"/>
      <c r="Q288" s="401"/>
      <c r="R288" s="401"/>
      <c r="S288" s="401"/>
    </row>
    <row r="289" spans="1:19" x14ac:dyDescent="0.2">
      <c r="A289" s="401"/>
      <c r="B289" s="401"/>
      <c r="C289" s="401"/>
      <c r="D289" s="401"/>
      <c r="E289" s="401"/>
      <c r="F289" s="401"/>
      <c r="G289" s="401"/>
      <c r="H289" s="401"/>
      <c r="I289" s="401"/>
      <c r="J289" s="401"/>
      <c r="K289" s="401"/>
      <c r="L289" s="401"/>
      <c r="M289" s="401"/>
      <c r="N289" s="401"/>
      <c r="O289" s="401"/>
      <c r="P289" s="401"/>
      <c r="Q289" s="401"/>
      <c r="R289" s="401"/>
      <c r="S289" s="401"/>
    </row>
    <row r="290" spans="1:19" x14ac:dyDescent="0.2">
      <c r="A290" s="401"/>
      <c r="B290" s="401"/>
      <c r="C290" s="401"/>
      <c r="D290" s="401"/>
      <c r="E290" s="401"/>
      <c r="F290" s="401"/>
      <c r="G290" s="401"/>
      <c r="H290" s="401"/>
      <c r="I290" s="401"/>
      <c r="J290" s="401"/>
      <c r="K290" s="401"/>
      <c r="L290" s="401"/>
      <c r="M290" s="401"/>
      <c r="N290" s="401"/>
      <c r="O290" s="401"/>
      <c r="P290" s="401"/>
      <c r="Q290" s="401"/>
      <c r="R290" s="401"/>
      <c r="S290" s="401"/>
    </row>
    <row r="291" spans="1:19" x14ac:dyDescent="0.2">
      <c r="I291" s="401"/>
      <c r="J291" s="401"/>
      <c r="K291" s="401"/>
      <c r="L291" s="401"/>
      <c r="M291" s="401"/>
      <c r="N291" s="401"/>
      <c r="O291" s="401"/>
      <c r="P291" s="401"/>
      <c r="Q291" s="401"/>
      <c r="R291" s="401"/>
      <c r="S291" s="401"/>
    </row>
    <row r="292" spans="1:19" x14ac:dyDescent="0.2">
      <c r="I292" s="401"/>
      <c r="J292" s="401"/>
      <c r="K292" s="401"/>
    </row>
  </sheetData>
  <mergeCells count="8">
    <mergeCell ref="L42:Z42"/>
    <mergeCell ref="L50:Z50"/>
    <mergeCell ref="AB1:AC1"/>
    <mergeCell ref="A1:H1"/>
    <mergeCell ref="I1:K1"/>
    <mergeCell ref="L1:Z1"/>
    <mergeCell ref="L23:Z23"/>
    <mergeCell ref="L31:Z31"/>
  </mergeCells>
  <printOptions headings="1" gridLines="1"/>
  <pageMargins left="0.75" right="0.75" top="1" bottom="1" header="0.5" footer="0.5"/>
  <pageSetup paperSize="9" orientation="landscape" r:id="rId1"/>
  <headerFooter alignWithMargins="0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MedDisc">
    <tabColor rgb="FF7030A0"/>
  </sheetPr>
  <dimension ref="A1:AG22"/>
  <sheetViews>
    <sheetView zoomScaleNormal="100" workbookViewId="0"/>
  </sheetViews>
  <sheetFormatPr defaultColWidth="9.140625" defaultRowHeight="12.75" x14ac:dyDescent="0.2"/>
  <cols>
    <col min="1" max="1" width="7.140625" style="315" customWidth="1"/>
    <col min="2" max="2" width="6" style="315" customWidth="1"/>
    <col min="3" max="3" width="26.42578125" style="315" customWidth="1"/>
    <col min="4" max="4" width="4.5703125" style="315" customWidth="1"/>
    <col min="5" max="5" width="9.140625" style="315"/>
    <col min="6" max="6" width="4.28515625" style="315" customWidth="1"/>
    <col min="7" max="7" width="11.7109375" style="315" customWidth="1"/>
    <col min="8" max="23" width="2.7109375" style="13" customWidth="1"/>
    <col min="24" max="33" width="2.7109375" style="315" customWidth="1"/>
    <col min="34" max="16384" width="9.140625" style="315"/>
  </cols>
  <sheetData>
    <row r="1" spans="1:33" ht="19.5" customHeight="1" thickBot="1" x14ac:dyDescent="0.25">
      <c r="A1" s="356"/>
      <c r="B1" s="315" t="str">
        <f>"Naam: "&amp;__2_AchterNaam&amp;", "&amp;__3_VoorNaam</f>
        <v xml:space="preserve">Naam: , </v>
      </c>
      <c r="D1" s="315" t="str">
        <f>"Geboortedatum: "</f>
        <v xml:space="preserve">Geboortedatum: </v>
      </c>
      <c r="F1" s="903">
        <f>__4_GebDatum</f>
        <v>1462</v>
      </c>
      <c r="G1" s="903"/>
      <c r="I1" s="6" t="str">
        <f>"Gewicht: "&amp;ROUND(_Pat_Gewicht/10,1)&amp;"kg"</f>
        <v>Gewicht: 0kg</v>
      </c>
      <c r="P1" s="6" t="s">
        <v>186</v>
      </c>
      <c r="R1" s="901"/>
      <c r="S1" s="901"/>
      <c r="T1" s="901"/>
      <c r="U1" s="901"/>
      <c r="V1" s="901"/>
      <c r="W1" s="901"/>
      <c r="Y1" s="315" t="s">
        <v>304</v>
      </c>
      <c r="AB1" s="902">
        <f ca="1">TODAY()</f>
        <v>42750</v>
      </c>
      <c r="AC1" s="902"/>
      <c r="AD1" s="902"/>
      <c r="AE1" s="902"/>
      <c r="AF1" s="902"/>
    </row>
    <row r="2" spans="1:33" ht="26.1" customHeight="1" x14ac:dyDescent="0.2">
      <c r="B2" s="86"/>
      <c r="C2" s="87" t="s">
        <v>331</v>
      </c>
      <c r="D2" s="88" t="s">
        <v>332</v>
      </c>
      <c r="E2" s="88"/>
      <c r="F2" s="88"/>
      <c r="G2" s="89" t="s">
        <v>311</v>
      </c>
      <c r="H2" s="90">
        <v>9</v>
      </c>
      <c r="I2" s="90">
        <v>10</v>
      </c>
      <c r="J2" s="90">
        <v>11</v>
      </c>
      <c r="K2" s="90">
        <v>12</v>
      </c>
      <c r="L2" s="90">
        <v>13</v>
      </c>
      <c r="M2" s="90">
        <v>14</v>
      </c>
      <c r="N2" s="90">
        <v>15</v>
      </c>
      <c r="O2" s="90">
        <v>16</v>
      </c>
      <c r="P2" s="90">
        <v>17</v>
      </c>
      <c r="Q2" s="90">
        <v>18</v>
      </c>
      <c r="R2" s="90">
        <v>19</v>
      </c>
      <c r="S2" s="90">
        <v>20</v>
      </c>
      <c r="T2" s="90">
        <v>21</v>
      </c>
      <c r="U2" s="90">
        <v>22</v>
      </c>
      <c r="V2" s="90">
        <v>23</v>
      </c>
      <c r="W2" s="90">
        <v>24</v>
      </c>
      <c r="X2" s="90">
        <v>1</v>
      </c>
      <c r="Y2" s="90">
        <v>2</v>
      </c>
      <c r="Z2" s="90">
        <v>3</v>
      </c>
      <c r="AA2" s="90">
        <v>4</v>
      </c>
      <c r="AB2" s="90">
        <v>5</v>
      </c>
      <c r="AC2" s="90">
        <v>6</v>
      </c>
      <c r="AD2" s="90">
        <v>7</v>
      </c>
      <c r="AE2" s="90">
        <v>8</v>
      </c>
      <c r="AF2" s="92"/>
      <c r="AG2" s="92"/>
    </row>
    <row r="3" spans="1:33" ht="26.1" customHeight="1" x14ac:dyDescent="0.2">
      <c r="B3" s="94"/>
      <c r="C3" s="125" t="str">
        <f>IF(GlobBerMedDisc!C2&lt;&gt;"",IF(GlobBerMedDisc!C2&gt;1,TRIM(GlobBerMedDisc!C2)&amp;", "&amp;GlobBerOpm!#REF!&amp;" ("&amp;GlobBerMedDisc!M2&amp;" "&amp;GlobBerMedDisc!F2&amp;"/kg/dag)",TRIM(GlobBerMedDisc!C2)&amp;", "&amp;GlobBerOpm!#REF!),"")</f>
        <v/>
      </c>
      <c r="D3" s="126" t="str">
        <f>IF(GlobGuiMedDisc!I9&lt;&gt;"",GlobGuiMedDisc!I9,"")</f>
        <v/>
      </c>
      <c r="E3" s="127" t="str">
        <f>IF(AND(D3&lt;&gt;"",D3&lt;&gt;"STOP"),GlobBerMedDisc!H2&amp;" "&amp;GlobBerMedDisc!F2,"")</f>
        <v/>
      </c>
      <c r="F3" s="127" t="str">
        <f>IF(AND(D3&lt;&gt;"",D3&lt;&gt;"STOP"),GlobBerMedDisc!L2," ")</f>
        <v xml:space="preserve"> </v>
      </c>
      <c r="G3" s="127" t="str">
        <f>IF(GlobGuiMedDisc!N9&lt;&gt;"",GlobGuiMedDisc!N9&amp;" "&amp;GlobGuiMedDisc!O9&amp;" "&amp;INDEX(GlobBerMedDisc!$B$27:$B$30,GlobBerMedDisc!O2,1)&amp;" in "&amp;GlobGuiMedDisc!$R$9,"")</f>
        <v/>
      </c>
      <c r="H3" s="93" t="str">
        <f>IF(OR($D3="1 dd",$D3="2 dd",$D3="3 dd",$D3="4 dd",$D3="5 dd",$D3="6 dd",$D3="8 dd",$D3="12 dd",$D3="24 dd",$D3="an",$D3="zn"),VLOOKUP($D3,NeoTblTijden!$A$17:$Y$27,NeoTblTijden!B$15,FALSE),"")</f>
        <v/>
      </c>
      <c r="I3" s="378" t="str">
        <f>IF(OR($D3="1 dd",$D3="2 dd",$D3="3 dd",$D3="4 dd",$D3="5 dd",$D3="6 dd",$D3="8 dd",$D3="12 dd",$D3="24 dd",$D3="an",$D3="zn"),VLOOKUP($D3,NeoTblTijden!$A$17:$Y$27,NeoTblTijden!C$15,FALSE),"")</f>
        <v/>
      </c>
      <c r="J3" s="93" t="str">
        <f>IF(OR($D3="1 dd",$D3="2 dd",$D3="3 dd",$D3="4 dd",$D3="5 dd",$D3="6 dd",$D3="8 dd",$D3="12 dd",$D3="24 dd",$D3="an",$D3="zn"),VLOOKUP($D3,NeoTblTijden!$A$17:$Y$27,NeoTblTijden!D$15,FALSE),"")</f>
        <v/>
      </c>
      <c r="K3" s="378" t="str">
        <f>IF(OR($D3="1 dd",$D3="2 dd",$D3="3 dd",$D3="4 dd",$D3="5 dd",$D3="6 dd",$D3="8 dd",$D3="12 dd",$D3="24 dd",$D3="an",$D3="zn"),VLOOKUP($D3,NeoTblTijden!$A$17:$Y$27,NeoTblTijden!E$15,FALSE),"")</f>
        <v/>
      </c>
      <c r="L3" s="93" t="str">
        <f>IF(OR($D3="1 dd",$D3="2 dd",$D3="3 dd",$D3="4 dd",$D3="5 dd",$D3="6 dd",$D3="8 dd",$D3="12 dd",$D3="24 dd",$D3="an",$D3="zn"),VLOOKUP($D3,NeoTblTijden!$A$17:$Y$27,NeoTblTijden!F$15,FALSE),"")</f>
        <v/>
      </c>
      <c r="M3" s="378" t="str">
        <f>IF(OR($D3="1 dd",$D3="2 dd",$D3="3 dd",$D3="4 dd",$D3="5 dd",$D3="6 dd",$D3="8 dd",$D3="12 dd",$D3="24 dd",$D3="an",$D3="zn"),VLOOKUP($D3,NeoTblTijden!$A$17:$Y$27,NeoTblTijden!G$15,FALSE),"")</f>
        <v/>
      </c>
      <c r="N3" s="93" t="str">
        <f>IF(OR($D3="1 dd",$D3="2 dd",$D3="3 dd",$D3="4 dd",$D3="5 dd",$D3="6 dd",$D3="8 dd",$D3="12 dd",$D3="24 dd",$D3="an",$D3="zn"),VLOOKUP($D3,NeoTblTijden!$A$17:$Y$27,NeoTblTijden!H$15,FALSE),"")</f>
        <v/>
      </c>
      <c r="O3" s="378" t="str">
        <f>IF(OR($D3="1 dd",$D3="2 dd",$D3="3 dd",$D3="4 dd",$D3="5 dd",$D3="6 dd",$D3="8 dd",$D3="12 dd",$D3="24 dd",$D3="an",$D3="zn"),VLOOKUP($D3,NeoTblTijden!$A$17:$Y$27,NeoTblTijden!I$15,FALSE),"")</f>
        <v/>
      </c>
      <c r="P3" s="93" t="str">
        <f>IF(OR($D3="1 dd",$D3="2 dd",$D3="3 dd",$D3="4 dd",$D3="5 dd",$D3="6 dd",$D3="8 dd",$D3="12 dd",$D3="24 dd",$D3="an",$D3="zn"),VLOOKUP($D3,NeoTblTijden!$A$17:$Y$27,NeoTblTijden!J$15,FALSE),"")</f>
        <v/>
      </c>
      <c r="Q3" s="378" t="str">
        <f>IF(OR($D3="1 dd",$D3="2 dd",$D3="3 dd",$D3="4 dd",$D3="5 dd",$D3="6 dd",$D3="8 dd",$D3="12 dd",$D3="24 dd",$D3="an",$D3="zn"),VLOOKUP($D3,NeoTblTijden!$A$17:$Y$27,NeoTblTijden!K$15,FALSE),"")</f>
        <v/>
      </c>
      <c r="R3" s="93" t="str">
        <f>IF(OR($D3="1 dd",$D3="2 dd",$D3="3 dd",$D3="4 dd",$D3="5 dd",$D3="6 dd",$D3="8 dd",$D3="12 dd",$D3="24 dd",$D3="an",$D3="zn"),VLOOKUP($D3,NeoTblTijden!$A$17:$Y$27,NeoTblTijden!L$15,FALSE),"")</f>
        <v/>
      </c>
      <c r="S3" s="378" t="str">
        <f>IF(OR($D3="1 dd",$D3="2 dd",$D3="3 dd",$D3="4 dd",$D3="5 dd",$D3="6 dd",$D3="8 dd",$D3="12 dd",$D3="24 dd",$D3="an",$D3="zn"),VLOOKUP($D3,NeoTblTijden!$A$17:$Y$27,NeoTblTijden!M$15,FALSE),"")</f>
        <v/>
      </c>
      <c r="T3" s="93" t="str">
        <f>IF(OR($D3="1 dd",$D3="2 dd",$D3="3 dd",$D3="4 dd",$D3="5 dd",$D3="6 dd",$D3="8 dd",$D3="12 dd",$D3="24 dd",$D3="an",$D3="zn"),VLOOKUP($D3,NeoTblTijden!$A$17:$Y$27,NeoTblTijden!N$15,FALSE),"")</f>
        <v/>
      </c>
      <c r="U3" s="378" t="str">
        <f>IF(OR($D3="1 dd",$D3="2 dd",$D3="3 dd",$D3="4 dd",$D3="5 dd",$D3="6 dd",$D3="8 dd",$D3="12 dd",$D3="24 dd",$D3="an",$D3="zn"),VLOOKUP($D3,NeoTblTijden!$A$17:$Y$27,NeoTblTijden!O$15,FALSE),"")</f>
        <v/>
      </c>
      <c r="V3" s="93" t="str">
        <f>IF(OR($D3="1 dd",$D3="2 dd",$D3="3 dd",$D3="4 dd",$D3="5 dd",$D3="6 dd",$D3="8 dd",$D3="12 dd",$D3="24 dd",$D3="an",$D3="zn"),VLOOKUP($D3,NeoTblTijden!$A$17:$Y$27,NeoTblTijden!P$15,FALSE),"")</f>
        <v/>
      </c>
      <c r="W3" s="378" t="str">
        <f>IF(OR($D3="1 dd",$D3="2 dd",$D3="3 dd",$D3="4 dd",$D3="5 dd",$D3="6 dd",$D3="8 dd",$D3="12 dd",$D3="24 dd",$D3="an",$D3="zn"),VLOOKUP($D3,NeoTblTijden!$A$17:$Y$27,NeoTblTijden!Q$15,FALSE),"")</f>
        <v/>
      </c>
      <c r="X3" s="93" t="str">
        <f>IF(OR($D3="1 dd",$D3="2 dd",$D3="3 dd",$D3="4 dd",$D3="5 dd",$D3="6 dd",$D3="8 dd",$D3="12 dd",$D3="24 dd",$D3="an",$D3="zn"),VLOOKUP($D3,NeoTblTijden!$A$17:$Y$27,NeoTblTijden!R$15,FALSE),"")</f>
        <v/>
      </c>
      <c r="Y3" s="378" t="str">
        <f>IF(OR($D3="1 dd",$D3="2 dd",$D3="3 dd",$D3="4 dd",$D3="5 dd",$D3="6 dd",$D3="8 dd",$D3="12 dd",$D3="24 dd",$D3="an",$D3="zn"),VLOOKUP($D3,NeoTblTijden!$A$17:$Y$27,NeoTblTijden!S$15,FALSE),"")</f>
        <v/>
      </c>
      <c r="Z3" s="93" t="str">
        <f>IF(OR($D3="1 dd",$D3="2 dd",$D3="3 dd",$D3="4 dd",$D3="5 dd",$D3="6 dd",$D3="8 dd",$D3="12 dd",$D3="24 dd",$D3="an",$D3="zn"),VLOOKUP($D3,NeoTblTijden!$A$17:$Y$27,NeoTblTijden!T$15,FALSE),"")</f>
        <v/>
      </c>
      <c r="AA3" s="378" t="str">
        <f>IF(OR($D3="1 dd",$D3="2 dd",$D3="3 dd",$D3="4 dd",$D3="5 dd",$D3="6 dd",$D3="8 dd",$D3="12 dd",$D3="24 dd",$D3="an",$D3="zn"),VLOOKUP($D3,NeoTblTijden!$A$17:$Y$27,NeoTblTijden!U$15,FALSE),"")</f>
        <v/>
      </c>
      <c r="AB3" s="93" t="str">
        <f>IF(OR($D3="1 dd",$D3="2 dd",$D3="3 dd",$D3="4 dd",$D3="5 dd",$D3="6 dd",$D3="8 dd",$D3="12 dd",$D3="24 dd",$D3="an",$D3="zn"),VLOOKUP($D3,NeoTblTijden!$A$17:$Y$27,NeoTblTijden!V$15,FALSE),"")</f>
        <v/>
      </c>
      <c r="AC3" s="378" t="str">
        <f>IF(OR($D3="1 dd",$D3="2 dd",$D3="3 dd",$D3="4 dd",$D3="5 dd",$D3="6 dd",$D3="8 dd",$D3="12 dd",$D3="24 dd",$D3="an",$D3="zn"),VLOOKUP($D3,NeoTblTijden!$A$17:$Y$27,NeoTblTijden!W$15,FALSE),"")</f>
        <v/>
      </c>
      <c r="AD3" s="93" t="str">
        <f>IF(OR($D3="1 dd",$D3="2 dd",$D3="3 dd",$D3="4 dd",$D3="5 dd",$D3="6 dd",$D3="8 dd",$D3="12 dd",$D3="24 dd",$D3="an",$D3="zn"),VLOOKUP($D3,NeoTblTijden!$A$17:$Y$27,NeoTblTijden!X$15,FALSE),"")</f>
        <v/>
      </c>
      <c r="AE3" s="378" t="str">
        <f>IF(OR($D3="1 dd",$D3="2 dd",$D3="3 dd",$D3="4 dd",$D3="5 dd",$D3="6 dd",$D3="8 dd",$D3="12 dd",$D3="24 dd",$D3="an",$D3="zn"),VLOOKUP($D3,NeoTblTijden!$A$17:$Y$27,NeoTblTijden!Y$15,FALSE),"")</f>
        <v/>
      </c>
      <c r="AF3" s="92"/>
      <c r="AG3" s="14"/>
    </row>
    <row r="4" spans="1:33" ht="26.1" customHeight="1" x14ac:dyDescent="0.2">
      <c r="B4" s="94"/>
      <c r="C4" s="125" t="str">
        <f>IF(GlobBerMedDisc!C3&lt;&gt;"",IF(GlobBerMedDisc!C3&gt;1,TRIM(GlobBerMedDisc!C3)&amp;", "&amp;GlobBerOpm!#REF!&amp;" ("&amp;GlobBerMedDisc!M3&amp;" "&amp;GlobBerMedDisc!F3&amp;"/kg/dag)",TRIM(GlobBerMedDisc!C3)&amp;", "&amp;GlobBerOpm!#REF!),"")</f>
        <v/>
      </c>
      <c r="D4" s="126" t="str">
        <f>IF(GlobGuiMedDisc!I10&lt;&gt;"",GlobGuiMedDisc!I10,"")</f>
        <v/>
      </c>
      <c r="E4" s="127" t="str">
        <f>IF(AND(D4&lt;&gt;"",D4&lt;&gt;"STOP"),GlobBerMedDisc!H3&amp;" "&amp;GlobBerMedDisc!F3,"")</f>
        <v/>
      </c>
      <c r="F4" s="127" t="str">
        <f>IF(AND(D4&lt;&gt;"",D4&lt;&gt;"STOP"),GlobBerMedDisc!L3," ")</f>
        <v xml:space="preserve"> </v>
      </c>
      <c r="G4" s="127" t="str">
        <f>IF(GlobGuiMedDisc!N10&lt;&gt;"",GlobGuiMedDisc!N10&amp;" "&amp;GlobGuiMedDisc!O10&amp;" "&amp;INDEX(GlobBerMedDisc!$B$27:$B$30,GlobBerMedDisc!O3,1)&amp;" in "&amp;GlobGuiMedDisc!$R$10,"")</f>
        <v/>
      </c>
      <c r="H4" s="93" t="str">
        <f>IF(OR($D4="1 dd",$D4="2 dd",$D4="3 dd",$D4="4 dd",$D4="5 dd",$D4="6 dd",$D4="8 dd",$D4="12 dd",$D4="24 dd",$D4="an",$D4="zn"),VLOOKUP($D4,NeoTblTijden!$A$17:$Y$27,NeoTblTijden!B$15,FALSE),"")</f>
        <v/>
      </c>
      <c r="I4" s="378" t="str">
        <f>IF(OR($D4="1 dd",$D4="2 dd",$D4="3 dd",$D4="4 dd",$D4="5 dd",$D4="6 dd",$D4="8 dd",$D4="12 dd",$D4="24 dd",$D4="an",$D4="zn"),VLOOKUP($D4,NeoTblTijden!$A$17:$Y$27,NeoTblTijden!C$15,FALSE),"")</f>
        <v/>
      </c>
      <c r="J4" s="93" t="str">
        <f>IF(OR($D4="1 dd",$D4="2 dd",$D4="3 dd",$D4="4 dd",$D4="5 dd",$D4="6 dd",$D4="8 dd",$D4="12 dd",$D4="24 dd",$D4="an",$D4="zn"),VLOOKUP($D4,NeoTblTijden!$A$17:$Y$27,NeoTblTijden!D$15,FALSE),"")</f>
        <v/>
      </c>
      <c r="K4" s="378" t="str">
        <f>IF(OR($D4="1 dd",$D4="2 dd",$D4="3 dd",$D4="4 dd",$D4="5 dd",$D4="6 dd",$D4="8 dd",$D4="12 dd",$D4="24 dd",$D4="an",$D4="zn"),VLOOKUP($D4,NeoTblTijden!$A$17:$Y$27,NeoTblTijden!E$15,FALSE),"")</f>
        <v/>
      </c>
      <c r="L4" s="93" t="str">
        <f>IF(OR($D4="1 dd",$D4="2 dd",$D4="3 dd",$D4="4 dd",$D4="5 dd",$D4="6 dd",$D4="8 dd",$D4="12 dd",$D4="24 dd",$D4="an",$D4="zn"),VLOOKUP($D4,NeoTblTijden!$A$17:$Y$27,NeoTblTijden!F$15,FALSE),"")</f>
        <v/>
      </c>
      <c r="M4" s="378" t="str">
        <f>IF(OR($D4="1 dd",$D4="2 dd",$D4="3 dd",$D4="4 dd",$D4="5 dd",$D4="6 dd",$D4="8 dd",$D4="12 dd",$D4="24 dd",$D4="an",$D4="zn"),VLOOKUP($D4,NeoTblTijden!$A$17:$Y$27,NeoTblTijden!G$15,FALSE),"")</f>
        <v/>
      </c>
      <c r="N4" s="93" t="str">
        <f>IF(OR($D4="1 dd",$D4="2 dd",$D4="3 dd",$D4="4 dd",$D4="5 dd",$D4="6 dd",$D4="8 dd",$D4="12 dd",$D4="24 dd",$D4="an",$D4="zn"),VLOOKUP($D4,NeoTblTijden!$A$17:$Y$27,NeoTblTijden!H$15,FALSE),"")</f>
        <v/>
      </c>
      <c r="O4" s="378" t="str">
        <f>IF(OR($D4="1 dd",$D4="2 dd",$D4="3 dd",$D4="4 dd",$D4="5 dd",$D4="6 dd",$D4="8 dd",$D4="12 dd",$D4="24 dd",$D4="an",$D4="zn"),VLOOKUP($D4,NeoTblTijden!$A$17:$Y$27,NeoTblTijden!I$15,FALSE),"")</f>
        <v/>
      </c>
      <c r="P4" s="93" t="str">
        <f>IF(OR($D4="1 dd",$D4="2 dd",$D4="3 dd",$D4="4 dd",$D4="5 dd",$D4="6 dd",$D4="8 dd",$D4="12 dd",$D4="24 dd",$D4="an",$D4="zn"),VLOOKUP($D4,NeoTblTijden!$A$17:$Y$27,NeoTblTijden!J$15,FALSE),"")</f>
        <v/>
      </c>
      <c r="Q4" s="378" t="str">
        <f>IF(OR($D4="1 dd",$D4="2 dd",$D4="3 dd",$D4="4 dd",$D4="5 dd",$D4="6 dd",$D4="8 dd",$D4="12 dd",$D4="24 dd",$D4="an",$D4="zn"),VLOOKUP($D4,NeoTblTijden!$A$17:$Y$27,NeoTblTijden!K$15,FALSE),"")</f>
        <v/>
      </c>
      <c r="R4" s="93" t="str">
        <f>IF(OR($D4="1 dd",$D4="2 dd",$D4="3 dd",$D4="4 dd",$D4="5 dd",$D4="6 dd",$D4="8 dd",$D4="12 dd",$D4="24 dd",$D4="an",$D4="zn"),VLOOKUP($D4,NeoTblTijden!$A$17:$Y$27,NeoTblTijden!L$15,FALSE),"")</f>
        <v/>
      </c>
      <c r="S4" s="378" t="str">
        <f>IF(OR($D4="1 dd",$D4="2 dd",$D4="3 dd",$D4="4 dd",$D4="5 dd",$D4="6 dd",$D4="8 dd",$D4="12 dd",$D4="24 dd",$D4="an",$D4="zn"),VLOOKUP($D4,NeoTblTijden!$A$17:$Y$27,NeoTblTijden!M$15,FALSE),"")</f>
        <v/>
      </c>
      <c r="T4" s="93" t="str">
        <f>IF(OR($D4="1 dd",$D4="2 dd",$D4="3 dd",$D4="4 dd",$D4="5 dd",$D4="6 dd",$D4="8 dd",$D4="12 dd",$D4="24 dd",$D4="an",$D4="zn"),VLOOKUP($D4,NeoTblTijden!$A$17:$Y$27,NeoTblTijden!N$15,FALSE),"")</f>
        <v/>
      </c>
      <c r="U4" s="378" t="str">
        <f>IF(OR($D4="1 dd",$D4="2 dd",$D4="3 dd",$D4="4 dd",$D4="5 dd",$D4="6 dd",$D4="8 dd",$D4="12 dd",$D4="24 dd",$D4="an",$D4="zn"),VLOOKUP($D4,NeoTblTijden!$A$17:$Y$27,NeoTblTijden!O$15,FALSE),"")</f>
        <v/>
      </c>
      <c r="V4" s="93" t="str">
        <f>IF(OR($D4="1 dd",$D4="2 dd",$D4="3 dd",$D4="4 dd",$D4="5 dd",$D4="6 dd",$D4="8 dd",$D4="12 dd",$D4="24 dd",$D4="an",$D4="zn"),VLOOKUP($D4,NeoTblTijden!$A$17:$Y$27,NeoTblTijden!P$15,FALSE),"")</f>
        <v/>
      </c>
      <c r="W4" s="378" t="str">
        <f>IF(OR($D4="1 dd",$D4="2 dd",$D4="3 dd",$D4="4 dd",$D4="5 dd",$D4="6 dd",$D4="8 dd",$D4="12 dd",$D4="24 dd",$D4="an",$D4="zn"),VLOOKUP($D4,NeoTblTijden!$A$17:$Y$27,NeoTblTijden!Q$15,FALSE),"")</f>
        <v/>
      </c>
      <c r="X4" s="93" t="str">
        <f>IF(OR($D4="1 dd",$D4="2 dd",$D4="3 dd",$D4="4 dd",$D4="5 dd",$D4="6 dd",$D4="8 dd",$D4="12 dd",$D4="24 dd",$D4="an",$D4="zn"),VLOOKUP($D4,NeoTblTijden!$A$17:$Y$27,NeoTblTijden!R$15,FALSE),"")</f>
        <v/>
      </c>
      <c r="Y4" s="378" t="str">
        <f>IF(OR($D4="1 dd",$D4="2 dd",$D4="3 dd",$D4="4 dd",$D4="5 dd",$D4="6 dd",$D4="8 dd",$D4="12 dd",$D4="24 dd",$D4="an",$D4="zn"),VLOOKUP($D4,NeoTblTijden!$A$17:$Y$27,NeoTblTijden!S$15,FALSE),"")</f>
        <v/>
      </c>
      <c r="Z4" s="93" t="str">
        <f>IF(OR($D4="1 dd",$D4="2 dd",$D4="3 dd",$D4="4 dd",$D4="5 dd",$D4="6 dd",$D4="8 dd",$D4="12 dd",$D4="24 dd",$D4="an",$D4="zn"),VLOOKUP($D4,NeoTblTijden!$A$17:$Y$27,NeoTblTijden!T$15,FALSE),"")</f>
        <v/>
      </c>
      <c r="AA4" s="378" t="str">
        <f>IF(OR($D4="1 dd",$D4="2 dd",$D4="3 dd",$D4="4 dd",$D4="5 dd",$D4="6 dd",$D4="8 dd",$D4="12 dd",$D4="24 dd",$D4="an",$D4="zn"),VLOOKUP($D4,NeoTblTijden!$A$17:$Y$27,NeoTblTijden!U$15,FALSE),"")</f>
        <v/>
      </c>
      <c r="AB4" s="93" t="str">
        <f>IF(OR($D4="1 dd",$D4="2 dd",$D4="3 dd",$D4="4 dd",$D4="5 dd",$D4="6 dd",$D4="8 dd",$D4="12 dd",$D4="24 dd",$D4="an",$D4="zn"),VLOOKUP($D4,NeoTblTijden!$A$17:$Y$27,NeoTblTijden!V$15,FALSE),"")</f>
        <v/>
      </c>
      <c r="AC4" s="378" t="str">
        <f>IF(OR($D4="1 dd",$D4="2 dd",$D4="3 dd",$D4="4 dd",$D4="5 dd",$D4="6 dd",$D4="8 dd",$D4="12 dd",$D4="24 dd",$D4="an",$D4="zn"),VLOOKUP($D4,NeoTblTijden!$A$17:$Y$27,NeoTblTijden!W$15,FALSE),"")</f>
        <v/>
      </c>
      <c r="AD4" s="93" t="str">
        <f>IF(OR($D4="1 dd",$D4="2 dd",$D4="3 dd",$D4="4 dd",$D4="5 dd",$D4="6 dd",$D4="8 dd",$D4="12 dd",$D4="24 dd",$D4="an",$D4="zn"),VLOOKUP($D4,NeoTblTijden!$A$17:$Y$27,NeoTblTijden!X$15,FALSE),"")</f>
        <v/>
      </c>
      <c r="AE4" s="378" t="str">
        <f>IF(OR($D4="1 dd",$D4="2 dd",$D4="3 dd",$D4="4 dd",$D4="5 dd",$D4="6 dd",$D4="8 dd",$D4="12 dd",$D4="24 dd",$D4="an",$D4="zn"),VLOOKUP($D4,NeoTblTijden!$A$17:$Y$27,NeoTblTijden!Y$15,FALSE),"")</f>
        <v/>
      </c>
      <c r="AF4" s="92"/>
      <c r="AG4" s="14"/>
    </row>
    <row r="5" spans="1:33" ht="26.1" customHeight="1" x14ac:dyDescent="0.2">
      <c r="B5" s="94"/>
      <c r="C5" s="125" t="str">
        <f>IF(GlobBerMedDisc!C4&lt;&gt;"",IF(GlobBerMedDisc!C4&gt;1,TRIM(GlobBerMedDisc!C4)&amp;", "&amp;GlobBerOpm!#REF!&amp;" ("&amp;GlobBerMedDisc!M4&amp;" "&amp;GlobBerMedDisc!F4&amp;"/kg/dag)",TRIM(GlobBerMedDisc!C4)&amp;", "&amp;GlobBerOpm!#REF!),"")</f>
        <v/>
      </c>
      <c r="D5" s="126" t="str">
        <f>IF(GlobGuiMedDisc!I11&lt;&gt;"",GlobGuiMedDisc!I11,"")</f>
        <v/>
      </c>
      <c r="E5" s="127" t="str">
        <f>IF(AND(D5&lt;&gt;"",D5&lt;&gt;"STOP"),GlobBerMedDisc!H4&amp;" "&amp;GlobBerMedDisc!F4,"")</f>
        <v/>
      </c>
      <c r="F5" s="127" t="str">
        <f>IF(AND(D5&lt;&gt;"",D5&lt;&gt;"STOP"),GlobBerMedDisc!L4," ")</f>
        <v xml:space="preserve"> </v>
      </c>
      <c r="G5" s="127" t="str">
        <f>IF(GlobGuiMedDisc!N11&lt;&gt;"",GlobGuiMedDisc!N11&amp;" "&amp;GlobGuiMedDisc!O11&amp;" "&amp;INDEX(GlobBerMedDisc!$B$27:$B$30,GlobBerMedDisc!O4,1)&amp;" in "&amp;GlobGuiMedDisc!$R$11,"")</f>
        <v/>
      </c>
      <c r="H5" s="93" t="str">
        <f>IF(OR($D5="1 dd",$D5="2 dd",$D5="3 dd",$D5="4 dd",$D5="5 dd",$D5="6 dd",$D5="8 dd",$D5="12 dd",$D5="24 dd",$D5="an",$D5="zn"),VLOOKUP($D5,NeoTblTijden!$A$17:$Y$27,NeoTblTijden!B$15,FALSE),"")</f>
        <v/>
      </c>
      <c r="I5" s="378" t="str">
        <f>IF(OR($D5="1 dd",$D5="2 dd",$D5="3 dd",$D5="4 dd",$D5="5 dd",$D5="6 dd",$D5="8 dd",$D5="12 dd",$D5="24 dd",$D5="an",$D5="zn"),VLOOKUP($D5,NeoTblTijden!$A$17:$Y$27,NeoTblTijden!C$15,FALSE),"")</f>
        <v/>
      </c>
      <c r="J5" s="93" t="str">
        <f>IF(OR($D5="1 dd",$D5="2 dd",$D5="3 dd",$D5="4 dd",$D5="5 dd",$D5="6 dd",$D5="8 dd",$D5="12 dd",$D5="24 dd",$D5="an",$D5="zn"),VLOOKUP($D5,NeoTblTijden!$A$17:$Y$27,NeoTblTijden!D$15,FALSE),"")</f>
        <v/>
      </c>
      <c r="K5" s="378" t="str">
        <f>IF(OR($D5="1 dd",$D5="2 dd",$D5="3 dd",$D5="4 dd",$D5="5 dd",$D5="6 dd",$D5="8 dd",$D5="12 dd",$D5="24 dd",$D5="an",$D5="zn"),VLOOKUP($D5,NeoTblTijden!$A$17:$Y$27,NeoTblTijden!E$15,FALSE),"")</f>
        <v/>
      </c>
      <c r="L5" s="93" t="str">
        <f>IF(OR($D5="1 dd",$D5="2 dd",$D5="3 dd",$D5="4 dd",$D5="5 dd",$D5="6 dd",$D5="8 dd",$D5="12 dd",$D5="24 dd",$D5="an",$D5="zn"),VLOOKUP($D5,NeoTblTijden!$A$17:$Y$27,NeoTblTijden!F$15,FALSE),"")</f>
        <v/>
      </c>
      <c r="M5" s="378" t="str">
        <f>IF(OR($D5="1 dd",$D5="2 dd",$D5="3 dd",$D5="4 dd",$D5="5 dd",$D5="6 dd",$D5="8 dd",$D5="12 dd",$D5="24 dd",$D5="an",$D5="zn"),VLOOKUP($D5,NeoTblTijden!$A$17:$Y$27,NeoTblTijden!G$15,FALSE),"")</f>
        <v/>
      </c>
      <c r="N5" s="93" t="str">
        <f>IF(OR($D5="1 dd",$D5="2 dd",$D5="3 dd",$D5="4 dd",$D5="5 dd",$D5="6 dd",$D5="8 dd",$D5="12 dd",$D5="24 dd",$D5="an",$D5="zn"),VLOOKUP($D5,NeoTblTijden!$A$17:$Y$27,NeoTblTijden!H$15,FALSE),"")</f>
        <v/>
      </c>
      <c r="O5" s="378" t="str">
        <f>IF(OR($D5="1 dd",$D5="2 dd",$D5="3 dd",$D5="4 dd",$D5="5 dd",$D5="6 dd",$D5="8 dd",$D5="12 dd",$D5="24 dd",$D5="an",$D5="zn"),VLOOKUP($D5,NeoTblTijden!$A$17:$Y$27,NeoTblTijden!I$15,FALSE),"")</f>
        <v/>
      </c>
      <c r="P5" s="93" t="str">
        <f>IF(OR($D5="1 dd",$D5="2 dd",$D5="3 dd",$D5="4 dd",$D5="5 dd",$D5="6 dd",$D5="8 dd",$D5="12 dd",$D5="24 dd",$D5="an",$D5="zn"),VLOOKUP($D5,NeoTblTijden!$A$17:$Y$27,NeoTblTijden!J$15,FALSE),"")</f>
        <v/>
      </c>
      <c r="Q5" s="378" t="str">
        <f>IF(OR($D5="1 dd",$D5="2 dd",$D5="3 dd",$D5="4 dd",$D5="5 dd",$D5="6 dd",$D5="8 dd",$D5="12 dd",$D5="24 dd",$D5="an",$D5="zn"),VLOOKUP($D5,NeoTblTijden!$A$17:$Y$27,NeoTblTijden!K$15,FALSE),"")</f>
        <v/>
      </c>
      <c r="R5" s="93" t="str">
        <f>IF(OR($D5="1 dd",$D5="2 dd",$D5="3 dd",$D5="4 dd",$D5="5 dd",$D5="6 dd",$D5="8 dd",$D5="12 dd",$D5="24 dd",$D5="an",$D5="zn"),VLOOKUP($D5,NeoTblTijden!$A$17:$Y$27,NeoTblTijden!L$15,FALSE),"")</f>
        <v/>
      </c>
      <c r="S5" s="378" t="str">
        <f>IF(OR($D5="1 dd",$D5="2 dd",$D5="3 dd",$D5="4 dd",$D5="5 dd",$D5="6 dd",$D5="8 dd",$D5="12 dd",$D5="24 dd",$D5="an",$D5="zn"),VLOOKUP($D5,NeoTblTijden!$A$17:$Y$27,NeoTblTijden!M$15,FALSE),"")</f>
        <v/>
      </c>
      <c r="T5" s="93" t="str">
        <f>IF(OR($D5="1 dd",$D5="2 dd",$D5="3 dd",$D5="4 dd",$D5="5 dd",$D5="6 dd",$D5="8 dd",$D5="12 dd",$D5="24 dd",$D5="an",$D5="zn"),VLOOKUP($D5,NeoTblTijden!$A$17:$Y$27,NeoTblTijden!N$15,FALSE),"")</f>
        <v/>
      </c>
      <c r="U5" s="378" t="str">
        <f>IF(OR($D5="1 dd",$D5="2 dd",$D5="3 dd",$D5="4 dd",$D5="5 dd",$D5="6 dd",$D5="8 dd",$D5="12 dd",$D5="24 dd",$D5="an",$D5="zn"),VLOOKUP($D5,NeoTblTijden!$A$17:$Y$27,NeoTblTijden!O$15,FALSE),"")</f>
        <v/>
      </c>
      <c r="V5" s="93" t="str">
        <f>IF(OR($D5="1 dd",$D5="2 dd",$D5="3 dd",$D5="4 dd",$D5="5 dd",$D5="6 dd",$D5="8 dd",$D5="12 dd",$D5="24 dd",$D5="an",$D5="zn"),VLOOKUP($D5,NeoTblTijden!$A$17:$Y$27,NeoTblTijden!P$15,FALSE),"")</f>
        <v/>
      </c>
      <c r="W5" s="378" t="str">
        <f>IF(OR($D5="1 dd",$D5="2 dd",$D5="3 dd",$D5="4 dd",$D5="5 dd",$D5="6 dd",$D5="8 dd",$D5="12 dd",$D5="24 dd",$D5="an",$D5="zn"),VLOOKUP($D5,NeoTblTijden!$A$17:$Y$27,NeoTblTijden!Q$15,FALSE),"")</f>
        <v/>
      </c>
      <c r="X5" s="93" t="str">
        <f>IF(OR($D5="1 dd",$D5="2 dd",$D5="3 dd",$D5="4 dd",$D5="5 dd",$D5="6 dd",$D5="8 dd",$D5="12 dd",$D5="24 dd",$D5="an",$D5="zn"),VLOOKUP($D5,NeoTblTijden!$A$17:$Y$27,NeoTblTijden!R$15,FALSE),"")</f>
        <v/>
      </c>
      <c r="Y5" s="378" t="str">
        <f>IF(OR($D5="1 dd",$D5="2 dd",$D5="3 dd",$D5="4 dd",$D5="5 dd",$D5="6 dd",$D5="8 dd",$D5="12 dd",$D5="24 dd",$D5="an",$D5="zn"),VLOOKUP($D5,NeoTblTijden!$A$17:$Y$27,NeoTblTijden!S$15,FALSE),"")</f>
        <v/>
      </c>
      <c r="Z5" s="93" t="str">
        <f>IF(OR($D5="1 dd",$D5="2 dd",$D5="3 dd",$D5="4 dd",$D5="5 dd",$D5="6 dd",$D5="8 dd",$D5="12 dd",$D5="24 dd",$D5="an",$D5="zn"),VLOOKUP($D5,NeoTblTijden!$A$17:$Y$27,NeoTblTijden!T$15,FALSE),"")</f>
        <v/>
      </c>
      <c r="AA5" s="378" t="str">
        <f>IF(OR($D5="1 dd",$D5="2 dd",$D5="3 dd",$D5="4 dd",$D5="5 dd",$D5="6 dd",$D5="8 dd",$D5="12 dd",$D5="24 dd",$D5="an",$D5="zn"),VLOOKUP($D5,NeoTblTijden!$A$17:$Y$27,NeoTblTijden!U$15,FALSE),"")</f>
        <v/>
      </c>
      <c r="AB5" s="93" t="str">
        <f>IF(OR($D5="1 dd",$D5="2 dd",$D5="3 dd",$D5="4 dd",$D5="5 dd",$D5="6 dd",$D5="8 dd",$D5="12 dd",$D5="24 dd",$D5="an",$D5="zn"),VLOOKUP($D5,NeoTblTijden!$A$17:$Y$27,NeoTblTijden!V$15,FALSE),"")</f>
        <v/>
      </c>
      <c r="AC5" s="378" t="str">
        <f>IF(OR($D5="1 dd",$D5="2 dd",$D5="3 dd",$D5="4 dd",$D5="5 dd",$D5="6 dd",$D5="8 dd",$D5="12 dd",$D5="24 dd",$D5="an",$D5="zn"),VLOOKUP($D5,NeoTblTijden!$A$17:$Y$27,NeoTblTijden!W$15,FALSE),"")</f>
        <v/>
      </c>
      <c r="AD5" s="93" t="str">
        <f>IF(OR($D5="1 dd",$D5="2 dd",$D5="3 dd",$D5="4 dd",$D5="5 dd",$D5="6 dd",$D5="8 dd",$D5="12 dd",$D5="24 dd",$D5="an",$D5="zn"),VLOOKUP($D5,NeoTblTijden!$A$17:$Y$27,NeoTblTijden!X$15,FALSE),"")</f>
        <v/>
      </c>
      <c r="AE5" s="378" t="str">
        <f>IF(OR($D5="1 dd",$D5="2 dd",$D5="3 dd",$D5="4 dd",$D5="5 dd",$D5="6 dd",$D5="8 dd",$D5="12 dd",$D5="24 dd",$D5="an",$D5="zn"),VLOOKUP($D5,NeoTblTijden!$A$17:$Y$27,NeoTblTijden!Y$15,FALSE),"")</f>
        <v/>
      </c>
      <c r="AF5" s="92"/>
      <c r="AG5" s="14"/>
    </row>
    <row r="6" spans="1:33" ht="26.1" customHeight="1" x14ac:dyDescent="0.2">
      <c r="A6" s="356"/>
      <c r="B6" s="94"/>
      <c r="C6" s="125" t="str">
        <f>IF(GlobBerMedDisc!C5&lt;&gt;"",IF(GlobBerMedDisc!C5&gt;1,TRIM(GlobBerMedDisc!C5)&amp;", "&amp;GlobBerOpm!#REF!&amp;" ("&amp;GlobBerMedDisc!M5&amp;" "&amp;GlobBerMedDisc!F5&amp;"/kg/dag)",TRIM(GlobBerMedDisc!C5)&amp;", "&amp;GlobBerOpm!#REF!),"")</f>
        <v/>
      </c>
      <c r="D6" s="126" t="str">
        <f>IF(GlobGuiMedDisc!I12&lt;&gt;"",GlobGuiMedDisc!I12,"")</f>
        <v/>
      </c>
      <c r="E6" s="127" t="str">
        <f>IF(AND(D6&lt;&gt;"",D6&lt;&gt;"STOP"),GlobBerMedDisc!H5&amp;" "&amp;GlobBerMedDisc!F5,"")</f>
        <v/>
      </c>
      <c r="F6" s="127" t="str">
        <f>IF(AND(D6&lt;&gt;"",D6&lt;&gt;"STOP"),GlobBerMedDisc!L5," ")</f>
        <v xml:space="preserve"> </v>
      </c>
      <c r="G6" s="127" t="str">
        <f>IF(GlobGuiMedDisc!N12&lt;&gt;"",GlobGuiMedDisc!N12&amp;" "&amp;GlobGuiMedDisc!O12&amp;" "&amp;INDEX(GlobBerMedDisc!$B$27:$B$30,GlobBerMedDisc!O5,1)&amp;" in "&amp;GlobGuiMedDisc!$R$12,"")</f>
        <v/>
      </c>
      <c r="H6" s="93" t="str">
        <f>IF(OR($D6="1 dd",$D6="2 dd",$D6="3 dd",$D6="4 dd",$D6="5 dd",$D6="6 dd",$D6="8 dd",$D6="12 dd",$D6="24 dd",$D6="an",$D6="zn"),VLOOKUP($D6,NeoTblTijden!$A$17:$Y$27,NeoTblTijden!B$15,FALSE),"")</f>
        <v/>
      </c>
      <c r="I6" s="378" t="str">
        <f>IF(OR($D6="1 dd",$D6="2 dd",$D6="3 dd",$D6="4 dd",$D6="5 dd",$D6="6 dd",$D6="8 dd",$D6="12 dd",$D6="24 dd",$D6="an",$D6="zn"),VLOOKUP($D6,NeoTblTijden!$A$17:$Y$27,NeoTblTijden!C$15,FALSE),"")</f>
        <v/>
      </c>
      <c r="J6" s="93" t="str">
        <f>IF(OR($D6="1 dd",$D6="2 dd",$D6="3 dd",$D6="4 dd",$D6="5 dd",$D6="6 dd",$D6="8 dd",$D6="12 dd",$D6="24 dd",$D6="an",$D6="zn"),VLOOKUP($D6,NeoTblTijden!$A$17:$Y$27,NeoTblTijden!D$15,FALSE),"")</f>
        <v/>
      </c>
      <c r="K6" s="378" t="str">
        <f>IF(OR($D6="1 dd",$D6="2 dd",$D6="3 dd",$D6="4 dd",$D6="5 dd",$D6="6 dd",$D6="8 dd",$D6="12 dd",$D6="24 dd",$D6="an",$D6="zn"),VLOOKUP($D6,NeoTblTijden!$A$17:$Y$27,NeoTblTijden!E$15,FALSE),"")</f>
        <v/>
      </c>
      <c r="L6" s="93" t="str">
        <f>IF(OR($D6="1 dd",$D6="2 dd",$D6="3 dd",$D6="4 dd",$D6="5 dd",$D6="6 dd",$D6="8 dd",$D6="12 dd",$D6="24 dd",$D6="an",$D6="zn"),VLOOKUP($D6,NeoTblTijden!$A$17:$Y$27,NeoTblTijden!F$15,FALSE),"")</f>
        <v/>
      </c>
      <c r="M6" s="378" t="str">
        <f>IF(OR($D6="1 dd",$D6="2 dd",$D6="3 dd",$D6="4 dd",$D6="5 dd",$D6="6 dd",$D6="8 dd",$D6="12 dd",$D6="24 dd",$D6="an",$D6="zn"),VLOOKUP($D6,NeoTblTijden!$A$17:$Y$27,NeoTblTijden!G$15,FALSE),"")</f>
        <v/>
      </c>
      <c r="N6" s="93" t="str">
        <f>IF(OR($D6="1 dd",$D6="2 dd",$D6="3 dd",$D6="4 dd",$D6="5 dd",$D6="6 dd",$D6="8 dd",$D6="12 dd",$D6="24 dd",$D6="an",$D6="zn"),VLOOKUP($D6,NeoTblTijden!$A$17:$Y$27,NeoTblTijden!H$15,FALSE),"")</f>
        <v/>
      </c>
      <c r="O6" s="378" t="str">
        <f>IF(OR($D6="1 dd",$D6="2 dd",$D6="3 dd",$D6="4 dd",$D6="5 dd",$D6="6 dd",$D6="8 dd",$D6="12 dd",$D6="24 dd",$D6="an",$D6="zn"),VLOOKUP($D6,NeoTblTijden!$A$17:$Y$27,NeoTblTijden!I$15,FALSE),"")</f>
        <v/>
      </c>
      <c r="P6" s="93" t="str">
        <f>IF(OR($D6="1 dd",$D6="2 dd",$D6="3 dd",$D6="4 dd",$D6="5 dd",$D6="6 dd",$D6="8 dd",$D6="12 dd",$D6="24 dd",$D6="an",$D6="zn"),VLOOKUP($D6,NeoTblTijden!$A$17:$Y$27,NeoTblTijden!J$15,FALSE),"")</f>
        <v/>
      </c>
      <c r="Q6" s="378" t="str">
        <f>IF(OR($D6="1 dd",$D6="2 dd",$D6="3 dd",$D6="4 dd",$D6="5 dd",$D6="6 dd",$D6="8 dd",$D6="12 dd",$D6="24 dd",$D6="an",$D6="zn"),VLOOKUP($D6,NeoTblTijden!$A$17:$Y$27,NeoTblTijden!K$15,FALSE),"")</f>
        <v/>
      </c>
      <c r="R6" s="93" t="str">
        <f>IF(OR($D6="1 dd",$D6="2 dd",$D6="3 dd",$D6="4 dd",$D6="5 dd",$D6="6 dd",$D6="8 dd",$D6="12 dd",$D6="24 dd",$D6="an",$D6="zn"),VLOOKUP($D6,NeoTblTijden!$A$17:$Y$27,NeoTblTijden!L$15,FALSE),"")</f>
        <v/>
      </c>
      <c r="S6" s="378" t="str">
        <f>IF(OR($D6="1 dd",$D6="2 dd",$D6="3 dd",$D6="4 dd",$D6="5 dd",$D6="6 dd",$D6="8 dd",$D6="12 dd",$D6="24 dd",$D6="an",$D6="zn"),VLOOKUP($D6,NeoTblTijden!$A$17:$Y$27,NeoTblTijden!M$15,FALSE),"")</f>
        <v/>
      </c>
      <c r="T6" s="93" t="str">
        <f>IF(OR($D6="1 dd",$D6="2 dd",$D6="3 dd",$D6="4 dd",$D6="5 dd",$D6="6 dd",$D6="8 dd",$D6="12 dd",$D6="24 dd",$D6="an",$D6="zn"),VLOOKUP($D6,NeoTblTijden!$A$17:$Y$27,NeoTblTijden!N$15,FALSE),"")</f>
        <v/>
      </c>
      <c r="U6" s="378" t="str">
        <f>IF(OR($D6="1 dd",$D6="2 dd",$D6="3 dd",$D6="4 dd",$D6="5 dd",$D6="6 dd",$D6="8 dd",$D6="12 dd",$D6="24 dd",$D6="an",$D6="zn"),VLOOKUP($D6,NeoTblTijden!$A$17:$Y$27,NeoTblTijden!O$15,FALSE),"")</f>
        <v/>
      </c>
      <c r="V6" s="93" t="str">
        <f>IF(OR($D6="1 dd",$D6="2 dd",$D6="3 dd",$D6="4 dd",$D6="5 dd",$D6="6 dd",$D6="8 dd",$D6="12 dd",$D6="24 dd",$D6="an",$D6="zn"),VLOOKUP($D6,NeoTblTijden!$A$17:$Y$27,NeoTblTijden!P$15,FALSE),"")</f>
        <v/>
      </c>
      <c r="W6" s="378" t="str">
        <f>IF(OR($D6="1 dd",$D6="2 dd",$D6="3 dd",$D6="4 dd",$D6="5 dd",$D6="6 dd",$D6="8 dd",$D6="12 dd",$D6="24 dd",$D6="an",$D6="zn"),VLOOKUP($D6,NeoTblTijden!$A$17:$Y$27,NeoTblTijden!Q$15,FALSE),"")</f>
        <v/>
      </c>
      <c r="X6" s="93" t="str">
        <f>IF(OR($D6="1 dd",$D6="2 dd",$D6="3 dd",$D6="4 dd",$D6="5 dd",$D6="6 dd",$D6="8 dd",$D6="12 dd",$D6="24 dd",$D6="an",$D6="zn"),VLOOKUP($D6,NeoTblTijden!$A$17:$Y$27,NeoTblTijden!R$15,FALSE),"")</f>
        <v/>
      </c>
      <c r="Y6" s="378" t="str">
        <f>IF(OR($D6="1 dd",$D6="2 dd",$D6="3 dd",$D6="4 dd",$D6="5 dd",$D6="6 dd",$D6="8 dd",$D6="12 dd",$D6="24 dd",$D6="an",$D6="zn"),VLOOKUP($D6,NeoTblTijden!$A$17:$Y$27,NeoTblTijden!S$15,FALSE),"")</f>
        <v/>
      </c>
      <c r="Z6" s="93" t="str">
        <f>IF(OR($D6="1 dd",$D6="2 dd",$D6="3 dd",$D6="4 dd",$D6="5 dd",$D6="6 dd",$D6="8 dd",$D6="12 dd",$D6="24 dd",$D6="an",$D6="zn"),VLOOKUP($D6,NeoTblTijden!$A$17:$Y$27,NeoTblTijden!T$15,FALSE),"")</f>
        <v/>
      </c>
      <c r="AA6" s="378" t="str">
        <f>IF(OR($D6="1 dd",$D6="2 dd",$D6="3 dd",$D6="4 dd",$D6="5 dd",$D6="6 dd",$D6="8 dd",$D6="12 dd",$D6="24 dd",$D6="an",$D6="zn"),VLOOKUP($D6,NeoTblTijden!$A$17:$Y$27,NeoTblTijden!U$15,FALSE),"")</f>
        <v/>
      </c>
      <c r="AB6" s="93" t="str">
        <f>IF(OR($D6="1 dd",$D6="2 dd",$D6="3 dd",$D6="4 dd",$D6="5 dd",$D6="6 dd",$D6="8 dd",$D6="12 dd",$D6="24 dd",$D6="an",$D6="zn"),VLOOKUP($D6,NeoTblTijden!$A$17:$Y$27,NeoTblTijden!V$15,FALSE),"")</f>
        <v/>
      </c>
      <c r="AC6" s="378" t="str">
        <f>IF(OR($D6="1 dd",$D6="2 dd",$D6="3 dd",$D6="4 dd",$D6="5 dd",$D6="6 dd",$D6="8 dd",$D6="12 dd",$D6="24 dd",$D6="an",$D6="zn"),VLOOKUP($D6,NeoTblTijden!$A$17:$Y$27,NeoTblTijden!W$15,FALSE),"")</f>
        <v/>
      </c>
      <c r="AD6" s="93" t="str">
        <f>IF(OR($D6="1 dd",$D6="2 dd",$D6="3 dd",$D6="4 dd",$D6="5 dd",$D6="6 dd",$D6="8 dd",$D6="12 dd",$D6="24 dd",$D6="an",$D6="zn"),VLOOKUP($D6,NeoTblTijden!$A$17:$Y$27,NeoTblTijden!X$15,FALSE),"")</f>
        <v/>
      </c>
      <c r="AE6" s="378" t="str">
        <f>IF(OR($D6="1 dd",$D6="2 dd",$D6="3 dd",$D6="4 dd",$D6="5 dd",$D6="6 dd",$D6="8 dd",$D6="12 dd",$D6="24 dd",$D6="an",$D6="zn"),VLOOKUP($D6,NeoTblTijden!$A$17:$Y$27,NeoTblTijden!Y$15,FALSE),"")</f>
        <v/>
      </c>
      <c r="AF6" s="92"/>
      <c r="AG6" s="14"/>
    </row>
    <row r="7" spans="1:33" ht="26.1" customHeight="1" x14ac:dyDescent="0.2">
      <c r="B7" s="94"/>
      <c r="C7" s="125" t="str">
        <f>IF(GlobBerMedDisc!C6&lt;&gt;"",IF(GlobBerMedDisc!C6&gt;1,TRIM(GlobBerMedDisc!C6)&amp;", "&amp;GlobBerOpm!#REF!&amp;" ("&amp;GlobBerMedDisc!M6&amp;" "&amp;GlobBerMedDisc!F6&amp;"/kg/dag)",TRIM(GlobBerMedDisc!C6)&amp;", "&amp;GlobBerOpm!#REF!),"")</f>
        <v/>
      </c>
      <c r="D7" s="126" t="str">
        <f>IF(GlobGuiMedDisc!I13&lt;&gt;"",GlobGuiMedDisc!I13,"")</f>
        <v/>
      </c>
      <c r="E7" s="127" t="str">
        <f>IF(AND(D7&lt;&gt;"",D7&lt;&gt;"STOP"),GlobBerMedDisc!H6&amp;" "&amp;GlobBerMedDisc!F6,"")</f>
        <v/>
      </c>
      <c r="F7" s="127" t="str">
        <f>IF(AND(D7&lt;&gt;"",D7&lt;&gt;"STOP"),GlobBerMedDisc!L6," ")</f>
        <v xml:space="preserve"> </v>
      </c>
      <c r="G7" s="127" t="str">
        <f>IF(GlobGuiMedDisc!N13&lt;&gt;"",GlobGuiMedDisc!N13&amp;" "&amp;GlobGuiMedDisc!O13&amp;" "&amp;INDEX(GlobBerMedDisc!$B$27:$B$30,GlobBerMedDisc!O6,1)&amp;" in "&amp;GlobGuiMedDisc!$R$13,"")</f>
        <v/>
      </c>
      <c r="H7" s="93" t="str">
        <f>IF(OR($D7="1 dd",$D7="2 dd",$D7="3 dd",$D7="4 dd",$D7="5 dd",$D7="6 dd",$D7="8 dd",$D7="12 dd",$D7="24 dd",$D7="an",$D7="zn"),VLOOKUP($D7,NeoTblTijden!$A$17:$Y$27,NeoTblTijden!B$15,FALSE),"")</f>
        <v/>
      </c>
      <c r="I7" s="378" t="str">
        <f>IF(OR($D7="1 dd",$D7="2 dd",$D7="3 dd",$D7="4 dd",$D7="5 dd",$D7="6 dd",$D7="8 dd",$D7="12 dd",$D7="24 dd",$D7="an",$D7="zn"),VLOOKUP($D7,NeoTblTijden!$A$17:$Y$27,NeoTblTijden!C$15,FALSE),"")</f>
        <v/>
      </c>
      <c r="J7" s="93" t="str">
        <f>IF(OR($D7="1 dd",$D7="2 dd",$D7="3 dd",$D7="4 dd",$D7="5 dd",$D7="6 dd",$D7="8 dd",$D7="12 dd",$D7="24 dd",$D7="an",$D7="zn"),VLOOKUP($D7,NeoTblTijden!$A$17:$Y$27,NeoTblTijden!D$15,FALSE),"")</f>
        <v/>
      </c>
      <c r="K7" s="378" t="str">
        <f>IF(OR($D7="1 dd",$D7="2 dd",$D7="3 dd",$D7="4 dd",$D7="5 dd",$D7="6 dd",$D7="8 dd",$D7="12 dd",$D7="24 dd",$D7="an",$D7="zn"),VLOOKUP($D7,NeoTblTijden!$A$17:$Y$27,NeoTblTijden!E$15,FALSE),"")</f>
        <v/>
      </c>
      <c r="L7" s="93" t="str">
        <f>IF(OR($D7="1 dd",$D7="2 dd",$D7="3 dd",$D7="4 dd",$D7="5 dd",$D7="6 dd",$D7="8 dd",$D7="12 dd",$D7="24 dd",$D7="an",$D7="zn"),VLOOKUP($D7,NeoTblTijden!$A$17:$Y$27,NeoTblTijden!F$15,FALSE),"")</f>
        <v/>
      </c>
      <c r="M7" s="378" t="str">
        <f>IF(OR($D7="1 dd",$D7="2 dd",$D7="3 dd",$D7="4 dd",$D7="5 dd",$D7="6 dd",$D7="8 dd",$D7="12 dd",$D7="24 dd",$D7="an",$D7="zn"),VLOOKUP($D7,NeoTblTijden!$A$17:$Y$27,NeoTblTijden!G$15,FALSE),"")</f>
        <v/>
      </c>
      <c r="N7" s="93" t="str">
        <f>IF(OR($D7="1 dd",$D7="2 dd",$D7="3 dd",$D7="4 dd",$D7="5 dd",$D7="6 dd",$D7="8 dd",$D7="12 dd",$D7="24 dd",$D7="an",$D7="zn"),VLOOKUP($D7,NeoTblTijden!$A$17:$Y$27,NeoTblTijden!H$15,FALSE),"")</f>
        <v/>
      </c>
      <c r="O7" s="378" t="str">
        <f>IF(OR($D7="1 dd",$D7="2 dd",$D7="3 dd",$D7="4 dd",$D7="5 dd",$D7="6 dd",$D7="8 dd",$D7="12 dd",$D7="24 dd",$D7="an",$D7="zn"),VLOOKUP($D7,NeoTblTijden!$A$17:$Y$27,NeoTblTijden!I$15,FALSE),"")</f>
        <v/>
      </c>
      <c r="P7" s="93" t="str">
        <f>IF(OR($D7="1 dd",$D7="2 dd",$D7="3 dd",$D7="4 dd",$D7="5 dd",$D7="6 dd",$D7="8 dd",$D7="12 dd",$D7="24 dd",$D7="an",$D7="zn"),VLOOKUP($D7,NeoTblTijden!$A$17:$Y$27,NeoTblTijden!J$15,FALSE),"")</f>
        <v/>
      </c>
      <c r="Q7" s="378" t="str">
        <f>IF(OR($D7="1 dd",$D7="2 dd",$D7="3 dd",$D7="4 dd",$D7="5 dd",$D7="6 dd",$D7="8 dd",$D7="12 dd",$D7="24 dd",$D7="an",$D7="zn"),VLOOKUP($D7,NeoTblTijden!$A$17:$Y$27,NeoTblTijden!K$15,FALSE),"")</f>
        <v/>
      </c>
      <c r="R7" s="93" t="str">
        <f>IF(OR($D7="1 dd",$D7="2 dd",$D7="3 dd",$D7="4 dd",$D7="5 dd",$D7="6 dd",$D7="8 dd",$D7="12 dd",$D7="24 dd",$D7="an",$D7="zn"),VLOOKUP($D7,NeoTblTijden!$A$17:$Y$27,NeoTblTijden!L$15,FALSE),"")</f>
        <v/>
      </c>
      <c r="S7" s="378" t="str">
        <f>IF(OR($D7="1 dd",$D7="2 dd",$D7="3 dd",$D7="4 dd",$D7="5 dd",$D7="6 dd",$D7="8 dd",$D7="12 dd",$D7="24 dd",$D7="an",$D7="zn"),VLOOKUP($D7,NeoTblTijden!$A$17:$Y$27,NeoTblTijden!M$15,FALSE),"")</f>
        <v/>
      </c>
      <c r="T7" s="93" t="str">
        <f>IF(OR($D7="1 dd",$D7="2 dd",$D7="3 dd",$D7="4 dd",$D7="5 dd",$D7="6 dd",$D7="8 dd",$D7="12 dd",$D7="24 dd",$D7="an",$D7="zn"),VLOOKUP($D7,NeoTblTijden!$A$17:$Y$27,NeoTblTijden!N$15,FALSE),"")</f>
        <v/>
      </c>
      <c r="U7" s="378" t="str">
        <f>IF(OR($D7="1 dd",$D7="2 dd",$D7="3 dd",$D7="4 dd",$D7="5 dd",$D7="6 dd",$D7="8 dd",$D7="12 dd",$D7="24 dd",$D7="an",$D7="zn"),VLOOKUP($D7,NeoTblTijden!$A$17:$Y$27,NeoTblTijden!O$15,FALSE),"")</f>
        <v/>
      </c>
      <c r="V7" s="93" t="str">
        <f>IF(OR($D7="1 dd",$D7="2 dd",$D7="3 dd",$D7="4 dd",$D7="5 dd",$D7="6 dd",$D7="8 dd",$D7="12 dd",$D7="24 dd",$D7="an",$D7="zn"),VLOOKUP($D7,NeoTblTijden!$A$17:$Y$27,NeoTblTijden!P$15,FALSE),"")</f>
        <v/>
      </c>
      <c r="W7" s="378" t="str">
        <f>IF(OR($D7="1 dd",$D7="2 dd",$D7="3 dd",$D7="4 dd",$D7="5 dd",$D7="6 dd",$D7="8 dd",$D7="12 dd",$D7="24 dd",$D7="an",$D7="zn"),VLOOKUP($D7,NeoTblTijden!$A$17:$Y$27,NeoTblTijden!Q$15,FALSE),"")</f>
        <v/>
      </c>
      <c r="X7" s="93" t="str">
        <f>IF(OR($D7="1 dd",$D7="2 dd",$D7="3 dd",$D7="4 dd",$D7="5 dd",$D7="6 dd",$D7="8 dd",$D7="12 dd",$D7="24 dd",$D7="an",$D7="zn"),VLOOKUP($D7,NeoTblTijden!$A$17:$Y$27,NeoTblTijden!R$15,FALSE),"")</f>
        <v/>
      </c>
      <c r="Y7" s="378" t="str">
        <f>IF(OR($D7="1 dd",$D7="2 dd",$D7="3 dd",$D7="4 dd",$D7="5 dd",$D7="6 dd",$D7="8 dd",$D7="12 dd",$D7="24 dd",$D7="an",$D7="zn"),VLOOKUP($D7,NeoTblTijden!$A$17:$Y$27,NeoTblTijden!S$15,FALSE),"")</f>
        <v/>
      </c>
      <c r="Z7" s="93" t="str">
        <f>IF(OR($D7="1 dd",$D7="2 dd",$D7="3 dd",$D7="4 dd",$D7="5 dd",$D7="6 dd",$D7="8 dd",$D7="12 dd",$D7="24 dd",$D7="an",$D7="zn"),VLOOKUP($D7,NeoTblTijden!$A$17:$Y$27,NeoTblTijden!T$15,FALSE),"")</f>
        <v/>
      </c>
      <c r="AA7" s="378" t="str">
        <f>IF(OR($D7="1 dd",$D7="2 dd",$D7="3 dd",$D7="4 dd",$D7="5 dd",$D7="6 dd",$D7="8 dd",$D7="12 dd",$D7="24 dd",$D7="an",$D7="zn"),VLOOKUP($D7,NeoTblTijden!$A$17:$Y$27,NeoTblTijden!U$15,FALSE),"")</f>
        <v/>
      </c>
      <c r="AB7" s="93" t="str">
        <f>IF(OR($D7="1 dd",$D7="2 dd",$D7="3 dd",$D7="4 dd",$D7="5 dd",$D7="6 dd",$D7="8 dd",$D7="12 dd",$D7="24 dd",$D7="an",$D7="zn"),VLOOKUP($D7,NeoTblTijden!$A$17:$Y$27,NeoTblTijden!V$15,FALSE),"")</f>
        <v/>
      </c>
      <c r="AC7" s="378" t="str">
        <f>IF(OR($D7="1 dd",$D7="2 dd",$D7="3 dd",$D7="4 dd",$D7="5 dd",$D7="6 dd",$D7="8 dd",$D7="12 dd",$D7="24 dd",$D7="an",$D7="zn"),VLOOKUP($D7,NeoTblTijden!$A$17:$Y$27,NeoTblTijden!W$15,FALSE),"")</f>
        <v/>
      </c>
      <c r="AD7" s="93" t="str">
        <f>IF(OR($D7="1 dd",$D7="2 dd",$D7="3 dd",$D7="4 dd",$D7="5 dd",$D7="6 dd",$D7="8 dd",$D7="12 dd",$D7="24 dd",$D7="an",$D7="zn"),VLOOKUP($D7,NeoTblTijden!$A$17:$Y$27,NeoTblTijden!X$15,FALSE),"")</f>
        <v/>
      </c>
      <c r="AE7" s="378" t="str">
        <f>IF(OR($D7="1 dd",$D7="2 dd",$D7="3 dd",$D7="4 dd",$D7="5 dd",$D7="6 dd",$D7="8 dd",$D7="12 dd",$D7="24 dd",$D7="an",$D7="zn"),VLOOKUP($D7,NeoTblTijden!$A$17:$Y$27,NeoTblTijden!Y$15,FALSE),"")</f>
        <v/>
      </c>
      <c r="AF7" s="92"/>
      <c r="AG7" s="14"/>
    </row>
    <row r="8" spans="1:33" ht="26.1" customHeight="1" x14ac:dyDescent="0.2">
      <c r="B8" s="94"/>
      <c r="C8" s="125" t="str">
        <f>IF(GlobBerMedDisc!C7&lt;&gt;"",IF(GlobBerMedDisc!C7&gt;1,TRIM(GlobBerMedDisc!C7)&amp;", "&amp;GlobBerOpm!#REF!&amp;" ("&amp;GlobBerMedDisc!M7&amp;" "&amp;GlobBerMedDisc!F7&amp;"/kg/dag)",TRIM(GlobBerMedDisc!C7)&amp;", "&amp;GlobBerOpm!#REF!),"")</f>
        <v/>
      </c>
      <c r="D8" s="126" t="str">
        <f>IF(GlobGuiMedDisc!I14&lt;&gt;"",GlobGuiMedDisc!I14,"")</f>
        <v/>
      </c>
      <c r="E8" s="127" t="str">
        <f>IF(AND(D8&lt;&gt;"",D8&lt;&gt;"STOP"),GlobBerMedDisc!H7&amp;" "&amp;GlobBerMedDisc!F7,"")</f>
        <v/>
      </c>
      <c r="F8" s="127" t="str">
        <f>IF(AND(D8&lt;&gt;"",D8&lt;&gt;"STOP"),GlobBerMedDisc!L7," ")</f>
        <v xml:space="preserve"> </v>
      </c>
      <c r="G8" s="127" t="str">
        <f>IF(GlobGuiMedDisc!N14&lt;&gt;"",GlobGuiMedDisc!N14&amp;" "&amp;GlobGuiMedDisc!O14&amp;" "&amp;INDEX(GlobBerMedDisc!$B$27:$B$30,GlobBerMedDisc!O7,1)&amp;" in "&amp;GlobGuiMedDisc!$R$14,"")</f>
        <v/>
      </c>
      <c r="H8" s="93" t="str">
        <f>IF(OR($D8="1 dd",$D8="2 dd",$D8="3 dd",$D8="4 dd",$D8="5 dd",$D8="6 dd",$D8="8 dd",$D8="12 dd",$D8="24 dd",$D8="an",$D8="zn"),VLOOKUP($D8,NeoTblTijden!$A$17:$Y$27,NeoTblTijden!B$15,FALSE),"")</f>
        <v/>
      </c>
      <c r="I8" s="378" t="str">
        <f>IF(OR($D8="1 dd",$D8="2 dd",$D8="3 dd",$D8="4 dd",$D8="5 dd",$D8="6 dd",$D8="8 dd",$D8="12 dd",$D8="24 dd",$D8="an",$D8="zn"),VLOOKUP($D8,NeoTblTijden!$A$17:$Y$27,NeoTblTijden!C$15,FALSE),"")</f>
        <v/>
      </c>
      <c r="J8" s="93" t="str">
        <f>IF(OR($D8="1 dd",$D8="2 dd",$D8="3 dd",$D8="4 dd",$D8="5 dd",$D8="6 dd",$D8="8 dd",$D8="12 dd",$D8="24 dd",$D8="an",$D8="zn"),VLOOKUP($D8,NeoTblTijden!$A$17:$Y$27,NeoTblTijden!D$15,FALSE),"")</f>
        <v/>
      </c>
      <c r="K8" s="378" t="str">
        <f>IF(OR($D8="1 dd",$D8="2 dd",$D8="3 dd",$D8="4 dd",$D8="5 dd",$D8="6 dd",$D8="8 dd",$D8="12 dd",$D8="24 dd",$D8="an",$D8="zn"),VLOOKUP($D8,NeoTblTijden!$A$17:$Y$27,NeoTblTijden!E$15,FALSE),"")</f>
        <v/>
      </c>
      <c r="L8" s="93" t="str">
        <f>IF(OR($D8="1 dd",$D8="2 dd",$D8="3 dd",$D8="4 dd",$D8="5 dd",$D8="6 dd",$D8="8 dd",$D8="12 dd",$D8="24 dd",$D8="an",$D8="zn"),VLOOKUP($D8,NeoTblTijden!$A$17:$Y$27,NeoTblTijden!F$15,FALSE),"")</f>
        <v/>
      </c>
      <c r="M8" s="378" t="str">
        <f>IF(OR($D8="1 dd",$D8="2 dd",$D8="3 dd",$D8="4 dd",$D8="5 dd",$D8="6 dd",$D8="8 dd",$D8="12 dd",$D8="24 dd",$D8="an",$D8="zn"),VLOOKUP($D8,NeoTblTijden!$A$17:$Y$27,NeoTblTijden!G$15,FALSE),"")</f>
        <v/>
      </c>
      <c r="N8" s="93" t="str">
        <f>IF(OR($D8="1 dd",$D8="2 dd",$D8="3 dd",$D8="4 dd",$D8="5 dd",$D8="6 dd",$D8="8 dd",$D8="12 dd",$D8="24 dd",$D8="an",$D8="zn"),VLOOKUP($D8,NeoTblTijden!$A$17:$Y$27,NeoTblTijden!H$15,FALSE),"")</f>
        <v/>
      </c>
      <c r="O8" s="378" t="str">
        <f>IF(OR($D8="1 dd",$D8="2 dd",$D8="3 dd",$D8="4 dd",$D8="5 dd",$D8="6 dd",$D8="8 dd",$D8="12 dd",$D8="24 dd",$D8="an",$D8="zn"),VLOOKUP($D8,NeoTblTijden!$A$17:$Y$27,NeoTblTijden!I$15,FALSE),"")</f>
        <v/>
      </c>
      <c r="P8" s="93" t="str">
        <f>IF(OR($D8="1 dd",$D8="2 dd",$D8="3 dd",$D8="4 dd",$D8="5 dd",$D8="6 dd",$D8="8 dd",$D8="12 dd",$D8="24 dd",$D8="an",$D8="zn"),VLOOKUP($D8,NeoTblTijden!$A$17:$Y$27,NeoTblTijden!J$15,FALSE),"")</f>
        <v/>
      </c>
      <c r="Q8" s="378" t="str">
        <f>IF(OR($D8="1 dd",$D8="2 dd",$D8="3 dd",$D8="4 dd",$D8="5 dd",$D8="6 dd",$D8="8 dd",$D8="12 dd",$D8="24 dd",$D8="an",$D8="zn"),VLOOKUP($D8,NeoTblTijden!$A$17:$Y$27,NeoTblTijden!K$15,FALSE),"")</f>
        <v/>
      </c>
      <c r="R8" s="93" t="str">
        <f>IF(OR($D8="1 dd",$D8="2 dd",$D8="3 dd",$D8="4 dd",$D8="5 dd",$D8="6 dd",$D8="8 dd",$D8="12 dd",$D8="24 dd",$D8="an",$D8="zn"),VLOOKUP($D8,NeoTblTijden!$A$17:$Y$27,NeoTblTijden!L$15,FALSE),"")</f>
        <v/>
      </c>
      <c r="S8" s="378" t="str">
        <f>IF(OR($D8="1 dd",$D8="2 dd",$D8="3 dd",$D8="4 dd",$D8="5 dd",$D8="6 dd",$D8="8 dd",$D8="12 dd",$D8="24 dd",$D8="an",$D8="zn"),VLOOKUP($D8,NeoTblTijden!$A$17:$Y$27,NeoTblTijden!M$15,FALSE),"")</f>
        <v/>
      </c>
      <c r="T8" s="93" t="str">
        <f>IF(OR($D8="1 dd",$D8="2 dd",$D8="3 dd",$D8="4 dd",$D8="5 dd",$D8="6 dd",$D8="8 dd",$D8="12 dd",$D8="24 dd",$D8="an",$D8="zn"),VLOOKUP($D8,NeoTblTijden!$A$17:$Y$27,NeoTblTijden!N$15,FALSE),"")</f>
        <v/>
      </c>
      <c r="U8" s="378" t="str">
        <f>IF(OR($D8="1 dd",$D8="2 dd",$D8="3 dd",$D8="4 dd",$D8="5 dd",$D8="6 dd",$D8="8 dd",$D8="12 dd",$D8="24 dd",$D8="an",$D8="zn"),VLOOKUP($D8,NeoTblTijden!$A$17:$Y$27,NeoTblTijden!O$15,FALSE),"")</f>
        <v/>
      </c>
      <c r="V8" s="93" t="str">
        <f>IF(OR($D8="1 dd",$D8="2 dd",$D8="3 dd",$D8="4 dd",$D8="5 dd",$D8="6 dd",$D8="8 dd",$D8="12 dd",$D8="24 dd",$D8="an",$D8="zn"),VLOOKUP($D8,NeoTblTijden!$A$17:$Y$27,NeoTblTijden!P$15,FALSE),"")</f>
        <v/>
      </c>
      <c r="W8" s="378" t="str">
        <f>IF(OR($D8="1 dd",$D8="2 dd",$D8="3 dd",$D8="4 dd",$D8="5 dd",$D8="6 dd",$D8="8 dd",$D8="12 dd",$D8="24 dd",$D8="an",$D8="zn"),VLOOKUP($D8,NeoTblTijden!$A$17:$Y$27,NeoTblTijden!Q$15,FALSE),"")</f>
        <v/>
      </c>
      <c r="X8" s="93" t="str">
        <f>IF(OR($D8="1 dd",$D8="2 dd",$D8="3 dd",$D8="4 dd",$D8="5 dd",$D8="6 dd",$D8="8 dd",$D8="12 dd",$D8="24 dd",$D8="an",$D8="zn"),VLOOKUP($D8,NeoTblTijden!$A$17:$Y$27,NeoTblTijden!R$15,FALSE),"")</f>
        <v/>
      </c>
      <c r="Y8" s="378" t="str">
        <f>IF(OR($D8="1 dd",$D8="2 dd",$D8="3 dd",$D8="4 dd",$D8="5 dd",$D8="6 dd",$D8="8 dd",$D8="12 dd",$D8="24 dd",$D8="an",$D8="zn"),VLOOKUP($D8,NeoTblTijden!$A$17:$Y$27,NeoTblTijden!S$15,FALSE),"")</f>
        <v/>
      </c>
      <c r="Z8" s="93" t="str">
        <f>IF(OR($D8="1 dd",$D8="2 dd",$D8="3 dd",$D8="4 dd",$D8="5 dd",$D8="6 dd",$D8="8 dd",$D8="12 dd",$D8="24 dd",$D8="an",$D8="zn"),VLOOKUP($D8,NeoTblTijden!$A$17:$Y$27,NeoTblTijden!T$15,FALSE),"")</f>
        <v/>
      </c>
      <c r="AA8" s="378" t="str">
        <f>IF(OR($D8="1 dd",$D8="2 dd",$D8="3 dd",$D8="4 dd",$D8="5 dd",$D8="6 dd",$D8="8 dd",$D8="12 dd",$D8="24 dd",$D8="an",$D8="zn"),VLOOKUP($D8,NeoTblTijden!$A$17:$Y$27,NeoTblTijden!U$15,FALSE),"")</f>
        <v/>
      </c>
      <c r="AB8" s="93" t="str">
        <f>IF(OR($D8="1 dd",$D8="2 dd",$D8="3 dd",$D8="4 dd",$D8="5 dd",$D8="6 dd",$D8="8 dd",$D8="12 dd",$D8="24 dd",$D8="an",$D8="zn"),VLOOKUP($D8,NeoTblTijden!$A$17:$Y$27,NeoTblTijden!V$15,FALSE),"")</f>
        <v/>
      </c>
      <c r="AC8" s="378" t="str">
        <f>IF(OR($D8="1 dd",$D8="2 dd",$D8="3 dd",$D8="4 dd",$D8="5 dd",$D8="6 dd",$D8="8 dd",$D8="12 dd",$D8="24 dd",$D8="an",$D8="zn"),VLOOKUP($D8,NeoTblTijden!$A$17:$Y$27,NeoTblTijden!W$15,FALSE),"")</f>
        <v/>
      </c>
      <c r="AD8" s="93" t="str">
        <f>IF(OR($D8="1 dd",$D8="2 dd",$D8="3 dd",$D8="4 dd",$D8="5 dd",$D8="6 dd",$D8="8 dd",$D8="12 dd",$D8="24 dd",$D8="an",$D8="zn"),VLOOKUP($D8,NeoTblTijden!$A$17:$Y$27,NeoTblTijden!X$15,FALSE),"")</f>
        <v/>
      </c>
      <c r="AE8" s="378" t="str">
        <f>IF(OR($D8="1 dd",$D8="2 dd",$D8="3 dd",$D8="4 dd",$D8="5 dd",$D8="6 dd",$D8="8 dd",$D8="12 dd",$D8="24 dd",$D8="an",$D8="zn"),VLOOKUP($D8,NeoTblTijden!$A$17:$Y$27,NeoTblTijden!Y$15,FALSE),"")</f>
        <v/>
      </c>
      <c r="AF8" s="92"/>
      <c r="AG8" s="14"/>
    </row>
    <row r="9" spans="1:33" ht="26.1" customHeight="1" x14ac:dyDescent="0.2">
      <c r="B9" s="94"/>
      <c r="C9" s="125" t="str">
        <f>IF(GlobBerMedDisc!C8&lt;&gt;"",IF(GlobBerMedDisc!C8&gt;1,TRIM(GlobBerMedDisc!C8)&amp;", "&amp;GlobBerOpm!#REF!&amp;" ("&amp;GlobBerMedDisc!M8&amp;" "&amp;GlobBerMedDisc!F8&amp;"/kg/dag)",TRIM(GlobBerMedDisc!C8)&amp;", "&amp;GlobBerOpm!#REF!),"")</f>
        <v/>
      </c>
      <c r="D9" s="126" t="str">
        <f>IF(GlobGuiMedDisc!I15&lt;&gt;"",GlobGuiMedDisc!I15,"")</f>
        <v/>
      </c>
      <c r="E9" s="127" t="str">
        <f>IF(AND(D9&lt;&gt;"",D9&lt;&gt;"STOP"),GlobBerMedDisc!H8&amp;" "&amp;GlobBerMedDisc!F8,"")</f>
        <v/>
      </c>
      <c r="F9" s="127" t="str">
        <f>IF(AND(D9&lt;&gt;"",D9&lt;&gt;"STOP"),GlobBerMedDisc!L8," ")</f>
        <v xml:space="preserve"> </v>
      </c>
      <c r="G9" s="127" t="str">
        <f>IF(GlobGuiMedDisc!N15&lt;&gt;"",GlobGuiMedDisc!N15&amp;" "&amp;GlobGuiMedDisc!O15&amp;" "&amp;INDEX(GlobBerMedDisc!$B$27:$B$30,GlobBerMedDisc!O8,1)&amp;" in "&amp;GlobGuiMedDisc!$R$15,"")</f>
        <v/>
      </c>
      <c r="H9" s="93" t="str">
        <f>IF(OR($D9="1 dd",$D9="2 dd",$D9="3 dd",$D9="4 dd",$D9="5 dd",$D9="6 dd",$D9="8 dd",$D9="12 dd",$D9="24 dd",$D9="an",$D9="zn"),VLOOKUP($D9,NeoTblTijden!$A$17:$Y$27,NeoTblTijden!B$15,FALSE),"")</f>
        <v/>
      </c>
      <c r="I9" s="378" t="str">
        <f>IF(OR($D9="1 dd",$D9="2 dd",$D9="3 dd",$D9="4 dd",$D9="5 dd",$D9="6 dd",$D9="8 dd",$D9="12 dd",$D9="24 dd",$D9="an",$D9="zn"),VLOOKUP($D9,NeoTblTijden!$A$17:$Y$27,NeoTblTijden!C$15,FALSE),"")</f>
        <v/>
      </c>
      <c r="J9" s="93" t="str">
        <f>IF(OR($D9="1 dd",$D9="2 dd",$D9="3 dd",$D9="4 dd",$D9="5 dd",$D9="6 dd",$D9="8 dd",$D9="12 dd",$D9="24 dd",$D9="an",$D9="zn"),VLOOKUP($D9,NeoTblTijden!$A$17:$Y$27,NeoTblTijden!D$15,FALSE),"")</f>
        <v/>
      </c>
      <c r="K9" s="378" t="str">
        <f>IF(OR($D9="1 dd",$D9="2 dd",$D9="3 dd",$D9="4 dd",$D9="5 dd",$D9="6 dd",$D9="8 dd",$D9="12 dd",$D9="24 dd",$D9="an",$D9="zn"),VLOOKUP($D9,NeoTblTijden!$A$17:$Y$27,NeoTblTijden!E$15,FALSE),"")</f>
        <v/>
      </c>
      <c r="L9" s="93" t="str">
        <f>IF(OR($D9="1 dd",$D9="2 dd",$D9="3 dd",$D9="4 dd",$D9="5 dd",$D9="6 dd",$D9="8 dd",$D9="12 dd",$D9="24 dd",$D9="an",$D9="zn"),VLOOKUP($D9,NeoTblTijden!$A$17:$Y$27,NeoTblTijden!F$15,FALSE),"")</f>
        <v/>
      </c>
      <c r="M9" s="378" t="str">
        <f>IF(OR($D9="1 dd",$D9="2 dd",$D9="3 dd",$D9="4 dd",$D9="5 dd",$D9="6 dd",$D9="8 dd",$D9="12 dd",$D9="24 dd",$D9="an",$D9="zn"),VLOOKUP($D9,NeoTblTijden!$A$17:$Y$27,NeoTblTijden!G$15,FALSE),"")</f>
        <v/>
      </c>
      <c r="N9" s="93" t="str">
        <f>IF(OR($D9="1 dd",$D9="2 dd",$D9="3 dd",$D9="4 dd",$D9="5 dd",$D9="6 dd",$D9="8 dd",$D9="12 dd",$D9="24 dd",$D9="an",$D9="zn"),VLOOKUP($D9,NeoTblTijden!$A$17:$Y$27,NeoTblTijden!H$15,FALSE),"")</f>
        <v/>
      </c>
      <c r="O9" s="378" t="str">
        <f>IF(OR($D9="1 dd",$D9="2 dd",$D9="3 dd",$D9="4 dd",$D9="5 dd",$D9="6 dd",$D9="8 dd",$D9="12 dd",$D9="24 dd",$D9="an",$D9="zn"),VLOOKUP($D9,NeoTblTijden!$A$17:$Y$27,NeoTblTijden!I$15,FALSE),"")</f>
        <v/>
      </c>
      <c r="P9" s="93" t="str">
        <f>IF(OR($D9="1 dd",$D9="2 dd",$D9="3 dd",$D9="4 dd",$D9="5 dd",$D9="6 dd",$D9="8 dd",$D9="12 dd",$D9="24 dd",$D9="an",$D9="zn"),VLOOKUP($D9,NeoTblTijden!$A$17:$Y$27,NeoTblTijden!J$15,FALSE),"")</f>
        <v/>
      </c>
      <c r="Q9" s="378" t="str">
        <f>IF(OR($D9="1 dd",$D9="2 dd",$D9="3 dd",$D9="4 dd",$D9="5 dd",$D9="6 dd",$D9="8 dd",$D9="12 dd",$D9="24 dd",$D9="an",$D9="zn"),VLOOKUP($D9,NeoTblTijden!$A$17:$Y$27,NeoTblTijden!K$15,FALSE),"")</f>
        <v/>
      </c>
      <c r="R9" s="93" t="str">
        <f>IF(OR($D9="1 dd",$D9="2 dd",$D9="3 dd",$D9="4 dd",$D9="5 dd",$D9="6 dd",$D9="8 dd",$D9="12 dd",$D9="24 dd",$D9="an",$D9="zn"),VLOOKUP($D9,NeoTblTijden!$A$17:$Y$27,NeoTblTijden!L$15,FALSE),"")</f>
        <v/>
      </c>
      <c r="S9" s="378" t="str">
        <f>IF(OR($D9="1 dd",$D9="2 dd",$D9="3 dd",$D9="4 dd",$D9="5 dd",$D9="6 dd",$D9="8 dd",$D9="12 dd",$D9="24 dd",$D9="an",$D9="zn"),VLOOKUP($D9,NeoTblTijden!$A$17:$Y$27,NeoTblTijden!M$15,FALSE),"")</f>
        <v/>
      </c>
      <c r="T9" s="93" t="str">
        <f>IF(OR($D9="1 dd",$D9="2 dd",$D9="3 dd",$D9="4 dd",$D9="5 dd",$D9="6 dd",$D9="8 dd",$D9="12 dd",$D9="24 dd",$D9="an",$D9="zn"),VLOOKUP($D9,NeoTblTijden!$A$17:$Y$27,NeoTblTijden!N$15,FALSE),"")</f>
        <v/>
      </c>
      <c r="U9" s="378" t="str">
        <f>IF(OR($D9="1 dd",$D9="2 dd",$D9="3 dd",$D9="4 dd",$D9="5 dd",$D9="6 dd",$D9="8 dd",$D9="12 dd",$D9="24 dd",$D9="an",$D9="zn"),VLOOKUP($D9,NeoTblTijden!$A$17:$Y$27,NeoTblTijden!O$15,FALSE),"")</f>
        <v/>
      </c>
      <c r="V9" s="93" t="str">
        <f>IF(OR($D9="1 dd",$D9="2 dd",$D9="3 dd",$D9="4 dd",$D9="5 dd",$D9="6 dd",$D9="8 dd",$D9="12 dd",$D9="24 dd",$D9="an",$D9="zn"),VLOOKUP($D9,NeoTblTijden!$A$17:$Y$27,NeoTblTijden!P$15,FALSE),"")</f>
        <v/>
      </c>
      <c r="W9" s="378" t="str">
        <f>IF(OR($D9="1 dd",$D9="2 dd",$D9="3 dd",$D9="4 dd",$D9="5 dd",$D9="6 dd",$D9="8 dd",$D9="12 dd",$D9="24 dd",$D9="an",$D9="zn"),VLOOKUP($D9,NeoTblTijden!$A$17:$Y$27,NeoTblTijden!Q$15,FALSE),"")</f>
        <v/>
      </c>
      <c r="X9" s="93" t="str">
        <f>IF(OR($D9="1 dd",$D9="2 dd",$D9="3 dd",$D9="4 dd",$D9="5 dd",$D9="6 dd",$D9="8 dd",$D9="12 dd",$D9="24 dd",$D9="an",$D9="zn"),VLOOKUP($D9,NeoTblTijden!$A$17:$Y$27,NeoTblTijden!R$15,FALSE),"")</f>
        <v/>
      </c>
      <c r="Y9" s="378" t="str">
        <f>IF(OR($D9="1 dd",$D9="2 dd",$D9="3 dd",$D9="4 dd",$D9="5 dd",$D9="6 dd",$D9="8 dd",$D9="12 dd",$D9="24 dd",$D9="an",$D9="zn"),VLOOKUP($D9,NeoTblTijden!$A$17:$Y$27,NeoTblTijden!S$15,FALSE),"")</f>
        <v/>
      </c>
      <c r="Z9" s="93" t="str">
        <f>IF(OR($D9="1 dd",$D9="2 dd",$D9="3 dd",$D9="4 dd",$D9="5 dd",$D9="6 dd",$D9="8 dd",$D9="12 dd",$D9="24 dd",$D9="an",$D9="zn"),VLOOKUP($D9,NeoTblTijden!$A$17:$Y$27,NeoTblTijden!T$15,FALSE),"")</f>
        <v/>
      </c>
      <c r="AA9" s="378" t="str">
        <f>IF(OR($D9="1 dd",$D9="2 dd",$D9="3 dd",$D9="4 dd",$D9="5 dd",$D9="6 dd",$D9="8 dd",$D9="12 dd",$D9="24 dd",$D9="an",$D9="zn"),VLOOKUP($D9,NeoTblTijden!$A$17:$Y$27,NeoTblTijden!U$15,FALSE),"")</f>
        <v/>
      </c>
      <c r="AB9" s="93" t="str">
        <f>IF(OR($D9="1 dd",$D9="2 dd",$D9="3 dd",$D9="4 dd",$D9="5 dd",$D9="6 dd",$D9="8 dd",$D9="12 dd",$D9="24 dd",$D9="an",$D9="zn"),VLOOKUP($D9,NeoTblTijden!$A$17:$Y$27,NeoTblTijden!V$15,FALSE),"")</f>
        <v/>
      </c>
      <c r="AC9" s="378" t="str">
        <f>IF(OR($D9="1 dd",$D9="2 dd",$D9="3 dd",$D9="4 dd",$D9="5 dd",$D9="6 dd",$D9="8 dd",$D9="12 dd",$D9="24 dd",$D9="an",$D9="zn"),VLOOKUP($D9,NeoTblTijden!$A$17:$Y$27,NeoTblTijden!W$15,FALSE),"")</f>
        <v/>
      </c>
      <c r="AD9" s="93" t="str">
        <f>IF(OR($D9="1 dd",$D9="2 dd",$D9="3 dd",$D9="4 dd",$D9="5 dd",$D9="6 dd",$D9="8 dd",$D9="12 dd",$D9="24 dd",$D9="an",$D9="zn"),VLOOKUP($D9,NeoTblTijden!$A$17:$Y$27,NeoTblTijden!X$15,FALSE),"")</f>
        <v/>
      </c>
      <c r="AE9" s="378" t="str">
        <f>IF(OR($D9="1 dd",$D9="2 dd",$D9="3 dd",$D9="4 dd",$D9="5 dd",$D9="6 dd",$D9="8 dd",$D9="12 dd",$D9="24 dd",$D9="an",$D9="zn"),VLOOKUP($D9,NeoTblTijden!$A$17:$Y$27,NeoTblTijden!Y$15,FALSE),"")</f>
        <v/>
      </c>
      <c r="AF9" s="92"/>
      <c r="AG9" s="14"/>
    </row>
    <row r="10" spans="1:33" ht="26.1" customHeight="1" x14ac:dyDescent="0.2">
      <c r="B10" s="94"/>
      <c r="C10" s="125" t="str">
        <f>IF(GlobBerMedDisc!C9&lt;&gt;"",IF(GlobBerMedDisc!C9&gt;1,TRIM(GlobBerMedDisc!C9)&amp;", "&amp;GlobBerOpm!#REF!&amp;" ("&amp;GlobBerMedDisc!M9&amp;" "&amp;GlobBerMedDisc!F9&amp;"/kg/dag)",TRIM(GlobBerMedDisc!C9)&amp;", "&amp;GlobBerOpm!#REF!),"")</f>
        <v/>
      </c>
      <c r="D10" s="126" t="str">
        <f>IF(GlobGuiMedDisc!I16&lt;&gt;"",GlobGuiMedDisc!I16,"")</f>
        <v/>
      </c>
      <c r="E10" s="127" t="str">
        <f>IF(AND(D10&lt;&gt;"",D10&lt;&gt;"STOP"),GlobBerMedDisc!H9&amp;" "&amp;GlobBerMedDisc!F9,"")</f>
        <v/>
      </c>
      <c r="F10" s="127" t="str">
        <f>IF(AND(D10&lt;&gt;"",D10&lt;&gt;"STOP"),GlobBerMedDisc!L9," ")</f>
        <v xml:space="preserve"> </v>
      </c>
      <c r="G10" s="127" t="str">
        <f>IF(GlobGuiMedDisc!N16&lt;&gt;"",GlobGuiMedDisc!N16&amp;" "&amp;GlobGuiMedDisc!O16&amp;" "&amp;INDEX(GlobBerMedDisc!$B$27:$B$30,GlobBerMedDisc!O9,1)&amp;" in "&amp;GlobGuiMedDisc!$R$16,"")</f>
        <v/>
      </c>
      <c r="H10" s="93" t="str">
        <f>IF(OR($D10="1 dd",$D10="2 dd",$D10="3 dd",$D10="4 dd",$D10="5 dd",$D10="6 dd",$D10="8 dd",$D10="12 dd",$D10="24 dd",$D10="an",$D10="zn"),VLOOKUP($D10,NeoTblTijden!$A$17:$Y$27,NeoTblTijden!B$15,FALSE),"")</f>
        <v/>
      </c>
      <c r="I10" s="378" t="str">
        <f>IF(OR($D10="1 dd",$D10="2 dd",$D10="3 dd",$D10="4 dd",$D10="5 dd",$D10="6 dd",$D10="8 dd",$D10="12 dd",$D10="24 dd",$D10="an",$D10="zn"),VLOOKUP($D10,NeoTblTijden!$A$17:$Y$27,NeoTblTijden!C$15,FALSE),"")</f>
        <v/>
      </c>
      <c r="J10" s="93" t="str">
        <f>IF(OR($D10="1 dd",$D10="2 dd",$D10="3 dd",$D10="4 dd",$D10="5 dd",$D10="6 dd",$D10="8 dd",$D10="12 dd",$D10="24 dd",$D10="an",$D10="zn"),VLOOKUP($D10,NeoTblTijden!$A$17:$Y$27,NeoTblTijden!D$15,FALSE),"")</f>
        <v/>
      </c>
      <c r="K10" s="378" t="str">
        <f>IF(OR($D10="1 dd",$D10="2 dd",$D10="3 dd",$D10="4 dd",$D10="5 dd",$D10="6 dd",$D10="8 dd",$D10="12 dd",$D10="24 dd",$D10="an",$D10="zn"),VLOOKUP($D10,NeoTblTijden!$A$17:$Y$27,NeoTblTijden!E$15,FALSE),"")</f>
        <v/>
      </c>
      <c r="L10" s="93" t="str">
        <f>IF(OR($D10="1 dd",$D10="2 dd",$D10="3 dd",$D10="4 dd",$D10="5 dd",$D10="6 dd",$D10="8 dd",$D10="12 dd",$D10="24 dd",$D10="an",$D10="zn"),VLOOKUP($D10,NeoTblTijden!$A$17:$Y$27,NeoTblTijden!F$15,FALSE),"")</f>
        <v/>
      </c>
      <c r="M10" s="378" t="str">
        <f>IF(OR($D10="1 dd",$D10="2 dd",$D10="3 dd",$D10="4 dd",$D10="5 dd",$D10="6 dd",$D10="8 dd",$D10="12 dd",$D10="24 dd",$D10="an",$D10="zn"),VLOOKUP($D10,NeoTblTijden!$A$17:$Y$27,NeoTblTijden!G$15,FALSE),"")</f>
        <v/>
      </c>
      <c r="N10" s="93" t="str">
        <f>IF(OR($D10="1 dd",$D10="2 dd",$D10="3 dd",$D10="4 dd",$D10="5 dd",$D10="6 dd",$D10="8 dd",$D10="12 dd",$D10="24 dd",$D10="an",$D10="zn"),VLOOKUP($D10,NeoTblTijden!$A$17:$Y$27,NeoTblTijden!H$15,FALSE),"")</f>
        <v/>
      </c>
      <c r="O10" s="378" t="str">
        <f>IF(OR($D10="1 dd",$D10="2 dd",$D10="3 dd",$D10="4 dd",$D10="5 dd",$D10="6 dd",$D10="8 dd",$D10="12 dd",$D10="24 dd",$D10="an",$D10="zn"),VLOOKUP($D10,NeoTblTijden!$A$17:$Y$27,NeoTblTijden!I$15,FALSE),"")</f>
        <v/>
      </c>
      <c r="P10" s="93" t="str">
        <f>IF(OR($D10="1 dd",$D10="2 dd",$D10="3 dd",$D10="4 dd",$D10="5 dd",$D10="6 dd",$D10="8 dd",$D10="12 dd",$D10="24 dd",$D10="an",$D10="zn"),VLOOKUP($D10,NeoTblTijden!$A$17:$Y$27,NeoTblTijden!J$15,FALSE),"")</f>
        <v/>
      </c>
      <c r="Q10" s="378" t="str">
        <f>IF(OR($D10="1 dd",$D10="2 dd",$D10="3 dd",$D10="4 dd",$D10="5 dd",$D10="6 dd",$D10="8 dd",$D10="12 dd",$D10="24 dd",$D10="an",$D10="zn"),VLOOKUP($D10,NeoTblTijden!$A$17:$Y$27,NeoTblTijden!K$15,FALSE),"")</f>
        <v/>
      </c>
      <c r="R10" s="93" t="str">
        <f>IF(OR($D10="1 dd",$D10="2 dd",$D10="3 dd",$D10="4 dd",$D10="5 dd",$D10="6 dd",$D10="8 dd",$D10="12 dd",$D10="24 dd",$D10="an",$D10="zn"),VLOOKUP($D10,NeoTblTijden!$A$17:$Y$27,NeoTblTijden!L$15,FALSE),"")</f>
        <v/>
      </c>
      <c r="S10" s="378" t="str">
        <f>IF(OR($D10="1 dd",$D10="2 dd",$D10="3 dd",$D10="4 dd",$D10="5 dd",$D10="6 dd",$D10="8 dd",$D10="12 dd",$D10="24 dd",$D10="an",$D10="zn"),VLOOKUP($D10,NeoTblTijden!$A$17:$Y$27,NeoTblTijden!M$15,FALSE),"")</f>
        <v/>
      </c>
      <c r="T10" s="93" t="str">
        <f>IF(OR($D10="1 dd",$D10="2 dd",$D10="3 dd",$D10="4 dd",$D10="5 dd",$D10="6 dd",$D10="8 dd",$D10="12 dd",$D10="24 dd",$D10="an",$D10="zn"),VLOOKUP($D10,NeoTblTijden!$A$17:$Y$27,NeoTblTijden!N$15,FALSE),"")</f>
        <v/>
      </c>
      <c r="U10" s="378" t="str">
        <f>IF(OR($D10="1 dd",$D10="2 dd",$D10="3 dd",$D10="4 dd",$D10="5 dd",$D10="6 dd",$D10="8 dd",$D10="12 dd",$D10="24 dd",$D10="an",$D10="zn"),VLOOKUP($D10,NeoTblTijden!$A$17:$Y$27,NeoTblTijden!O$15,FALSE),"")</f>
        <v/>
      </c>
      <c r="V10" s="93" t="str">
        <f>IF(OR($D10="1 dd",$D10="2 dd",$D10="3 dd",$D10="4 dd",$D10="5 dd",$D10="6 dd",$D10="8 dd",$D10="12 dd",$D10="24 dd",$D10="an",$D10="zn"),VLOOKUP($D10,NeoTblTijden!$A$17:$Y$27,NeoTblTijden!P$15,FALSE),"")</f>
        <v/>
      </c>
      <c r="W10" s="378" t="str">
        <f>IF(OR($D10="1 dd",$D10="2 dd",$D10="3 dd",$D10="4 dd",$D10="5 dd",$D10="6 dd",$D10="8 dd",$D10="12 dd",$D10="24 dd",$D10="an",$D10="zn"),VLOOKUP($D10,NeoTblTijden!$A$17:$Y$27,NeoTblTijden!Q$15,FALSE),"")</f>
        <v/>
      </c>
      <c r="X10" s="93" t="str">
        <f>IF(OR($D10="1 dd",$D10="2 dd",$D10="3 dd",$D10="4 dd",$D10="5 dd",$D10="6 dd",$D10="8 dd",$D10="12 dd",$D10="24 dd",$D10="an",$D10="zn"),VLOOKUP($D10,NeoTblTijden!$A$17:$Y$27,NeoTblTijden!R$15,FALSE),"")</f>
        <v/>
      </c>
      <c r="Y10" s="378" t="str">
        <f>IF(OR($D10="1 dd",$D10="2 dd",$D10="3 dd",$D10="4 dd",$D10="5 dd",$D10="6 dd",$D10="8 dd",$D10="12 dd",$D10="24 dd",$D10="an",$D10="zn"),VLOOKUP($D10,NeoTblTijden!$A$17:$Y$27,NeoTblTijden!S$15,FALSE),"")</f>
        <v/>
      </c>
      <c r="Z10" s="93" t="str">
        <f>IF(OR($D10="1 dd",$D10="2 dd",$D10="3 dd",$D10="4 dd",$D10="5 dd",$D10="6 dd",$D10="8 dd",$D10="12 dd",$D10="24 dd",$D10="an",$D10="zn"),VLOOKUP($D10,NeoTblTijden!$A$17:$Y$27,NeoTblTijden!T$15,FALSE),"")</f>
        <v/>
      </c>
      <c r="AA10" s="378" t="str">
        <f>IF(OR($D10="1 dd",$D10="2 dd",$D10="3 dd",$D10="4 dd",$D10="5 dd",$D10="6 dd",$D10="8 dd",$D10="12 dd",$D10="24 dd",$D10="an",$D10="zn"),VLOOKUP($D10,NeoTblTijden!$A$17:$Y$27,NeoTblTijden!U$15,FALSE),"")</f>
        <v/>
      </c>
      <c r="AB10" s="93" t="str">
        <f>IF(OR($D10="1 dd",$D10="2 dd",$D10="3 dd",$D10="4 dd",$D10="5 dd",$D10="6 dd",$D10="8 dd",$D10="12 dd",$D10="24 dd",$D10="an",$D10="zn"),VLOOKUP($D10,NeoTblTijden!$A$17:$Y$27,NeoTblTijden!V$15,FALSE),"")</f>
        <v/>
      </c>
      <c r="AC10" s="378" t="str">
        <f>IF(OR($D10="1 dd",$D10="2 dd",$D10="3 dd",$D10="4 dd",$D10="5 dd",$D10="6 dd",$D10="8 dd",$D10="12 dd",$D10="24 dd",$D10="an",$D10="zn"),VLOOKUP($D10,NeoTblTijden!$A$17:$Y$27,NeoTblTijden!W$15,FALSE),"")</f>
        <v/>
      </c>
      <c r="AD10" s="93" t="str">
        <f>IF(OR($D10="1 dd",$D10="2 dd",$D10="3 dd",$D10="4 dd",$D10="5 dd",$D10="6 dd",$D10="8 dd",$D10="12 dd",$D10="24 dd",$D10="an",$D10="zn"),VLOOKUP($D10,NeoTblTijden!$A$17:$Y$27,NeoTblTijden!X$15,FALSE),"")</f>
        <v/>
      </c>
      <c r="AE10" s="378" t="str">
        <f>IF(OR($D10="1 dd",$D10="2 dd",$D10="3 dd",$D10="4 dd",$D10="5 dd",$D10="6 dd",$D10="8 dd",$D10="12 dd",$D10="24 dd",$D10="an",$D10="zn"),VLOOKUP($D10,NeoTblTijden!$A$17:$Y$27,NeoTblTijden!Y$15,FALSE),"")</f>
        <v/>
      </c>
      <c r="AF10" s="92"/>
      <c r="AG10" s="14"/>
    </row>
    <row r="11" spans="1:33" ht="26.1" customHeight="1" x14ac:dyDescent="0.2">
      <c r="B11" s="94"/>
      <c r="C11" s="125" t="str">
        <f>IF(GlobBerMedDisc!C10&lt;&gt;"",IF(GlobBerMedDisc!C10&gt;1,TRIM(GlobBerMedDisc!C10)&amp;", "&amp;GlobBerOpm!#REF!&amp;" ("&amp;GlobBerMedDisc!M10&amp;" "&amp;GlobBerMedDisc!F10&amp;"/kg/dag)",TRIM(GlobBerMedDisc!C10)&amp;", "&amp;GlobBerOpm!#REF!),"")</f>
        <v/>
      </c>
      <c r="D11" s="126" t="str">
        <f>IF(GlobGuiMedDisc!I17&lt;&gt;"",GlobGuiMedDisc!I17,"")</f>
        <v/>
      </c>
      <c r="E11" s="127" t="str">
        <f>IF(AND(D11&lt;&gt;"",D11&lt;&gt;"STOP"),GlobBerMedDisc!H10&amp;" "&amp;GlobBerMedDisc!F10,"")</f>
        <v/>
      </c>
      <c r="F11" s="127" t="str">
        <f>IF(AND(D11&lt;&gt;"",D11&lt;&gt;"STOP"),GlobBerMedDisc!L10," ")</f>
        <v xml:space="preserve"> </v>
      </c>
      <c r="G11" s="127" t="str">
        <f>IF(GlobGuiMedDisc!N17&lt;&gt;"",GlobGuiMedDisc!N17&amp;" "&amp;GlobGuiMedDisc!O17&amp;" "&amp;INDEX(GlobBerMedDisc!$B$27:$B$30,GlobBerMedDisc!O10,1)&amp;" in "&amp;GlobGuiMedDisc!$R$17,"")</f>
        <v/>
      </c>
      <c r="H11" s="93" t="str">
        <f>IF(OR($D11="1 dd",$D11="2 dd",$D11="3 dd",$D11="4 dd",$D11="5 dd",$D11="6 dd",$D11="8 dd",$D11="12 dd",$D11="24 dd",$D11="an",$D11="zn"),VLOOKUP($D11,NeoTblTijden!$A$17:$Y$27,NeoTblTijden!B$15,FALSE),"")</f>
        <v/>
      </c>
      <c r="I11" s="378" t="str">
        <f>IF(OR($D11="1 dd",$D11="2 dd",$D11="3 dd",$D11="4 dd",$D11="5 dd",$D11="6 dd",$D11="8 dd",$D11="12 dd",$D11="24 dd",$D11="an",$D11="zn"),VLOOKUP($D11,NeoTblTijden!$A$17:$Y$27,NeoTblTijden!C$15,FALSE),"")</f>
        <v/>
      </c>
      <c r="J11" s="93" t="str">
        <f>IF(OR($D11="1 dd",$D11="2 dd",$D11="3 dd",$D11="4 dd",$D11="5 dd",$D11="6 dd",$D11="8 dd",$D11="12 dd",$D11="24 dd",$D11="an",$D11="zn"),VLOOKUP($D11,NeoTblTijden!$A$17:$Y$27,NeoTblTijden!D$15,FALSE),"")</f>
        <v/>
      </c>
      <c r="K11" s="378" t="str">
        <f>IF(OR($D11="1 dd",$D11="2 dd",$D11="3 dd",$D11="4 dd",$D11="5 dd",$D11="6 dd",$D11="8 dd",$D11="12 dd",$D11="24 dd",$D11="an",$D11="zn"),VLOOKUP($D11,NeoTblTijden!$A$17:$Y$27,NeoTblTijden!E$15,FALSE),"")</f>
        <v/>
      </c>
      <c r="L11" s="93" t="str">
        <f>IF(OR($D11="1 dd",$D11="2 dd",$D11="3 dd",$D11="4 dd",$D11="5 dd",$D11="6 dd",$D11="8 dd",$D11="12 dd",$D11="24 dd",$D11="an",$D11="zn"),VLOOKUP($D11,NeoTblTijden!$A$17:$Y$27,NeoTblTijden!F$15,FALSE),"")</f>
        <v/>
      </c>
      <c r="M11" s="378" t="str">
        <f>IF(OR($D11="1 dd",$D11="2 dd",$D11="3 dd",$D11="4 dd",$D11="5 dd",$D11="6 dd",$D11="8 dd",$D11="12 dd",$D11="24 dd",$D11="an",$D11="zn"),VLOOKUP($D11,NeoTblTijden!$A$17:$Y$27,NeoTblTijden!G$15,FALSE),"")</f>
        <v/>
      </c>
      <c r="N11" s="93" t="str">
        <f>IF(OR($D11="1 dd",$D11="2 dd",$D11="3 dd",$D11="4 dd",$D11="5 dd",$D11="6 dd",$D11="8 dd",$D11="12 dd",$D11="24 dd",$D11="an",$D11="zn"),VLOOKUP($D11,NeoTblTijden!$A$17:$Y$27,NeoTblTijden!H$15,FALSE),"")</f>
        <v/>
      </c>
      <c r="O11" s="378" t="str">
        <f>IF(OR($D11="1 dd",$D11="2 dd",$D11="3 dd",$D11="4 dd",$D11="5 dd",$D11="6 dd",$D11="8 dd",$D11="12 dd",$D11="24 dd",$D11="an",$D11="zn"),VLOOKUP($D11,NeoTblTijden!$A$17:$Y$27,NeoTblTijden!I$15,FALSE),"")</f>
        <v/>
      </c>
      <c r="P11" s="93" t="str">
        <f>IF(OR($D11="1 dd",$D11="2 dd",$D11="3 dd",$D11="4 dd",$D11="5 dd",$D11="6 dd",$D11="8 dd",$D11="12 dd",$D11="24 dd",$D11="an",$D11="zn"),VLOOKUP($D11,NeoTblTijden!$A$17:$Y$27,NeoTblTijden!J$15,FALSE),"")</f>
        <v/>
      </c>
      <c r="Q11" s="378" t="str">
        <f>IF(OR($D11="1 dd",$D11="2 dd",$D11="3 dd",$D11="4 dd",$D11="5 dd",$D11="6 dd",$D11="8 dd",$D11="12 dd",$D11="24 dd",$D11="an",$D11="zn"),VLOOKUP($D11,NeoTblTijden!$A$17:$Y$27,NeoTblTijden!K$15,FALSE),"")</f>
        <v/>
      </c>
      <c r="R11" s="93" t="str">
        <f>IF(OR($D11="1 dd",$D11="2 dd",$D11="3 dd",$D11="4 dd",$D11="5 dd",$D11="6 dd",$D11="8 dd",$D11="12 dd",$D11="24 dd",$D11="an",$D11="zn"),VLOOKUP($D11,NeoTblTijden!$A$17:$Y$27,NeoTblTijden!L$15,FALSE),"")</f>
        <v/>
      </c>
      <c r="S11" s="378" t="str">
        <f>IF(OR($D11="1 dd",$D11="2 dd",$D11="3 dd",$D11="4 dd",$D11="5 dd",$D11="6 dd",$D11="8 dd",$D11="12 dd",$D11="24 dd",$D11="an",$D11="zn"),VLOOKUP($D11,NeoTblTijden!$A$17:$Y$27,NeoTblTijden!M$15,FALSE),"")</f>
        <v/>
      </c>
      <c r="T11" s="93" t="str">
        <f>IF(OR($D11="1 dd",$D11="2 dd",$D11="3 dd",$D11="4 dd",$D11="5 dd",$D11="6 dd",$D11="8 dd",$D11="12 dd",$D11="24 dd",$D11="an",$D11="zn"),VLOOKUP($D11,NeoTblTijden!$A$17:$Y$27,NeoTblTijden!N$15,FALSE),"")</f>
        <v/>
      </c>
      <c r="U11" s="378" t="str">
        <f>IF(OR($D11="1 dd",$D11="2 dd",$D11="3 dd",$D11="4 dd",$D11="5 dd",$D11="6 dd",$D11="8 dd",$D11="12 dd",$D11="24 dd",$D11="an",$D11="zn"),VLOOKUP($D11,NeoTblTijden!$A$17:$Y$27,NeoTblTijden!O$15,FALSE),"")</f>
        <v/>
      </c>
      <c r="V11" s="93" t="str">
        <f>IF(OR($D11="1 dd",$D11="2 dd",$D11="3 dd",$D11="4 dd",$D11="5 dd",$D11="6 dd",$D11="8 dd",$D11="12 dd",$D11="24 dd",$D11="an",$D11="zn"),VLOOKUP($D11,NeoTblTijden!$A$17:$Y$27,NeoTblTijden!P$15,FALSE),"")</f>
        <v/>
      </c>
      <c r="W11" s="378" t="str">
        <f>IF(OR($D11="1 dd",$D11="2 dd",$D11="3 dd",$D11="4 dd",$D11="5 dd",$D11="6 dd",$D11="8 dd",$D11="12 dd",$D11="24 dd",$D11="an",$D11="zn"),VLOOKUP($D11,NeoTblTijden!$A$17:$Y$27,NeoTblTijden!Q$15,FALSE),"")</f>
        <v/>
      </c>
      <c r="X11" s="93" t="str">
        <f>IF(OR($D11="1 dd",$D11="2 dd",$D11="3 dd",$D11="4 dd",$D11="5 dd",$D11="6 dd",$D11="8 dd",$D11="12 dd",$D11="24 dd",$D11="an",$D11="zn"),VLOOKUP($D11,NeoTblTijden!$A$17:$Y$27,NeoTblTijden!R$15,FALSE),"")</f>
        <v/>
      </c>
      <c r="Y11" s="378" t="str">
        <f>IF(OR($D11="1 dd",$D11="2 dd",$D11="3 dd",$D11="4 dd",$D11="5 dd",$D11="6 dd",$D11="8 dd",$D11="12 dd",$D11="24 dd",$D11="an",$D11="zn"),VLOOKUP($D11,NeoTblTijden!$A$17:$Y$27,NeoTblTijden!S$15,FALSE),"")</f>
        <v/>
      </c>
      <c r="Z11" s="93" t="str">
        <f>IF(OR($D11="1 dd",$D11="2 dd",$D11="3 dd",$D11="4 dd",$D11="5 dd",$D11="6 dd",$D11="8 dd",$D11="12 dd",$D11="24 dd",$D11="an",$D11="zn"),VLOOKUP($D11,NeoTblTijden!$A$17:$Y$27,NeoTblTijden!T$15,FALSE),"")</f>
        <v/>
      </c>
      <c r="AA11" s="378" t="str">
        <f>IF(OR($D11="1 dd",$D11="2 dd",$D11="3 dd",$D11="4 dd",$D11="5 dd",$D11="6 dd",$D11="8 dd",$D11="12 dd",$D11="24 dd",$D11="an",$D11="zn"),VLOOKUP($D11,NeoTblTijden!$A$17:$Y$27,NeoTblTijden!U$15,FALSE),"")</f>
        <v/>
      </c>
      <c r="AB11" s="93" t="str">
        <f>IF(OR($D11="1 dd",$D11="2 dd",$D11="3 dd",$D11="4 dd",$D11="5 dd",$D11="6 dd",$D11="8 dd",$D11="12 dd",$D11="24 dd",$D11="an",$D11="zn"),VLOOKUP($D11,NeoTblTijden!$A$17:$Y$27,NeoTblTijden!V$15,FALSE),"")</f>
        <v/>
      </c>
      <c r="AC11" s="378" t="str">
        <f>IF(OR($D11="1 dd",$D11="2 dd",$D11="3 dd",$D11="4 dd",$D11="5 dd",$D11="6 dd",$D11="8 dd",$D11="12 dd",$D11="24 dd",$D11="an",$D11="zn"),VLOOKUP($D11,NeoTblTijden!$A$17:$Y$27,NeoTblTijden!W$15,FALSE),"")</f>
        <v/>
      </c>
      <c r="AD11" s="93" t="str">
        <f>IF(OR($D11="1 dd",$D11="2 dd",$D11="3 dd",$D11="4 dd",$D11="5 dd",$D11="6 dd",$D11="8 dd",$D11="12 dd",$D11="24 dd",$D11="an",$D11="zn"),VLOOKUP($D11,NeoTblTijden!$A$17:$Y$27,NeoTblTijden!X$15,FALSE),"")</f>
        <v/>
      </c>
      <c r="AE11" s="378" t="str">
        <f>IF(OR($D11="1 dd",$D11="2 dd",$D11="3 dd",$D11="4 dd",$D11="5 dd",$D11="6 dd",$D11="8 dd",$D11="12 dd",$D11="24 dd",$D11="an",$D11="zn"),VLOOKUP($D11,NeoTblTijden!$A$17:$Y$27,NeoTblTijden!Y$15,FALSE),"")</f>
        <v/>
      </c>
      <c r="AF11" s="92"/>
      <c r="AG11" s="14"/>
    </row>
    <row r="12" spans="1:33" ht="26.1" customHeight="1" x14ac:dyDescent="0.2">
      <c r="B12" s="94"/>
      <c r="C12" s="125" t="str">
        <f>IF(GlobBerMedDisc!C11&lt;&gt;"",IF(GlobBerMedDisc!C11&gt;1,TRIM(GlobBerMedDisc!C11)&amp;", "&amp;GlobBerOpm!#REF!&amp;" ("&amp;GlobBerMedDisc!M11&amp;" "&amp;GlobBerMedDisc!F11&amp;"/kg/dag)",TRIM(GlobBerMedDisc!C11)&amp;", "&amp;GlobBerOpm!#REF!),"")</f>
        <v/>
      </c>
      <c r="D12" s="126" t="str">
        <f>IF(GlobGuiMedDisc!I18&lt;&gt;"",GlobGuiMedDisc!I18,"")</f>
        <v/>
      </c>
      <c r="E12" s="127" t="str">
        <f>IF(AND(D12&lt;&gt;"",D12&lt;&gt;"STOP"),GlobBerMedDisc!H11&amp;" "&amp;GlobBerMedDisc!F11,"")</f>
        <v/>
      </c>
      <c r="F12" s="127" t="str">
        <f>IF(AND(D12&lt;&gt;"",D12&lt;&gt;"STOP"),GlobBerMedDisc!L11," ")</f>
        <v xml:space="preserve"> </v>
      </c>
      <c r="G12" s="127" t="str">
        <f>IF(GlobGuiMedDisc!N18&lt;&gt;"",GlobGuiMedDisc!N18&amp;" "&amp;GlobGuiMedDisc!O18&amp;" "&amp;INDEX(GlobBerMedDisc!$B$27:$B$30,GlobBerMedDisc!O11,1)&amp;" in "&amp;GlobGuiMedDisc!$Q$1377,"")</f>
        <v/>
      </c>
      <c r="H12" s="93" t="str">
        <f>IF(OR($D12="1 dd",$D12="2 dd",$D12="3 dd",$D12="4 dd",$D12="5 dd",$D12="6 dd",$D12="8 dd",$D12="12 dd",$D12="24 dd",$D12="an",$D12="zn"),VLOOKUP($D12,NeoTblTijden!$A$17:$Y$27,NeoTblTijden!B$15,FALSE),"")</f>
        <v/>
      </c>
      <c r="I12" s="378" t="str">
        <f>IF(OR($D12="1 dd",$D12="2 dd",$D12="3 dd",$D12="4 dd",$D12="5 dd",$D12="6 dd",$D12="8 dd",$D12="12 dd",$D12="24 dd",$D12="an",$D12="zn"),VLOOKUP($D12,NeoTblTijden!$A$17:$Y$27,NeoTblTijden!C$15,FALSE),"")</f>
        <v/>
      </c>
      <c r="J12" s="93" t="str">
        <f>IF(OR($D12="1 dd",$D12="2 dd",$D12="3 dd",$D12="4 dd",$D12="5 dd",$D12="6 dd",$D12="8 dd",$D12="12 dd",$D12="24 dd",$D12="an",$D12="zn"),VLOOKUP($D12,NeoTblTijden!$A$17:$Y$27,NeoTblTijden!D$15,FALSE),"")</f>
        <v/>
      </c>
      <c r="K12" s="378" t="str">
        <f>IF(OR($D12="1 dd",$D12="2 dd",$D12="3 dd",$D12="4 dd",$D12="5 dd",$D12="6 dd",$D12="8 dd",$D12="12 dd",$D12="24 dd",$D12="an",$D12="zn"),VLOOKUP($D12,NeoTblTijden!$A$17:$Y$27,NeoTblTijden!E$15,FALSE),"")</f>
        <v/>
      </c>
      <c r="L12" s="93" t="str">
        <f>IF(OR($D12="1 dd",$D12="2 dd",$D12="3 dd",$D12="4 dd",$D12="5 dd",$D12="6 dd",$D12="8 dd",$D12="12 dd",$D12="24 dd",$D12="an",$D12="zn"),VLOOKUP($D12,NeoTblTijden!$A$17:$Y$27,NeoTblTijden!F$15,FALSE),"")</f>
        <v/>
      </c>
      <c r="M12" s="378" t="str">
        <f>IF(OR($D12="1 dd",$D12="2 dd",$D12="3 dd",$D12="4 dd",$D12="5 dd",$D12="6 dd",$D12="8 dd",$D12="12 dd",$D12="24 dd",$D12="an",$D12="zn"),VLOOKUP($D12,NeoTblTijden!$A$17:$Y$27,NeoTblTijden!G$15,FALSE),"")</f>
        <v/>
      </c>
      <c r="N12" s="93" t="str">
        <f>IF(OR($D12="1 dd",$D12="2 dd",$D12="3 dd",$D12="4 dd",$D12="5 dd",$D12="6 dd",$D12="8 dd",$D12="12 dd",$D12="24 dd",$D12="an",$D12="zn"),VLOOKUP($D12,NeoTblTijden!$A$17:$Y$27,NeoTblTijden!H$15,FALSE),"")</f>
        <v/>
      </c>
      <c r="O12" s="378" t="str">
        <f>IF(OR($D12="1 dd",$D12="2 dd",$D12="3 dd",$D12="4 dd",$D12="5 dd",$D12="6 dd",$D12="8 dd",$D12="12 dd",$D12="24 dd",$D12="an",$D12="zn"),VLOOKUP($D12,NeoTblTijden!$A$17:$Y$27,NeoTblTijden!I$15,FALSE),"")</f>
        <v/>
      </c>
      <c r="P12" s="93" t="str">
        <f>IF(OR($D12="1 dd",$D12="2 dd",$D12="3 dd",$D12="4 dd",$D12="5 dd",$D12="6 dd",$D12="8 dd",$D12="12 dd",$D12="24 dd",$D12="an",$D12="zn"),VLOOKUP($D12,NeoTblTijden!$A$17:$Y$27,NeoTblTijden!J$15,FALSE),"")</f>
        <v/>
      </c>
      <c r="Q12" s="378" t="str">
        <f>IF(OR($D12="1 dd",$D12="2 dd",$D12="3 dd",$D12="4 dd",$D12="5 dd",$D12="6 dd",$D12="8 dd",$D12="12 dd",$D12="24 dd",$D12="an",$D12="zn"),VLOOKUP($D12,NeoTblTijden!$A$17:$Y$27,NeoTblTijden!K$15,FALSE),"")</f>
        <v/>
      </c>
      <c r="R12" s="93" t="str">
        <f>IF(OR($D12="1 dd",$D12="2 dd",$D12="3 dd",$D12="4 dd",$D12="5 dd",$D12="6 dd",$D12="8 dd",$D12="12 dd",$D12="24 dd",$D12="an",$D12="zn"),VLOOKUP($D12,NeoTblTijden!$A$17:$Y$27,NeoTblTijden!L$15,FALSE),"")</f>
        <v/>
      </c>
      <c r="S12" s="378" t="str">
        <f>IF(OR($D12="1 dd",$D12="2 dd",$D12="3 dd",$D12="4 dd",$D12="5 dd",$D12="6 dd",$D12="8 dd",$D12="12 dd",$D12="24 dd",$D12="an",$D12="zn"),VLOOKUP($D12,NeoTblTijden!$A$17:$Y$27,NeoTblTijden!M$15,FALSE),"")</f>
        <v/>
      </c>
      <c r="T12" s="93" t="str">
        <f>IF(OR($D12="1 dd",$D12="2 dd",$D12="3 dd",$D12="4 dd",$D12="5 dd",$D12="6 dd",$D12="8 dd",$D12="12 dd",$D12="24 dd",$D12="an",$D12="zn"),VLOOKUP($D12,NeoTblTijden!$A$17:$Y$27,NeoTblTijden!N$15,FALSE),"")</f>
        <v/>
      </c>
      <c r="U12" s="378" t="str">
        <f>IF(OR($D12="1 dd",$D12="2 dd",$D12="3 dd",$D12="4 dd",$D12="5 dd",$D12="6 dd",$D12="8 dd",$D12="12 dd",$D12="24 dd",$D12="an",$D12="zn"),VLOOKUP($D12,NeoTblTijden!$A$17:$Y$27,NeoTblTijden!O$15,FALSE),"")</f>
        <v/>
      </c>
      <c r="V12" s="93" t="str">
        <f>IF(OR($D12="1 dd",$D12="2 dd",$D12="3 dd",$D12="4 dd",$D12="5 dd",$D12="6 dd",$D12="8 dd",$D12="12 dd",$D12="24 dd",$D12="an",$D12="zn"),VLOOKUP($D12,NeoTblTijden!$A$17:$Y$27,NeoTblTijden!P$15,FALSE),"")</f>
        <v/>
      </c>
      <c r="W12" s="378" t="str">
        <f>IF(OR($D12="1 dd",$D12="2 dd",$D12="3 dd",$D12="4 dd",$D12="5 dd",$D12="6 dd",$D12="8 dd",$D12="12 dd",$D12="24 dd",$D12="an",$D12="zn"),VLOOKUP($D12,NeoTblTijden!$A$17:$Y$27,NeoTblTijden!Q$15,FALSE),"")</f>
        <v/>
      </c>
      <c r="X12" s="93" t="str">
        <f>IF(OR($D12="1 dd",$D12="2 dd",$D12="3 dd",$D12="4 dd",$D12="5 dd",$D12="6 dd",$D12="8 dd",$D12="12 dd",$D12="24 dd",$D12="an",$D12="zn"),VLOOKUP($D12,NeoTblTijden!$A$17:$Y$27,NeoTblTijden!R$15,FALSE),"")</f>
        <v/>
      </c>
      <c r="Y12" s="378" t="str">
        <f>IF(OR($D12="1 dd",$D12="2 dd",$D12="3 dd",$D12="4 dd",$D12="5 dd",$D12="6 dd",$D12="8 dd",$D12="12 dd",$D12="24 dd",$D12="an",$D12="zn"),VLOOKUP($D12,NeoTblTijden!$A$17:$Y$27,NeoTblTijden!S$15,FALSE),"")</f>
        <v/>
      </c>
      <c r="Z12" s="93" t="str">
        <f>IF(OR($D12="1 dd",$D12="2 dd",$D12="3 dd",$D12="4 dd",$D12="5 dd",$D12="6 dd",$D12="8 dd",$D12="12 dd",$D12="24 dd",$D12="an",$D12="zn"),VLOOKUP($D12,NeoTblTijden!$A$17:$Y$27,NeoTblTijden!T$15,FALSE),"")</f>
        <v/>
      </c>
      <c r="AA12" s="378" t="str">
        <f>IF(OR($D12="1 dd",$D12="2 dd",$D12="3 dd",$D12="4 dd",$D12="5 dd",$D12="6 dd",$D12="8 dd",$D12="12 dd",$D12="24 dd",$D12="an",$D12="zn"),VLOOKUP($D12,NeoTblTijden!$A$17:$Y$27,NeoTblTijden!U$15,FALSE),"")</f>
        <v/>
      </c>
      <c r="AB12" s="93" t="str">
        <f>IF(OR($D12="1 dd",$D12="2 dd",$D12="3 dd",$D12="4 dd",$D12="5 dd",$D12="6 dd",$D12="8 dd",$D12="12 dd",$D12="24 dd",$D12="an",$D12="zn"),VLOOKUP($D12,NeoTblTijden!$A$17:$Y$27,NeoTblTijden!V$15,FALSE),"")</f>
        <v/>
      </c>
      <c r="AC12" s="378" t="str">
        <f>IF(OR($D12="1 dd",$D12="2 dd",$D12="3 dd",$D12="4 dd",$D12="5 dd",$D12="6 dd",$D12="8 dd",$D12="12 dd",$D12="24 dd",$D12="an",$D12="zn"),VLOOKUP($D12,NeoTblTijden!$A$17:$Y$27,NeoTblTijden!W$15,FALSE),"")</f>
        <v/>
      </c>
      <c r="AD12" s="93" t="str">
        <f>IF(OR($D12="1 dd",$D12="2 dd",$D12="3 dd",$D12="4 dd",$D12="5 dd",$D12="6 dd",$D12="8 dd",$D12="12 dd",$D12="24 dd",$D12="an",$D12="zn"),VLOOKUP($D12,NeoTblTijden!$A$17:$Y$27,NeoTblTijden!X$15,FALSE),"")</f>
        <v/>
      </c>
      <c r="AE12" s="378" t="str">
        <f>IF(OR($D12="1 dd",$D12="2 dd",$D12="3 dd",$D12="4 dd",$D12="5 dd",$D12="6 dd",$D12="8 dd",$D12="12 dd",$D12="24 dd",$D12="an",$D12="zn"),VLOOKUP($D12,NeoTblTijden!$A$17:$Y$27,NeoTblTijden!Y$15,FALSE),"")</f>
        <v/>
      </c>
      <c r="AF12" s="92"/>
      <c r="AG12" s="14"/>
    </row>
    <row r="13" spans="1:33" ht="26.1" customHeight="1" x14ac:dyDescent="0.2">
      <c r="B13" s="94"/>
      <c r="C13" s="125" t="str">
        <f>IF(GlobBerMedDisc!C12&lt;&gt;"",IF(GlobBerMedDisc!C12&gt;1,TRIM(GlobBerMedDisc!C12)&amp;", "&amp;GlobBerOpm!#REF!&amp;" ("&amp;GlobBerMedDisc!M12&amp;" "&amp;GlobBerMedDisc!F12&amp;"/kg/dag)",TRIM(GlobBerMedDisc!C12)&amp;", "&amp;GlobBerOpm!#REF!),"")</f>
        <v/>
      </c>
      <c r="D13" s="126" t="str">
        <f>IF(GlobGuiMedDisc!I19&lt;&gt;"",GlobGuiMedDisc!I19,"")</f>
        <v/>
      </c>
      <c r="E13" s="127" t="str">
        <f>IF(AND(D13&lt;&gt;"",D13&lt;&gt;"STOP"),GlobBerMedDisc!H12&amp;" "&amp;GlobBerMedDisc!F12,"")</f>
        <v/>
      </c>
      <c r="F13" s="127" t="str">
        <f>IF(AND(D13&lt;&gt;"",D13&lt;&gt;"STOP"),GlobBerMedDisc!L12," ")</f>
        <v xml:space="preserve"> </v>
      </c>
      <c r="G13" s="127" t="str">
        <f>IF(GlobGuiMedDisc!N19&lt;&gt;"",GlobGuiMedDisc!N19&amp;" "&amp;GlobGuiMedDisc!O19&amp;" "&amp;INDEX(GlobBerMedDisc!$B$27:$B$30,GlobBerMedDisc!O12,1)&amp;" in "&amp;GlobGuiMedDisc!$R$19,"")</f>
        <v/>
      </c>
      <c r="H13" s="93" t="str">
        <f>IF(OR($D13="1 dd",$D13="2 dd",$D13="3 dd",$D13="4 dd",$D13="5 dd",$D13="6 dd",$D13="8 dd",$D13="12 dd",$D13="24 dd",$D13="an",$D13="zn"),VLOOKUP($D13,NeoTblTijden!$A$17:$Y$27,NeoTblTijden!B$15,FALSE),"")</f>
        <v/>
      </c>
      <c r="I13" s="378" t="str">
        <f>IF(OR($D13="1 dd",$D13="2 dd",$D13="3 dd",$D13="4 dd",$D13="5 dd",$D13="6 dd",$D13="8 dd",$D13="12 dd",$D13="24 dd",$D13="an",$D13="zn"),VLOOKUP($D13,NeoTblTijden!$A$17:$Y$27,NeoTblTijden!C$15,FALSE),"")</f>
        <v/>
      </c>
      <c r="J13" s="93" t="str">
        <f>IF(OR($D13="1 dd",$D13="2 dd",$D13="3 dd",$D13="4 dd",$D13="5 dd",$D13="6 dd",$D13="8 dd",$D13="12 dd",$D13="24 dd",$D13="an",$D13="zn"),VLOOKUP($D13,NeoTblTijden!$A$17:$Y$27,NeoTblTijden!D$15,FALSE),"")</f>
        <v/>
      </c>
      <c r="K13" s="378" t="str">
        <f>IF(OR($D13="1 dd",$D13="2 dd",$D13="3 dd",$D13="4 dd",$D13="5 dd",$D13="6 dd",$D13="8 dd",$D13="12 dd",$D13="24 dd",$D13="an",$D13="zn"),VLOOKUP($D13,NeoTblTijden!$A$17:$Y$27,NeoTblTijden!E$15,FALSE),"")</f>
        <v/>
      </c>
      <c r="L13" s="93" t="str">
        <f>IF(OR($D13="1 dd",$D13="2 dd",$D13="3 dd",$D13="4 dd",$D13="5 dd",$D13="6 dd",$D13="8 dd",$D13="12 dd",$D13="24 dd",$D13="an",$D13="zn"),VLOOKUP($D13,NeoTblTijden!$A$17:$Y$27,NeoTblTijden!F$15,FALSE),"")</f>
        <v/>
      </c>
      <c r="M13" s="378" t="str">
        <f>IF(OR($D13="1 dd",$D13="2 dd",$D13="3 dd",$D13="4 dd",$D13="5 dd",$D13="6 dd",$D13="8 dd",$D13="12 dd",$D13="24 dd",$D13="an",$D13="zn"),VLOOKUP($D13,NeoTblTijden!$A$17:$Y$27,NeoTblTijden!G$15,FALSE),"")</f>
        <v/>
      </c>
      <c r="N13" s="93" t="str">
        <f>IF(OR($D13="1 dd",$D13="2 dd",$D13="3 dd",$D13="4 dd",$D13="5 dd",$D13="6 dd",$D13="8 dd",$D13="12 dd",$D13="24 dd",$D13="an",$D13="zn"),VLOOKUP($D13,NeoTblTijden!$A$17:$Y$27,NeoTblTijden!H$15,FALSE),"")</f>
        <v/>
      </c>
      <c r="O13" s="378" t="str">
        <f>IF(OR($D13="1 dd",$D13="2 dd",$D13="3 dd",$D13="4 dd",$D13="5 dd",$D13="6 dd",$D13="8 dd",$D13="12 dd",$D13="24 dd",$D13="an",$D13="zn"),VLOOKUP($D13,NeoTblTijden!$A$17:$Y$27,NeoTblTijden!I$15,FALSE),"")</f>
        <v/>
      </c>
      <c r="P13" s="93" t="str">
        <f>IF(OR($D13="1 dd",$D13="2 dd",$D13="3 dd",$D13="4 dd",$D13="5 dd",$D13="6 dd",$D13="8 dd",$D13="12 dd",$D13="24 dd",$D13="an",$D13="zn"),VLOOKUP($D13,NeoTblTijden!$A$17:$Y$27,NeoTblTijden!J$15,FALSE),"")</f>
        <v/>
      </c>
      <c r="Q13" s="378" t="str">
        <f>IF(OR($D13="1 dd",$D13="2 dd",$D13="3 dd",$D13="4 dd",$D13="5 dd",$D13="6 dd",$D13="8 dd",$D13="12 dd",$D13="24 dd",$D13="an",$D13="zn"),VLOOKUP($D13,NeoTblTijden!$A$17:$Y$27,NeoTblTijden!K$15,FALSE),"")</f>
        <v/>
      </c>
      <c r="R13" s="93" t="str">
        <f>IF(OR($D13="1 dd",$D13="2 dd",$D13="3 dd",$D13="4 dd",$D13="5 dd",$D13="6 dd",$D13="8 dd",$D13="12 dd",$D13="24 dd",$D13="an",$D13="zn"),VLOOKUP($D13,NeoTblTijden!$A$17:$Y$27,NeoTblTijden!L$15,FALSE),"")</f>
        <v/>
      </c>
      <c r="S13" s="378" t="str">
        <f>IF(OR($D13="1 dd",$D13="2 dd",$D13="3 dd",$D13="4 dd",$D13="5 dd",$D13="6 dd",$D13="8 dd",$D13="12 dd",$D13="24 dd",$D13="an",$D13="zn"),VLOOKUP($D13,NeoTblTijden!$A$17:$Y$27,NeoTblTijden!M$15,FALSE),"")</f>
        <v/>
      </c>
      <c r="T13" s="93" t="str">
        <f>IF(OR($D13="1 dd",$D13="2 dd",$D13="3 dd",$D13="4 dd",$D13="5 dd",$D13="6 dd",$D13="8 dd",$D13="12 dd",$D13="24 dd",$D13="an",$D13="zn"),VLOOKUP($D13,NeoTblTijden!$A$17:$Y$27,NeoTblTijden!N$15,FALSE),"")</f>
        <v/>
      </c>
      <c r="U13" s="378" t="str">
        <f>IF(OR($D13="1 dd",$D13="2 dd",$D13="3 dd",$D13="4 dd",$D13="5 dd",$D13="6 dd",$D13="8 dd",$D13="12 dd",$D13="24 dd",$D13="an",$D13="zn"),VLOOKUP($D13,NeoTblTijden!$A$17:$Y$27,NeoTblTijden!O$15,FALSE),"")</f>
        <v/>
      </c>
      <c r="V13" s="93" t="str">
        <f>IF(OR($D13="1 dd",$D13="2 dd",$D13="3 dd",$D13="4 dd",$D13="5 dd",$D13="6 dd",$D13="8 dd",$D13="12 dd",$D13="24 dd",$D13="an",$D13="zn"),VLOOKUP($D13,NeoTblTijden!$A$17:$Y$27,NeoTblTijden!P$15,FALSE),"")</f>
        <v/>
      </c>
      <c r="W13" s="378" t="str">
        <f>IF(OR($D13="1 dd",$D13="2 dd",$D13="3 dd",$D13="4 dd",$D13="5 dd",$D13="6 dd",$D13="8 dd",$D13="12 dd",$D13="24 dd",$D13="an",$D13="zn"),VLOOKUP($D13,NeoTblTijden!$A$17:$Y$27,NeoTblTijden!Q$15,FALSE),"")</f>
        <v/>
      </c>
      <c r="X13" s="93" t="str">
        <f>IF(OR($D13="1 dd",$D13="2 dd",$D13="3 dd",$D13="4 dd",$D13="5 dd",$D13="6 dd",$D13="8 dd",$D13="12 dd",$D13="24 dd",$D13="an",$D13="zn"),VLOOKUP($D13,NeoTblTijden!$A$17:$Y$27,NeoTblTijden!R$15,FALSE),"")</f>
        <v/>
      </c>
      <c r="Y13" s="378" t="str">
        <f>IF(OR($D13="1 dd",$D13="2 dd",$D13="3 dd",$D13="4 dd",$D13="5 dd",$D13="6 dd",$D13="8 dd",$D13="12 dd",$D13="24 dd",$D13="an",$D13="zn"),VLOOKUP($D13,NeoTblTijden!$A$17:$Y$27,NeoTblTijden!S$15,FALSE),"")</f>
        <v/>
      </c>
      <c r="Z13" s="93" t="str">
        <f>IF(OR($D13="1 dd",$D13="2 dd",$D13="3 dd",$D13="4 dd",$D13="5 dd",$D13="6 dd",$D13="8 dd",$D13="12 dd",$D13="24 dd",$D13="an",$D13="zn"),VLOOKUP($D13,NeoTblTijden!$A$17:$Y$27,NeoTblTijden!T$15,FALSE),"")</f>
        <v/>
      </c>
      <c r="AA13" s="378" t="str">
        <f>IF(OR($D13="1 dd",$D13="2 dd",$D13="3 dd",$D13="4 dd",$D13="5 dd",$D13="6 dd",$D13="8 dd",$D13="12 dd",$D13="24 dd",$D13="an",$D13="zn"),VLOOKUP($D13,NeoTblTijden!$A$17:$Y$27,NeoTblTijden!U$15,FALSE),"")</f>
        <v/>
      </c>
      <c r="AB13" s="93" t="str">
        <f>IF(OR($D13="1 dd",$D13="2 dd",$D13="3 dd",$D13="4 dd",$D13="5 dd",$D13="6 dd",$D13="8 dd",$D13="12 dd",$D13="24 dd",$D13="an",$D13="zn"),VLOOKUP($D13,NeoTblTijden!$A$17:$Y$27,NeoTblTijden!V$15,FALSE),"")</f>
        <v/>
      </c>
      <c r="AC13" s="378" t="str">
        <f>IF(OR($D13="1 dd",$D13="2 dd",$D13="3 dd",$D13="4 dd",$D13="5 dd",$D13="6 dd",$D13="8 dd",$D13="12 dd",$D13="24 dd",$D13="an",$D13="zn"),VLOOKUP($D13,NeoTblTijden!$A$17:$Y$27,NeoTblTijden!W$15,FALSE),"")</f>
        <v/>
      </c>
      <c r="AD13" s="93" t="str">
        <f>IF(OR($D13="1 dd",$D13="2 dd",$D13="3 dd",$D13="4 dd",$D13="5 dd",$D13="6 dd",$D13="8 dd",$D13="12 dd",$D13="24 dd",$D13="an",$D13="zn"),VLOOKUP($D13,NeoTblTijden!$A$17:$Y$27,NeoTblTijden!X$15,FALSE),"")</f>
        <v/>
      </c>
      <c r="AE13" s="378" t="str">
        <f>IF(OR($D13="1 dd",$D13="2 dd",$D13="3 dd",$D13="4 dd",$D13="5 dd",$D13="6 dd",$D13="8 dd",$D13="12 dd",$D13="24 dd",$D13="an",$D13="zn"),VLOOKUP($D13,NeoTblTijden!$A$17:$Y$27,NeoTblTijden!Y$15,FALSE),"")</f>
        <v/>
      </c>
      <c r="AF13" s="92"/>
      <c r="AG13" s="14"/>
    </row>
    <row r="14" spans="1:33" ht="26.1" customHeight="1" x14ac:dyDescent="0.2">
      <c r="B14" s="94"/>
      <c r="C14" s="125" t="str">
        <f>IF(GlobBerMedDisc!C13&lt;&gt;"",IF(GlobBerMedDisc!C13&gt;1,TRIM(GlobBerMedDisc!C13)&amp;", "&amp;GlobBerOpm!#REF!&amp;" ("&amp;GlobBerMedDisc!M13&amp;" "&amp;GlobBerMedDisc!F13&amp;"/kg/dag)",TRIM(GlobBerMedDisc!C13)&amp;", "&amp;GlobBerOpm!#REF!),"")</f>
        <v/>
      </c>
      <c r="D14" s="126" t="str">
        <f>IF(GlobGuiMedDisc!I20&lt;&gt;"",GlobGuiMedDisc!I20,"")</f>
        <v/>
      </c>
      <c r="E14" s="127" t="str">
        <f>IF(AND(D14&lt;&gt;"",D14&lt;&gt;"STOP"),GlobBerMedDisc!H13&amp;" "&amp;GlobBerMedDisc!F13,"")</f>
        <v/>
      </c>
      <c r="F14" s="127" t="str">
        <f>IF(AND(D14&lt;&gt;"",D14&lt;&gt;"STOP"),GlobBerMedDisc!L13," ")</f>
        <v xml:space="preserve"> </v>
      </c>
      <c r="G14" s="127" t="str">
        <f>IF(GlobGuiMedDisc!N20&lt;&gt;"",GlobGuiMedDisc!N20&amp;" "&amp;GlobGuiMedDisc!O20&amp;" "&amp;INDEX(GlobBerMedDisc!$B$27:$B$30,GlobBerMedDisc!O13,1)&amp;" in "&amp;GlobGuiMedDisc!$R$20,"")</f>
        <v/>
      </c>
      <c r="H14" s="93" t="str">
        <f>IF(OR($D14="1 dd",$D14="2 dd",$D14="3 dd",$D14="4 dd",$D14="6 dd",$D14="8 dd",$D14="12 dd",$D14="an",$D14="1 X"),VLOOKUP($D14,PedTblTijden!$A$16:$X$26,PedTblTijden!B$14,FALSE),"")</f>
        <v/>
      </c>
      <c r="I14" s="12" t="str">
        <f>IF(OR($D14="1 dd",$D14="2 dd",$D14="3 dd",$D14="4 dd",$D14="6 dd",$D14="8 dd",$D14="12 dd",$D14="an",$D14="1 X"),VLOOKUP($D14,PedTblTijden!$A$16:$X$26,PedTblTijden!C$14,FALSE),"")</f>
        <v/>
      </c>
      <c r="J14" s="93" t="str">
        <f>IF(OR($D14="1 dd",$D14="2 dd",$D14="3 dd",$D14="4 dd",$D14="6 dd",$D14="8 dd",$D14="12 dd",$D14="an",$D14="1 X"),VLOOKUP($D14,PedTblTijden!$A$16:$X$26,PedTblTijden!D$14,FALSE),"")</f>
        <v/>
      </c>
      <c r="K14" s="12" t="str">
        <f>IF(OR($D14="1 dd",$D14="2 dd",$D14="3 dd",$D14="4 dd",$D14="6 dd",$D14="8 dd",$D14="12 dd",$D14="an",$D14="1 X"),VLOOKUP($D14,PedTblTijden!$A$16:$X$26,PedTblTijden!E$14,FALSE),"")</f>
        <v/>
      </c>
      <c r="L14" s="93" t="str">
        <f>IF(OR($D14="1 dd",$D14="2 dd",$D14="3 dd",$D14="4 dd",$D14="6 dd",$D14="8 dd",$D14="12 dd",$D14="an",$D14="1 X"),VLOOKUP($D14,PedTblTijden!$A$16:$X$26,PedTblTijden!F$14,FALSE),"")</f>
        <v/>
      </c>
      <c r="M14" s="12" t="str">
        <f>IF(OR($D14="1 dd",$D14="2 dd",$D14="3 dd",$D14="4 dd",$D14="6 dd",$D14="8 dd",$D14="12 dd",$D14="an",$D14="1 X"),VLOOKUP($D14,PedTblTijden!$A$16:$X$26,PedTblTijden!G$14,FALSE),"")</f>
        <v/>
      </c>
      <c r="N14" s="93" t="str">
        <f>IF(OR($D14="1 dd",$D14="2 dd",$D14="3 dd",$D14="4 dd",$D14="6 dd",$D14="8 dd",$D14="12 dd",$D14="an",$D14="1 X"),VLOOKUP($D14,PedTblTijden!$A$16:$X$26,PedTblTijden!H$14,FALSE),"")</f>
        <v/>
      </c>
      <c r="O14" s="12" t="str">
        <f>IF(OR($D14="1 dd",$D14="2 dd",$D14="3 dd",$D14="4 dd",$D14="6 dd",$D14="8 dd",$D14="12 dd",$D14="an",$D14="1 X"),VLOOKUP($D14,PedTblTijden!$A$16:$X$26,PedTblTijden!I$14,FALSE),"")</f>
        <v/>
      </c>
      <c r="P14" s="93" t="str">
        <f>IF(OR($D14="1 dd",$D14="2 dd",$D14="3 dd",$D14="4 dd",$D14="6 dd",$D14="8 dd",$D14="12 dd",$D14="an",$D14="1 X"),VLOOKUP($D14,PedTblTijden!$A$16:$X$26,PedTblTijden!J$14,FALSE),"")</f>
        <v/>
      </c>
      <c r="Q14" s="12" t="str">
        <f>IF(OR($D14="1 dd",$D14="2 dd",$D14="3 dd",$D14="4 dd",$D14="6 dd",$D14="8 dd",$D14="12 dd",$D14="an",$D14="1 X"),VLOOKUP($D14,PedTblTijden!$A$16:$X$26,PedTblTijden!K$14,FALSE),"")</f>
        <v/>
      </c>
      <c r="R14" s="93" t="str">
        <f>IF(OR($D14="1 dd",$D14="2 dd",$D14="3 dd",$D14="4 dd",$D14="6 dd",$D14="8 dd",$D14="12 dd",$D14="an",$D14="1 X"),VLOOKUP($D14,PedTblTijden!$A$16:$X$26,PedTblTijden!L$14,FALSE),"")</f>
        <v/>
      </c>
      <c r="S14" s="12" t="str">
        <f>IF(OR($D14="1 dd",$D14="2 dd",$D14="3 dd",$D14="4 dd",$D14="6 dd",$D14="8 dd",$D14="12 dd",$D14="an",$D14="1 X"),VLOOKUP($D14,PedTblTijden!$A$16:$X$26,PedTblTijden!M$14,FALSE),"")</f>
        <v/>
      </c>
      <c r="T14" s="93" t="str">
        <f>IF(OR($D14="1 dd",$D14="2 dd",$D14="3 dd",$D14="4 dd",$D14="6 dd",$D14="8 dd",$D14="12 dd",$D14="an",$D14="1 X"),VLOOKUP($D14,PedTblTijden!$A$16:$X$26,PedTblTijden!N$14,FALSE),"")</f>
        <v/>
      </c>
      <c r="U14" s="12" t="str">
        <f>IF(OR($D14="1 dd",$D14="2 dd",$D14="3 dd",$D14="4 dd",$D14="6 dd",$D14="8 dd",$D14="12 dd",$D14="an",$D14="1 X"),VLOOKUP($D14,PedTblTijden!$A$16:$X$26,PedTblTijden!O$14,FALSE),"")</f>
        <v/>
      </c>
      <c r="V14" s="93" t="str">
        <f>IF(OR($D14="1 dd",$D14="2 dd",$D14="3 dd",$D14="4 dd",$D14="6 dd",$D14="8 dd",$D14="12 dd",$D14="an",$D14="1 X"),VLOOKUP($D14,PedTblTijden!$A$16:$X$26,PedTblTijden!P$14,FALSE),"")</f>
        <v/>
      </c>
      <c r="W14" s="12" t="str">
        <f>IF(OR($D14="1 dd",$D14="2 dd",$D14="3 dd",$D14="4 dd",$D14="6 dd",$D14="8 dd",$D14="12 dd",$D14="an",$D14="1 X"),VLOOKUP($D14,PedTblTijden!$A$16:$X$26,PedTblTijden!Q$14,FALSE),"")</f>
        <v/>
      </c>
      <c r="X14" s="93" t="str">
        <f>IF(OR($D14="1 dd",$D14="2 dd",$D14="3 dd",$D14="4 dd",$D14="6 dd",$D14="8 dd",$D14="12 dd",$D14="an",$D14="1 X"),VLOOKUP($D14,PedTblTijden!$A$16:$X$26,PedTblTijden!R$14,FALSE),"")</f>
        <v/>
      </c>
      <c r="Y14" s="12" t="str">
        <f>IF(OR($D14="1 dd",$D14="2 dd",$D14="3 dd",$D14="4 dd",$D14="6 dd",$D14="8 dd",$D14="12 dd",$D14="an",$D14="1 X"),VLOOKUP($D14,PedTblTijden!$A$16:$X$26,PedTblTijden!S$14,FALSE),"")</f>
        <v/>
      </c>
      <c r="Z14" s="93" t="str">
        <f>IF(OR($D14="1 dd",$D14="2 dd",$D14="3 dd",$D14="4 dd",$D14="6 dd",$D14="8 dd",$D14="12 dd",$D14="an",$D14="1 X"),VLOOKUP($D14,PedTblTijden!$A$16:$X$26,PedTblTijden!T$14,FALSE),"")</f>
        <v/>
      </c>
      <c r="AA14" s="12" t="str">
        <f>IF(OR($D14="1 dd",$D14="2 dd",$D14="3 dd",$D14="4 dd",$D14="6 dd",$D14="8 dd",$D14="12 dd",$D14="an",$D14="1 X"),VLOOKUP($D14,PedTblTijden!$A$16:$X$26,PedTblTijden!U$14,FALSE),"")</f>
        <v/>
      </c>
      <c r="AB14" s="93" t="str">
        <f>IF(OR($D14="1 dd",$D14="2 dd",$D14="3 dd",$D14="4 dd",$D14="6 dd",$D14="8 dd",$D14="12 dd",$D14="an",$D14="1 X"),VLOOKUP($D14,PedTblTijden!$A$16:$X$26,PedTblTijden!V$14,FALSE),"")</f>
        <v/>
      </c>
      <c r="AC14" s="12" t="str">
        <f>IF(OR($D14="1 dd",$D14="2 dd",$D14="3 dd",$D14="4 dd",$D14="6 dd",$D14="8 dd",$D14="12 dd",$D14="an",$D14="1 X"),VLOOKUP($D14,PedTblTijden!$A$16:$X$26,PedTblTijden!W$14,FALSE),"")</f>
        <v/>
      </c>
      <c r="AD14" s="93" t="str">
        <f>IF(OR($D14="1 dd",$D14="2 dd",$D14="3 dd",$D14="4 dd",$D14="6 dd",$D14="8 dd",$D14="12 dd",$D14="an",$D14="1 X"),VLOOKUP($D14,PedTblTijden!$A$16:$X$26,PedTblTijden!X$14,FALSE),"")</f>
        <v/>
      </c>
      <c r="AE14" s="14"/>
      <c r="AF14" s="92"/>
      <c r="AG14" s="14"/>
    </row>
    <row r="15" spans="1:33" ht="26.1" customHeight="1" x14ac:dyDescent="0.2">
      <c r="B15" s="94"/>
      <c r="C15" s="125" t="str">
        <f>IF(GlobBerMedDisc!C14&lt;&gt;"",IF(GlobBerMedDisc!C14&gt;1,TRIM(GlobBerMedDisc!C14)&amp;", "&amp;GlobBerOpm!#REF!&amp;" ("&amp;GlobBerMedDisc!M14&amp;" "&amp;GlobBerMedDisc!F14&amp;"/kg/dag)",TRIM(GlobBerMedDisc!C14)&amp;", "&amp;GlobBerOpm!#REF!),"")</f>
        <v/>
      </c>
      <c r="D15" s="126" t="str">
        <f>IF(GlobGuiMedDisc!I21&lt;&gt;"",GlobGuiMedDisc!I21,"")</f>
        <v/>
      </c>
      <c r="E15" s="127" t="str">
        <f>IF(AND(D15&lt;&gt;"",D15&lt;&gt;"STOP"),GlobBerMedDisc!H14&amp;" "&amp;GlobBerMedDisc!F14,"")</f>
        <v/>
      </c>
      <c r="F15" s="127" t="str">
        <f>IF(AND(D15&lt;&gt;"",D15&lt;&gt;"STOP"),GlobBerMedDisc!L14," ")</f>
        <v xml:space="preserve"> </v>
      </c>
      <c r="G15" s="127" t="str">
        <f>IF(GlobGuiMedDisc!N21&lt;&gt;"",GlobGuiMedDisc!N21&amp;" "&amp;GlobGuiMedDisc!O21&amp;" "&amp;INDEX(GlobBerMedDisc!$B$27:$B$30,GlobBerMedDisc!O14,1)&amp;" in "&amp;GlobGuiMedDisc!$R$21,"")</f>
        <v/>
      </c>
      <c r="H15" s="93" t="str">
        <f>IF(OR($D15="1 dd",$D15="2 dd",$D15="3 dd",$D15="4 dd",$D15="6 dd",$D15="8 dd",$D15="12 dd",$D15="an",$D15="1 X"),VLOOKUP($D15,PedTblTijden!$A$16:$X$26,PedTblTijden!B$14,FALSE),"")</f>
        <v/>
      </c>
      <c r="I15" s="12" t="str">
        <f>IF(OR($D15="1 dd",$D15="2 dd",$D15="3 dd",$D15="4 dd",$D15="6 dd",$D15="8 dd",$D15="12 dd",$D15="an",$D15="1 X"),VLOOKUP($D15,PedTblTijden!$A$16:$X$26,PedTblTijden!C$14,FALSE),"")</f>
        <v/>
      </c>
      <c r="J15" s="93" t="str">
        <f>IF(OR($D15="1 dd",$D15="2 dd",$D15="3 dd",$D15="4 dd",$D15="6 dd",$D15="8 dd",$D15="12 dd",$D15="an",$D15="1 X"),VLOOKUP($D15,PedTblTijden!$A$16:$X$26,PedTblTijden!D$14,FALSE),"")</f>
        <v/>
      </c>
      <c r="K15" s="12" t="str">
        <f>IF(OR($D15="1 dd",$D15="2 dd",$D15="3 dd",$D15="4 dd",$D15="6 dd",$D15="8 dd",$D15="12 dd",$D15="an",$D15="1 X"),VLOOKUP($D15,PedTblTijden!$A$16:$X$26,PedTblTijden!E$14,FALSE),"")</f>
        <v/>
      </c>
      <c r="L15" s="93" t="str">
        <f>IF(OR($D15="1 dd",$D15="2 dd",$D15="3 dd",$D15="4 dd",$D15="6 dd",$D15="8 dd",$D15="12 dd",$D15="an",$D15="1 X"),VLOOKUP($D15,PedTblTijden!$A$16:$X$26,PedTblTijden!F$14,FALSE),"")</f>
        <v/>
      </c>
      <c r="M15" s="12" t="str">
        <f>IF(OR($D15="1 dd",$D15="2 dd",$D15="3 dd",$D15="4 dd",$D15="6 dd",$D15="8 dd",$D15="12 dd",$D15="an",$D15="1 X"),VLOOKUP($D15,PedTblTijden!$A$16:$X$26,PedTblTijden!G$14,FALSE),"")</f>
        <v/>
      </c>
      <c r="N15" s="93" t="str">
        <f>IF(OR($D15="1 dd",$D15="2 dd",$D15="3 dd",$D15="4 dd",$D15="6 dd",$D15="8 dd",$D15="12 dd",$D15="an",$D15="1 X"),VLOOKUP($D15,PedTblTijden!$A$16:$X$26,PedTblTijden!H$14,FALSE),"")</f>
        <v/>
      </c>
      <c r="O15" s="12" t="str">
        <f>IF(OR($D15="1 dd",$D15="2 dd",$D15="3 dd",$D15="4 dd",$D15="6 dd",$D15="8 dd",$D15="12 dd",$D15="an",$D15="1 X"),VLOOKUP($D15,PedTblTijden!$A$16:$X$26,PedTblTijden!I$14,FALSE),"")</f>
        <v/>
      </c>
      <c r="P15" s="93" t="str">
        <f>IF(OR($D15="1 dd",$D15="2 dd",$D15="3 dd",$D15="4 dd",$D15="6 dd",$D15="8 dd",$D15="12 dd",$D15="an",$D15="1 X"),VLOOKUP($D15,PedTblTijden!$A$16:$X$26,PedTblTijden!J$14,FALSE),"")</f>
        <v/>
      </c>
      <c r="Q15" s="12" t="str">
        <f>IF(OR($D15="1 dd",$D15="2 dd",$D15="3 dd",$D15="4 dd",$D15="6 dd",$D15="8 dd",$D15="12 dd",$D15="an",$D15="1 X"),VLOOKUP($D15,PedTblTijden!$A$16:$X$26,PedTblTijden!K$14,FALSE),"")</f>
        <v/>
      </c>
      <c r="R15" s="93" t="str">
        <f>IF(OR($D15="1 dd",$D15="2 dd",$D15="3 dd",$D15="4 dd",$D15="6 dd",$D15="8 dd",$D15="12 dd",$D15="an",$D15="1 X"),VLOOKUP($D15,PedTblTijden!$A$16:$X$26,PedTblTijden!L$14,FALSE),"")</f>
        <v/>
      </c>
      <c r="S15" s="12" t="str">
        <f>IF(OR($D15="1 dd",$D15="2 dd",$D15="3 dd",$D15="4 dd",$D15="6 dd",$D15="8 dd",$D15="12 dd",$D15="an",$D15="1 X"),VLOOKUP($D15,PedTblTijden!$A$16:$X$26,PedTblTijden!M$14,FALSE),"")</f>
        <v/>
      </c>
      <c r="T15" s="93" t="str">
        <f>IF(OR($D15="1 dd",$D15="2 dd",$D15="3 dd",$D15="4 dd",$D15="6 dd",$D15="8 dd",$D15="12 dd",$D15="an",$D15="1 X"),VLOOKUP($D15,PedTblTijden!$A$16:$X$26,PedTblTijden!N$14,FALSE),"")</f>
        <v/>
      </c>
      <c r="U15" s="12" t="str">
        <f>IF(OR($D15="1 dd",$D15="2 dd",$D15="3 dd",$D15="4 dd",$D15="6 dd",$D15="8 dd",$D15="12 dd",$D15="an",$D15="1 X"),VLOOKUP($D15,PedTblTijden!$A$16:$X$26,PedTblTijden!O$14,FALSE),"")</f>
        <v/>
      </c>
      <c r="V15" s="93" t="str">
        <f>IF(OR($D15="1 dd",$D15="2 dd",$D15="3 dd",$D15="4 dd",$D15="6 dd",$D15="8 dd",$D15="12 dd",$D15="an",$D15="1 X"),VLOOKUP($D15,PedTblTijden!$A$16:$X$26,PedTblTijden!P$14,FALSE),"")</f>
        <v/>
      </c>
      <c r="W15" s="12" t="str">
        <f>IF(OR($D15="1 dd",$D15="2 dd",$D15="3 dd",$D15="4 dd",$D15="6 dd",$D15="8 dd",$D15="12 dd",$D15="an",$D15="1 X"),VLOOKUP($D15,PedTblTijden!$A$16:$X$26,PedTblTijden!Q$14,FALSE),"")</f>
        <v/>
      </c>
      <c r="X15" s="93" t="str">
        <f>IF(OR($D15="1 dd",$D15="2 dd",$D15="3 dd",$D15="4 dd",$D15="6 dd",$D15="8 dd",$D15="12 dd",$D15="an",$D15="1 X"),VLOOKUP($D15,PedTblTijden!$A$16:$X$26,PedTblTijden!R$14,FALSE),"")</f>
        <v/>
      </c>
      <c r="Y15" s="12" t="str">
        <f>IF(OR($D15="1 dd",$D15="2 dd",$D15="3 dd",$D15="4 dd",$D15="6 dd",$D15="8 dd",$D15="12 dd",$D15="an",$D15="1 X"),VLOOKUP($D15,PedTblTijden!$A$16:$X$26,PedTblTijden!S$14,FALSE),"")</f>
        <v/>
      </c>
      <c r="Z15" s="93" t="str">
        <f>IF(OR($D15="1 dd",$D15="2 dd",$D15="3 dd",$D15="4 dd",$D15="6 dd",$D15="8 dd",$D15="12 dd",$D15="an",$D15="1 X"),VLOOKUP($D15,PedTblTijden!$A$16:$X$26,PedTblTijden!T$14,FALSE),"")</f>
        <v/>
      </c>
      <c r="AA15" s="12" t="str">
        <f>IF(OR($D15="1 dd",$D15="2 dd",$D15="3 dd",$D15="4 dd",$D15="6 dd",$D15="8 dd",$D15="12 dd",$D15="an",$D15="1 X"),VLOOKUP($D15,PedTblTijden!$A$16:$X$26,PedTblTijden!U$14,FALSE),"")</f>
        <v/>
      </c>
      <c r="AB15" s="93" t="str">
        <f>IF(OR($D15="1 dd",$D15="2 dd",$D15="3 dd",$D15="4 dd",$D15="6 dd",$D15="8 dd",$D15="12 dd",$D15="an",$D15="1 X"),VLOOKUP($D15,PedTblTijden!$A$16:$X$26,PedTblTijden!V$14,FALSE),"")</f>
        <v/>
      </c>
      <c r="AC15" s="12" t="str">
        <f>IF(OR($D15="1 dd",$D15="2 dd",$D15="3 dd",$D15="4 dd",$D15="6 dd",$D15="8 dd",$D15="12 dd",$D15="an",$D15="1 X"),VLOOKUP($D15,PedTblTijden!$A$16:$X$26,PedTblTijden!W$14,FALSE),"")</f>
        <v/>
      </c>
      <c r="AD15" s="93" t="str">
        <f>IF(OR($D15="1 dd",$D15="2 dd",$D15="3 dd",$D15="4 dd",$D15="6 dd",$D15="8 dd",$D15="12 dd",$D15="an",$D15="1 X"),VLOOKUP($D15,PedTblTijden!$A$16:$X$26,PedTblTijden!X$14,FALSE),"")</f>
        <v/>
      </c>
      <c r="AE15" s="14"/>
      <c r="AF15" s="92"/>
      <c r="AG15" s="14"/>
    </row>
    <row r="16" spans="1:33" ht="26.1" customHeight="1" x14ac:dyDescent="0.2">
      <c r="B16" s="94"/>
      <c r="C16" s="125" t="str">
        <f>IF(GlobBerMedDisc!C15&lt;&gt;"",IF(GlobBerMedDisc!C15&gt;1,TRIM(GlobBerMedDisc!C15)&amp;", "&amp;GlobBerOpm!#REF!&amp;" ("&amp;GlobBerMedDisc!M15&amp;" "&amp;GlobBerMedDisc!F15&amp;"/kg/dag)",TRIM(GlobBerMedDisc!C15)&amp;", "&amp;GlobBerOpm!#REF!),"")</f>
        <v/>
      </c>
      <c r="D16" s="126" t="str">
        <f>IF(GlobGuiMedDisc!I22&lt;&gt;"",GlobGuiMedDisc!I22,"")</f>
        <v/>
      </c>
      <c r="E16" s="127" t="str">
        <f>IF(AND(D16&lt;&gt;"",D16&lt;&gt;"STOP"),GlobBerMedDisc!H15&amp;" "&amp;GlobBerMedDisc!F15,"")</f>
        <v/>
      </c>
      <c r="F16" s="127" t="str">
        <f>IF(AND(D16&lt;&gt;"",D16&lt;&gt;"STOP"),GlobBerMedDisc!L15," ")</f>
        <v xml:space="preserve"> </v>
      </c>
      <c r="G16" s="127" t="str">
        <f>IF(GlobGuiMedDisc!N22&lt;&gt;"",GlobGuiMedDisc!N22&amp;" "&amp;GlobGuiMedDisc!O22&amp;" "&amp;INDEX(GlobBerMedDisc!$B$27:$B$30,GlobBerMedDisc!O15,1)&amp;" in "&amp;GlobGuiMedDisc!$R$22,"")</f>
        <v/>
      </c>
      <c r="H16" s="93" t="str">
        <f>IF(OR($D16="1 dd",$D16="2 dd",$D16="3 dd",$D16="4 dd",$D16="6 dd",$D16="8 dd",$D16="12 dd",$D16="an",$D16="1 X"),VLOOKUP($D16,PedTblTijden!$A$16:$X$26,PedTblTijden!B$14,FALSE),"")</f>
        <v/>
      </c>
      <c r="I16" s="12" t="str">
        <f>IF(OR($D16="1 dd",$D16="2 dd",$D16="3 dd",$D16="4 dd",$D16="6 dd",$D16="8 dd",$D16="12 dd",$D16="an",$D16="1 X"),VLOOKUP($D16,PedTblTijden!$A$16:$X$26,PedTblTijden!C$14,FALSE),"")</f>
        <v/>
      </c>
      <c r="J16" s="93" t="str">
        <f>IF(OR($D16="1 dd",$D16="2 dd",$D16="3 dd",$D16="4 dd",$D16="6 dd",$D16="8 dd",$D16="12 dd",$D16="an",$D16="1 X"),VLOOKUP($D16,PedTblTijden!$A$16:$X$26,PedTblTijden!D$14,FALSE),"")</f>
        <v/>
      </c>
      <c r="K16" s="12" t="str">
        <f>IF(OR($D16="1 dd",$D16="2 dd",$D16="3 dd",$D16="4 dd",$D16="6 dd",$D16="8 dd",$D16="12 dd",$D16="an",$D16="1 X"),VLOOKUP($D16,PedTblTijden!$A$16:$X$26,PedTblTijden!E$14,FALSE),"")</f>
        <v/>
      </c>
      <c r="L16" s="93" t="str">
        <f>IF(OR($D16="1 dd",$D16="2 dd",$D16="3 dd",$D16="4 dd",$D16="6 dd",$D16="8 dd",$D16="12 dd",$D16="an",$D16="1 X"),VLOOKUP($D16,PedTblTijden!$A$16:$X$26,PedTblTijden!F$14,FALSE),"")</f>
        <v/>
      </c>
      <c r="M16" s="12" t="str">
        <f>IF(OR($D16="1 dd",$D16="2 dd",$D16="3 dd",$D16="4 dd",$D16="6 dd",$D16="8 dd",$D16="12 dd",$D16="an",$D16="1 X"),VLOOKUP($D16,PedTblTijden!$A$16:$X$26,PedTblTijden!G$14,FALSE),"")</f>
        <v/>
      </c>
      <c r="N16" s="93" t="str">
        <f>IF(OR($D16="1 dd",$D16="2 dd",$D16="3 dd",$D16="4 dd",$D16="6 dd",$D16="8 dd",$D16="12 dd",$D16="an",$D16="1 X"),VLOOKUP($D16,PedTblTijden!$A$16:$X$26,PedTblTijden!H$14,FALSE),"")</f>
        <v/>
      </c>
      <c r="O16" s="12" t="str">
        <f>IF(OR($D16="1 dd",$D16="2 dd",$D16="3 dd",$D16="4 dd",$D16="6 dd",$D16="8 dd",$D16="12 dd",$D16="an",$D16="1 X"),VLOOKUP($D16,PedTblTijden!$A$16:$X$26,PedTblTijden!I$14,FALSE),"")</f>
        <v/>
      </c>
      <c r="P16" s="93" t="str">
        <f>IF(OR($D16="1 dd",$D16="2 dd",$D16="3 dd",$D16="4 dd",$D16="6 dd",$D16="8 dd",$D16="12 dd",$D16="an",$D16="1 X"),VLOOKUP($D16,PedTblTijden!$A$16:$X$26,PedTblTijden!J$14,FALSE),"")</f>
        <v/>
      </c>
      <c r="Q16" s="12" t="str">
        <f>IF(OR($D16="1 dd",$D16="2 dd",$D16="3 dd",$D16="4 dd",$D16="6 dd",$D16="8 dd",$D16="12 dd",$D16="an",$D16="1 X"),VLOOKUP($D16,PedTblTijden!$A$16:$X$26,PedTblTijden!K$14,FALSE),"")</f>
        <v/>
      </c>
      <c r="R16" s="93" t="str">
        <f>IF(OR($D16="1 dd",$D16="2 dd",$D16="3 dd",$D16="4 dd",$D16="6 dd",$D16="8 dd",$D16="12 dd",$D16="an",$D16="1 X"),VLOOKUP($D16,PedTblTijden!$A$16:$X$26,PedTblTijden!L$14,FALSE),"")</f>
        <v/>
      </c>
      <c r="S16" s="12" t="str">
        <f>IF(OR($D16="1 dd",$D16="2 dd",$D16="3 dd",$D16="4 dd",$D16="6 dd",$D16="8 dd",$D16="12 dd",$D16="an",$D16="1 X"),VLOOKUP($D16,PedTblTijden!$A$16:$X$26,PedTblTijden!M$14,FALSE),"")</f>
        <v/>
      </c>
      <c r="T16" s="93" t="str">
        <f>IF(OR($D16="1 dd",$D16="2 dd",$D16="3 dd",$D16="4 dd",$D16="6 dd",$D16="8 dd",$D16="12 dd",$D16="an",$D16="1 X"),VLOOKUP($D16,PedTblTijden!$A$16:$X$26,PedTblTijden!N$14,FALSE),"")</f>
        <v/>
      </c>
      <c r="U16" s="12" t="str">
        <f>IF(OR($D16="1 dd",$D16="2 dd",$D16="3 dd",$D16="4 dd",$D16="6 dd",$D16="8 dd",$D16="12 dd",$D16="an",$D16="1 X"),VLOOKUP($D16,PedTblTijden!$A$16:$X$26,PedTblTijden!O$14,FALSE),"")</f>
        <v/>
      </c>
      <c r="V16" s="93" t="str">
        <f>IF(OR($D16="1 dd",$D16="2 dd",$D16="3 dd",$D16="4 dd",$D16="6 dd",$D16="8 dd",$D16="12 dd",$D16="an",$D16="1 X"),VLOOKUP($D16,PedTblTijden!$A$16:$X$26,PedTblTijden!P$14,FALSE),"")</f>
        <v/>
      </c>
      <c r="W16" s="12" t="str">
        <f>IF(OR($D16="1 dd",$D16="2 dd",$D16="3 dd",$D16="4 dd",$D16="6 dd",$D16="8 dd",$D16="12 dd",$D16="an",$D16="1 X"),VLOOKUP($D16,PedTblTijden!$A$16:$X$26,PedTblTijden!Q$14,FALSE),"")</f>
        <v/>
      </c>
      <c r="X16" s="93" t="str">
        <f>IF(OR($D16="1 dd",$D16="2 dd",$D16="3 dd",$D16="4 dd",$D16="6 dd",$D16="8 dd",$D16="12 dd",$D16="an",$D16="1 X"),VLOOKUP($D16,PedTblTijden!$A$16:$X$26,PedTblTijden!R$14,FALSE),"")</f>
        <v/>
      </c>
      <c r="Y16" s="12" t="str">
        <f>IF(OR($D16="1 dd",$D16="2 dd",$D16="3 dd",$D16="4 dd",$D16="6 dd",$D16="8 dd",$D16="12 dd",$D16="an",$D16="1 X"),VLOOKUP($D16,PedTblTijden!$A$16:$X$26,PedTblTijden!S$14,FALSE),"")</f>
        <v/>
      </c>
      <c r="Z16" s="93" t="str">
        <f>IF(OR($D16="1 dd",$D16="2 dd",$D16="3 dd",$D16="4 dd",$D16="6 dd",$D16="8 dd",$D16="12 dd",$D16="an",$D16="1 X"),VLOOKUP($D16,PedTblTijden!$A$16:$X$26,PedTblTijden!T$14,FALSE),"")</f>
        <v/>
      </c>
      <c r="AA16" s="12" t="str">
        <f>IF(OR($D16="1 dd",$D16="2 dd",$D16="3 dd",$D16="4 dd",$D16="6 dd",$D16="8 dd",$D16="12 dd",$D16="an",$D16="1 X"),VLOOKUP($D16,PedTblTijden!$A$16:$X$26,PedTblTijden!U$14,FALSE),"")</f>
        <v/>
      </c>
      <c r="AB16" s="93" t="str">
        <f>IF(OR($D16="1 dd",$D16="2 dd",$D16="3 dd",$D16="4 dd",$D16="6 dd",$D16="8 dd",$D16="12 dd",$D16="an",$D16="1 X"),VLOOKUP($D16,PedTblTijden!$A$16:$X$26,PedTblTijden!V$14,FALSE),"")</f>
        <v/>
      </c>
      <c r="AC16" s="12" t="str">
        <f>IF(OR($D16="1 dd",$D16="2 dd",$D16="3 dd",$D16="4 dd",$D16="6 dd",$D16="8 dd",$D16="12 dd",$D16="an",$D16="1 X"),VLOOKUP($D16,PedTblTijden!$A$16:$X$26,PedTblTijden!W$14,FALSE),"")</f>
        <v/>
      </c>
      <c r="AD16" s="93" t="str">
        <f>IF(OR($D16="1 dd",$D16="2 dd",$D16="3 dd",$D16="4 dd",$D16="6 dd",$D16="8 dd",$D16="12 dd",$D16="an",$D16="1 X"),VLOOKUP($D16,PedTblTijden!$A$16:$X$26,PedTblTijden!X$14,FALSE),"")</f>
        <v/>
      </c>
      <c r="AE16" s="14"/>
      <c r="AF16" s="92"/>
      <c r="AG16" s="14"/>
    </row>
    <row r="17" spans="2:33" ht="26.1" customHeight="1" x14ac:dyDescent="0.2">
      <c r="B17" s="94"/>
      <c r="C17" s="125" t="str">
        <f>IF(GlobBerMedDisc!C16&lt;&gt;"",IF(GlobBerMedDisc!C16&gt;1,TRIM(GlobBerMedDisc!C16)&amp;", "&amp;GlobBerOpm!#REF!&amp;" ("&amp;GlobBerMedDisc!M16&amp;" "&amp;GlobBerMedDisc!F16&amp;"/kg/dag)",TRIM(GlobBerMedDisc!C16)&amp;", "&amp;GlobBerOpm!#REF!),"")</f>
        <v/>
      </c>
      <c r="D17" s="126" t="str">
        <f>IF(GlobGuiMedDisc!I23&lt;&gt;"",GlobGuiMedDisc!I23,"")</f>
        <v/>
      </c>
      <c r="E17" s="127" t="str">
        <f>IF(AND(D17&lt;&gt;"",D17&lt;&gt;"STOP"),GlobBerMedDisc!H16&amp;" "&amp;GlobBerMedDisc!F16,"")</f>
        <v/>
      </c>
      <c r="F17" s="127" t="str">
        <f>IF(AND(D17&lt;&gt;"",D17&lt;&gt;"STOP"),GlobBerMedDisc!L16," ")</f>
        <v xml:space="preserve"> </v>
      </c>
      <c r="G17" s="127" t="str">
        <f>IF(GlobGuiMedDisc!N23&lt;&gt;"",GlobGuiMedDisc!N23&amp;" "&amp;GlobGuiMedDisc!O23&amp;" "&amp;INDEX(GlobBerMedDisc!$B$27:$B$30,GlobBerMedDisc!O16,1)&amp;" in "&amp;GlobGuiMedDisc!$R$23,"")</f>
        <v/>
      </c>
      <c r="H17" s="93" t="str">
        <f>IF(OR($D17="1 dd",$D17="2 dd",$D17="3 dd",$D17="4 dd",$D17="6 dd",$D17="8 dd",$D17="12 dd",$D17="an",$D17="1 X"),VLOOKUP($D17,PedTblTijden!$A$16:$X$26,PedTblTijden!B$14,FALSE),"")</f>
        <v/>
      </c>
      <c r="I17" s="12" t="str">
        <f>IF(OR($D17="1 dd",$D17="2 dd",$D17="3 dd",$D17="4 dd",$D17="6 dd",$D17="8 dd",$D17="12 dd",$D17="an",$D17="1 X"),VLOOKUP($D17,PedTblTijden!$A$16:$X$26,PedTblTijden!C$14,FALSE),"")</f>
        <v/>
      </c>
      <c r="J17" s="93" t="str">
        <f>IF(OR($D17="1 dd",$D17="2 dd",$D17="3 dd",$D17="4 dd",$D17="6 dd",$D17="8 dd",$D17="12 dd",$D17="an",$D17="1 X"),VLOOKUP($D17,PedTblTijden!$A$16:$X$26,PedTblTijden!D$14,FALSE),"")</f>
        <v/>
      </c>
      <c r="K17" s="12" t="str">
        <f>IF(OR($D17="1 dd",$D17="2 dd",$D17="3 dd",$D17="4 dd",$D17="6 dd",$D17="8 dd",$D17="12 dd",$D17="an",$D17="1 X"),VLOOKUP($D17,PedTblTijden!$A$16:$X$26,PedTblTijden!E$14,FALSE),"")</f>
        <v/>
      </c>
      <c r="L17" s="93" t="str">
        <f>IF(OR($D17="1 dd",$D17="2 dd",$D17="3 dd",$D17="4 dd",$D17="6 dd",$D17="8 dd",$D17="12 dd",$D17="an",$D17="1 X"),VLOOKUP($D17,PedTblTijden!$A$16:$X$26,PedTblTijden!F$14,FALSE),"")</f>
        <v/>
      </c>
      <c r="M17" s="12" t="str">
        <f>IF(OR($D17="1 dd",$D17="2 dd",$D17="3 dd",$D17="4 dd",$D17="6 dd",$D17="8 dd",$D17="12 dd",$D17="an",$D17="1 X"),VLOOKUP($D17,PedTblTijden!$A$16:$X$26,PedTblTijden!G$14,FALSE),"")</f>
        <v/>
      </c>
      <c r="N17" s="93" t="str">
        <f>IF(OR($D17="1 dd",$D17="2 dd",$D17="3 dd",$D17="4 dd",$D17="6 dd",$D17="8 dd",$D17="12 dd",$D17="an",$D17="1 X"),VLOOKUP($D17,PedTblTijden!$A$16:$X$26,PedTblTijden!H$14,FALSE),"")</f>
        <v/>
      </c>
      <c r="O17" s="12" t="str">
        <f>IF(OR($D17="1 dd",$D17="2 dd",$D17="3 dd",$D17="4 dd",$D17="6 dd",$D17="8 dd",$D17="12 dd",$D17="an",$D17="1 X"),VLOOKUP($D17,PedTblTijden!$A$16:$X$26,PedTblTijden!I$14,FALSE),"")</f>
        <v/>
      </c>
      <c r="P17" s="93" t="str">
        <f>IF(OR($D17="1 dd",$D17="2 dd",$D17="3 dd",$D17="4 dd",$D17="6 dd",$D17="8 dd",$D17="12 dd",$D17="an",$D17="1 X"),VLOOKUP($D17,PedTblTijden!$A$16:$X$26,PedTblTijden!J$14,FALSE),"")</f>
        <v/>
      </c>
      <c r="Q17" s="12" t="str">
        <f>IF(OR($D17="1 dd",$D17="2 dd",$D17="3 dd",$D17="4 dd",$D17="6 dd",$D17="8 dd",$D17="12 dd",$D17="an",$D17="1 X"),VLOOKUP($D17,PedTblTijden!$A$16:$X$26,PedTblTijden!K$14,FALSE),"")</f>
        <v/>
      </c>
      <c r="R17" s="93" t="str">
        <f>IF(OR($D17="1 dd",$D17="2 dd",$D17="3 dd",$D17="4 dd",$D17="6 dd",$D17="8 dd",$D17="12 dd",$D17="an",$D17="1 X"),VLOOKUP($D17,PedTblTijden!$A$16:$X$26,PedTblTijden!L$14,FALSE),"")</f>
        <v/>
      </c>
      <c r="S17" s="12" t="str">
        <f>IF(OR($D17="1 dd",$D17="2 dd",$D17="3 dd",$D17="4 dd",$D17="6 dd",$D17="8 dd",$D17="12 dd",$D17="an",$D17="1 X"),VLOOKUP($D17,PedTblTijden!$A$16:$X$26,PedTblTijden!M$14,FALSE),"")</f>
        <v/>
      </c>
      <c r="T17" s="93" t="str">
        <f>IF(OR($D17="1 dd",$D17="2 dd",$D17="3 dd",$D17="4 dd",$D17="6 dd",$D17="8 dd",$D17="12 dd",$D17="an",$D17="1 X"),VLOOKUP($D17,PedTblTijden!$A$16:$X$26,PedTblTijden!N$14,FALSE),"")</f>
        <v/>
      </c>
      <c r="U17" s="12" t="str">
        <f>IF(OR($D17="1 dd",$D17="2 dd",$D17="3 dd",$D17="4 dd",$D17="6 dd",$D17="8 dd",$D17="12 dd",$D17="an",$D17="1 X"),VLOOKUP($D17,PedTblTijden!$A$16:$X$26,PedTblTijden!O$14,FALSE),"")</f>
        <v/>
      </c>
      <c r="V17" s="93" t="str">
        <f>IF(OR($D17="1 dd",$D17="2 dd",$D17="3 dd",$D17="4 dd",$D17="6 dd",$D17="8 dd",$D17="12 dd",$D17="an",$D17="1 X"),VLOOKUP($D17,PedTblTijden!$A$16:$X$26,PedTblTijden!P$14,FALSE),"")</f>
        <v/>
      </c>
      <c r="W17" s="12" t="str">
        <f>IF(OR($D17="1 dd",$D17="2 dd",$D17="3 dd",$D17="4 dd",$D17="6 dd",$D17="8 dd",$D17="12 dd",$D17="an",$D17="1 X"),VLOOKUP($D17,PedTblTijden!$A$16:$X$26,PedTblTijden!Q$14,FALSE),"")</f>
        <v/>
      </c>
      <c r="X17" s="93" t="str">
        <f>IF(OR($D17="1 dd",$D17="2 dd",$D17="3 dd",$D17="4 dd",$D17="6 dd",$D17="8 dd",$D17="12 dd",$D17="an",$D17="1 X"),VLOOKUP($D17,PedTblTijden!$A$16:$X$26,PedTblTijden!R$14,FALSE),"")</f>
        <v/>
      </c>
      <c r="Y17" s="12" t="str">
        <f>IF(OR($D17="1 dd",$D17="2 dd",$D17="3 dd",$D17="4 dd",$D17="6 dd",$D17="8 dd",$D17="12 dd",$D17="an",$D17="1 X"),VLOOKUP($D17,PedTblTijden!$A$16:$X$26,PedTblTijden!S$14,FALSE),"")</f>
        <v/>
      </c>
      <c r="Z17" s="93" t="str">
        <f>IF(OR($D17="1 dd",$D17="2 dd",$D17="3 dd",$D17="4 dd",$D17="6 dd",$D17="8 dd",$D17="12 dd",$D17="an",$D17="1 X"),VLOOKUP($D17,PedTblTijden!$A$16:$X$26,PedTblTijden!T$14,FALSE),"")</f>
        <v/>
      </c>
      <c r="AA17" s="12" t="str">
        <f>IF(OR($D17="1 dd",$D17="2 dd",$D17="3 dd",$D17="4 dd",$D17="6 dd",$D17="8 dd",$D17="12 dd",$D17="an",$D17="1 X"),VLOOKUP($D17,PedTblTijden!$A$16:$X$26,PedTblTijden!U$14,FALSE),"")</f>
        <v/>
      </c>
      <c r="AB17" s="93" t="str">
        <f>IF(OR($D17="1 dd",$D17="2 dd",$D17="3 dd",$D17="4 dd",$D17="6 dd",$D17="8 dd",$D17="12 dd",$D17="an",$D17="1 X"),VLOOKUP($D17,PedTblTijden!$A$16:$X$26,PedTblTijden!V$14,FALSE),"")</f>
        <v/>
      </c>
      <c r="AC17" s="12" t="str">
        <f>IF(OR($D17="1 dd",$D17="2 dd",$D17="3 dd",$D17="4 dd",$D17="6 dd",$D17="8 dd",$D17="12 dd",$D17="an",$D17="1 X"),VLOOKUP($D17,PedTblTijden!$A$16:$X$26,PedTblTijden!W$14,FALSE),"")</f>
        <v/>
      </c>
      <c r="AD17" s="93" t="str">
        <f>IF(OR($D17="1 dd",$D17="2 dd",$D17="3 dd",$D17="4 dd",$D17="6 dd",$D17="8 dd",$D17="12 dd",$D17="an",$D17="1 X"),VLOOKUP($D17,PedTblTijden!$A$16:$X$26,PedTblTijden!X$14,FALSE),"")</f>
        <v/>
      </c>
      <c r="AE17" s="14"/>
      <c r="AF17" s="92"/>
      <c r="AG17" s="14"/>
    </row>
    <row r="18" spans="2:33" ht="26.1" customHeight="1" x14ac:dyDescent="0.2">
      <c r="B18" s="94"/>
      <c r="C18" s="125" t="str">
        <f>IF(GlobBerMedDisc!C17&lt;&gt;"",IF(GlobBerMedDisc!C17&gt;1,TRIM(GlobBerMedDisc!C17)&amp;", "&amp;GlobBerOpm!#REF!&amp;" ("&amp;GlobBerMedDisc!M17&amp;" "&amp;GlobBerMedDisc!F17&amp;"/kg/dag)",TRIM(GlobBerMedDisc!C17)&amp;", "&amp;GlobBerOpm!#REF!),"")</f>
        <v/>
      </c>
      <c r="D18" s="126" t="str">
        <f>IF(GlobGuiMedDisc!I24&lt;&gt;"",GlobGuiMedDisc!I24,"")</f>
        <v/>
      </c>
      <c r="E18" s="127" t="str">
        <f>IF(AND(D18&lt;&gt;"",D18&lt;&gt;"STOP"),GlobBerMedDisc!H17&amp;" "&amp;GlobBerMedDisc!F17,"")</f>
        <v/>
      </c>
      <c r="F18" s="127" t="str">
        <f>IF(AND(D18&lt;&gt;"",D18&lt;&gt;"STOP"),GlobBerMedDisc!L17," ")</f>
        <v xml:space="preserve"> </v>
      </c>
      <c r="G18" s="127" t="str">
        <f>IF(GlobGuiMedDisc!N24&lt;&gt;"",GlobGuiMedDisc!N24&amp;" "&amp;GlobGuiMedDisc!O24&amp;" "&amp;INDEX(GlobBerMedDisc!$B$27:$B$30,GlobBerMedDisc!O17,1)&amp;" in "&amp;GlobGuiMedDisc!$R$24,"")</f>
        <v/>
      </c>
      <c r="H18" s="93" t="str">
        <f>IF(OR($D18="1 dd",$D18="2 dd",$D18="3 dd",$D18="4 dd",$D18="6 dd",$D18="8 dd",$D18="12 dd",$D18="an",$D18="1 X"),VLOOKUP($D18,PedTblTijden!$A$16:$X$26,PedTblTijden!B$14,FALSE),"")</f>
        <v/>
      </c>
      <c r="I18" s="12" t="str">
        <f>IF(OR($D18="1 dd",$D18="2 dd",$D18="3 dd",$D18="4 dd",$D18="6 dd",$D18="8 dd",$D18="12 dd",$D18="an",$D18="1 X"),VLOOKUP($D18,PedTblTijden!$A$16:$X$26,PedTblTijden!C$14,FALSE),"")</f>
        <v/>
      </c>
      <c r="J18" s="93" t="str">
        <f>IF(OR($D18="1 dd",$D18="2 dd",$D18="3 dd",$D18="4 dd",$D18="6 dd",$D18="8 dd",$D18="12 dd",$D18="an",$D18="1 X"),VLOOKUP($D18,PedTblTijden!$A$16:$X$26,PedTblTijden!D$14,FALSE),"")</f>
        <v/>
      </c>
      <c r="K18" s="12" t="str">
        <f>IF(OR($D18="1 dd",$D18="2 dd",$D18="3 dd",$D18="4 dd",$D18="6 dd",$D18="8 dd",$D18="12 dd",$D18="an",$D18="1 X"),VLOOKUP($D18,PedTblTijden!$A$16:$X$26,PedTblTijden!E$14,FALSE),"")</f>
        <v/>
      </c>
      <c r="L18" s="93" t="str">
        <f>IF(OR($D18="1 dd",$D18="2 dd",$D18="3 dd",$D18="4 dd",$D18="6 dd",$D18="8 dd",$D18="12 dd",$D18="an",$D18="1 X"),VLOOKUP($D18,PedTblTijden!$A$16:$X$26,PedTblTijden!F$14,FALSE),"")</f>
        <v/>
      </c>
      <c r="M18" s="12" t="str">
        <f>IF(OR($D18="1 dd",$D18="2 dd",$D18="3 dd",$D18="4 dd",$D18="6 dd",$D18="8 dd",$D18="12 dd",$D18="an",$D18="1 X"),VLOOKUP($D18,PedTblTijden!$A$16:$X$26,PedTblTijden!G$14,FALSE),"")</f>
        <v/>
      </c>
      <c r="N18" s="93" t="str">
        <f>IF(OR($D18="1 dd",$D18="2 dd",$D18="3 dd",$D18="4 dd",$D18="6 dd",$D18="8 dd",$D18="12 dd",$D18="an",$D18="1 X"),VLOOKUP($D18,PedTblTijden!$A$16:$X$26,PedTblTijden!H$14,FALSE),"")</f>
        <v/>
      </c>
      <c r="O18" s="12" t="str">
        <f>IF(OR($D18="1 dd",$D18="2 dd",$D18="3 dd",$D18="4 dd",$D18="6 dd",$D18="8 dd",$D18="12 dd",$D18="an",$D18="1 X"),VLOOKUP($D18,PedTblTijden!$A$16:$X$26,PedTblTijden!I$14,FALSE),"")</f>
        <v/>
      </c>
      <c r="P18" s="93" t="str">
        <f>IF(OR($D18="1 dd",$D18="2 dd",$D18="3 dd",$D18="4 dd",$D18="6 dd",$D18="8 dd",$D18="12 dd",$D18="an",$D18="1 X"),VLOOKUP($D18,PedTblTijden!$A$16:$X$26,PedTblTijden!J$14,FALSE),"")</f>
        <v/>
      </c>
      <c r="Q18" s="12" t="str">
        <f>IF(OR($D18="1 dd",$D18="2 dd",$D18="3 dd",$D18="4 dd",$D18="6 dd",$D18="8 dd",$D18="12 dd",$D18="an",$D18="1 X"),VLOOKUP($D18,PedTblTijden!$A$16:$X$26,PedTblTijden!K$14,FALSE),"")</f>
        <v/>
      </c>
      <c r="R18" s="93" t="str">
        <f>IF(OR($D18="1 dd",$D18="2 dd",$D18="3 dd",$D18="4 dd",$D18="6 dd",$D18="8 dd",$D18="12 dd",$D18="an",$D18="1 X"),VLOOKUP($D18,PedTblTijden!$A$16:$X$26,PedTblTijden!L$14,FALSE),"")</f>
        <v/>
      </c>
      <c r="S18" s="12" t="str">
        <f>IF(OR($D18="1 dd",$D18="2 dd",$D18="3 dd",$D18="4 dd",$D18="6 dd",$D18="8 dd",$D18="12 dd",$D18="an",$D18="1 X"),VLOOKUP($D18,PedTblTijden!$A$16:$X$26,PedTblTijden!M$14,FALSE),"")</f>
        <v/>
      </c>
      <c r="T18" s="93" t="str">
        <f>IF(OR($D18="1 dd",$D18="2 dd",$D18="3 dd",$D18="4 dd",$D18="6 dd",$D18="8 dd",$D18="12 dd",$D18="an",$D18="1 X"),VLOOKUP($D18,PedTblTijden!$A$16:$X$26,PedTblTijden!N$14,FALSE),"")</f>
        <v/>
      </c>
      <c r="U18" s="12" t="str">
        <f>IF(OR($D18="1 dd",$D18="2 dd",$D18="3 dd",$D18="4 dd",$D18="6 dd",$D18="8 dd",$D18="12 dd",$D18="an",$D18="1 X"),VLOOKUP($D18,PedTblTijden!$A$16:$X$26,PedTblTijden!O$14,FALSE),"")</f>
        <v/>
      </c>
      <c r="V18" s="93" t="str">
        <f>IF(OR($D18="1 dd",$D18="2 dd",$D18="3 dd",$D18="4 dd",$D18="6 dd",$D18="8 dd",$D18="12 dd",$D18="an",$D18="1 X"),VLOOKUP($D18,PedTblTijden!$A$16:$X$26,PedTblTijden!P$14,FALSE),"")</f>
        <v/>
      </c>
      <c r="W18" s="12" t="str">
        <f>IF(OR($D18="1 dd",$D18="2 dd",$D18="3 dd",$D18="4 dd",$D18="6 dd",$D18="8 dd",$D18="12 dd",$D18="an",$D18="1 X"),VLOOKUP($D18,PedTblTijden!$A$16:$X$26,PedTblTijden!Q$14,FALSE),"")</f>
        <v/>
      </c>
      <c r="X18" s="93" t="str">
        <f>IF(OR($D18="1 dd",$D18="2 dd",$D18="3 dd",$D18="4 dd",$D18="6 dd",$D18="8 dd",$D18="12 dd",$D18="an",$D18="1 X"),VLOOKUP($D18,PedTblTijden!$A$16:$X$26,PedTblTijden!R$14,FALSE),"")</f>
        <v/>
      </c>
      <c r="Y18" s="12" t="str">
        <f>IF(OR($D18="1 dd",$D18="2 dd",$D18="3 dd",$D18="4 dd",$D18="6 dd",$D18="8 dd",$D18="12 dd",$D18="an",$D18="1 X"),VLOOKUP($D18,PedTblTijden!$A$16:$X$26,PedTblTijden!S$14,FALSE),"")</f>
        <v/>
      </c>
      <c r="Z18" s="93" t="str">
        <f>IF(OR($D18="1 dd",$D18="2 dd",$D18="3 dd",$D18="4 dd",$D18="6 dd",$D18="8 dd",$D18="12 dd",$D18="an",$D18="1 X"),VLOOKUP($D18,PedTblTijden!$A$16:$X$26,PedTblTijden!T$14,FALSE),"")</f>
        <v/>
      </c>
      <c r="AA18" s="12" t="str">
        <f>IF(OR($D18="1 dd",$D18="2 dd",$D18="3 dd",$D18="4 dd",$D18="6 dd",$D18="8 dd",$D18="12 dd",$D18="an",$D18="1 X"),VLOOKUP($D18,PedTblTijden!$A$16:$X$26,PedTblTijden!U$14,FALSE),"")</f>
        <v/>
      </c>
      <c r="AB18" s="93" t="str">
        <f>IF(OR($D18="1 dd",$D18="2 dd",$D18="3 dd",$D18="4 dd",$D18="6 dd",$D18="8 dd",$D18="12 dd",$D18="an",$D18="1 X"),VLOOKUP($D18,PedTblTijden!$A$16:$X$26,PedTblTijden!V$14,FALSE),"")</f>
        <v/>
      </c>
      <c r="AC18" s="12" t="str">
        <f>IF(OR($D18="1 dd",$D18="2 dd",$D18="3 dd",$D18="4 dd",$D18="6 dd",$D18="8 dd",$D18="12 dd",$D18="an",$D18="1 X"),VLOOKUP($D18,PedTblTijden!$A$16:$X$26,PedTblTijden!W$14,FALSE),"")</f>
        <v/>
      </c>
      <c r="AD18" s="93" t="str">
        <f>IF(OR($D18="1 dd",$D18="2 dd",$D18="3 dd",$D18="4 dd",$D18="6 dd",$D18="8 dd",$D18="12 dd",$D18="an",$D18="1 X"),VLOOKUP($D18,PedTblTijden!$A$16:$X$26,PedTblTijden!X$14,FALSE),"")</f>
        <v/>
      </c>
      <c r="AE18" s="14"/>
      <c r="AF18" s="92"/>
      <c r="AG18" s="14"/>
    </row>
    <row r="19" spans="2:33" ht="26.1" customHeight="1" x14ac:dyDescent="0.2">
      <c r="B19" s="94"/>
      <c r="C19" s="125" t="str">
        <f>IF(GlobBerMedDisc!C18&lt;&gt;"",IF(GlobBerMedDisc!C18&gt;1,TRIM(GlobBerMedDisc!C18)&amp;", "&amp;GlobBerOpm!#REF!&amp;" ("&amp;GlobBerMedDisc!M18&amp;" "&amp;GlobBerMedDisc!F18&amp;"/kg/dag)",TRIM(GlobBerMedDisc!C18)&amp;", "&amp;GlobBerOpm!#REF!),"")</f>
        <v/>
      </c>
      <c r="D19" s="126" t="str">
        <f>IF(GlobGuiMedDisc!I25&lt;&gt;"",GlobGuiMedDisc!I25,"")</f>
        <v/>
      </c>
      <c r="E19" s="127" t="str">
        <f>IF(AND(D19&lt;&gt;"",D19&lt;&gt;"STOP"),GlobBerMedDisc!H18&amp;" "&amp;GlobBerMedDisc!F18,"")</f>
        <v/>
      </c>
      <c r="F19" s="127" t="str">
        <f>IF(AND(D19&lt;&gt;"",D19&lt;&gt;"STOP"),GlobBerMedDisc!L18," ")</f>
        <v xml:space="preserve"> </v>
      </c>
      <c r="G19" s="127" t="str">
        <f>IF(GlobGuiMedDisc!N25&lt;&gt;"",GlobGuiMedDisc!N25&amp;" "&amp;GlobGuiMedDisc!O25&amp;" "&amp;INDEX(GlobBerMedDisc!$B$27:$B$30,GlobBerMedDisc!O18,1)&amp;" in "&amp;GlobGuiMedDisc!$R$25,"")</f>
        <v/>
      </c>
      <c r="H19" s="93" t="str">
        <f>IF(OR($D19="1 dd",$D19="2 dd",$D19="3 dd",$D19="4 dd",$D19="6 dd",$D19="8 dd",$D19="12 dd",$D19="an",$D19="1 X"),VLOOKUP($D19,PedTblTijden!$A$16:$X$26,PedTblTijden!B$14,FALSE),"")</f>
        <v/>
      </c>
      <c r="I19" s="12" t="str">
        <f>IF(OR($D19="1 dd",$D19="2 dd",$D19="3 dd",$D19="4 dd",$D19="6 dd",$D19="8 dd",$D19="12 dd",$D19="an",$D19="1 X"),VLOOKUP($D19,PedTblTijden!$A$16:$X$26,PedTblTijden!C$14,FALSE),"")</f>
        <v/>
      </c>
      <c r="J19" s="93" t="str">
        <f>IF(OR($D19="1 dd",$D19="2 dd",$D19="3 dd",$D19="4 dd",$D19="6 dd",$D19="8 dd",$D19="12 dd",$D19="an",$D19="1 X"),VLOOKUP($D19,PedTblTijden!$A$16:$X$26,PedTblTijden!D$14,FALSE),"")</f>
        <v/>
      </c>
      <c r="K19" s="12" t="str">
        <f>IF(OR($D19="1 dd",$D19="2 dd",$D19="3 dd",$D19="4 dd",$D19="6 dd",$D19="8 dd",$D19="12 dd",$D19="an",$D19="1 X"),VLOOKUP($D19,PedTblTijden!$A$16:$X$26,PedTblTijden!E$14,FALSE),"")</f>
        <v/>
      </c>
      <c r="L19" s="93" t="str">
        <f>IF(OR($D19="1 dd",$D19="2 dd",$D19="3 dd",$D19="4 dd",$D19="6 dd",$D19="8 dd",$D19="12 dd",$D19="an",$D19="1 X"),VLOOKUP($D19,PedTblTijden!$A$16:$X$26,PedTblTijden!F$14,FALSE),"")</f>
        <v/>
      </c>
      <c r="M19" s="12" t="str">
        <f>IF(OR($D19="1 dd",$D19="2 dd",$D19="3 dd",$D19="4 dd",$D19="6 dd",$D19="8 dd",$D19="12 dd",$D19="an",$D19="1 X"),VLOOKUP($D19,PedTblTijden!$A$16:$X$26,PedTblTijden!G$14,FALSE),"")</f>
        <v/>
      </c>
      <c r="N19" s="93" t="str">
        <f>IF(OR($D19="1 dd",$D19="2 dd",$D19="3 dd",$D19="4 dd",$D19="6 dd",$D19="8 dd",$D19="12 dd",$D19="an",$D19="1 X"),VLOOKUP($D19,PedTblTijden!$A$16:$X$26,PedTblTijden!H$14,FALSE),"")</f>
        <v/>
      </c>
      <c r="O19" s="12" t="str">
        <f>IF(OR($D19="1 dd",$D19="2 dd",$D19="3 dd",$D19="4 dd",$D19="6 dd",$D19="8 dd",$D19="12 dd",$D19="an",$D19="1 X"),VLOOKUP($D19,PedTblTijden!$A$16:$X$26,PedTblTijden!I$14,FALSE),"")</f>
        <v/>
      </c>
      <c r="P19" s="93" t="str">
        <f>IF(OR($D19="1 dd",$D19="2 dd",$D19="3 dd",$D19="4 dd",$D19="6 dd",$D19="8 dd",$D19="12 dd",$D19="an",$D19="1 X"),VLOOKUP($D19,PedTblTijden!$A$16:$X$26,PedTblTijden!J$14,FALSE),"")</f>
        <v/>
      </c>
      <c r="Q19" s="12" t="str">
        <f>IF(OR($D19="1 dd",$D19="2 dd",$D19="3 dd",$D19="4 dd",$D19="6 dd",$D19="8 dd",$D19="12 dd",$D19="an",$D19="1 X"),VLOOKUP($D19,PedTblTijden!$A$16:$X$26,PedTblTijden!K$14,FALSE),"")</f>
        <v/>
      </c>
      <c r="R19" s="93" t="str">
        <f>IF(OR($D19="1 dd",$D19="2 dd",$D19="3 dd",$D19="4 dd",$D19="6 dd",$D19="8 dd",$D19="12 dd",$D19="an",$D19="1 X"),VLOOKUP($D19,PedTblTijden!$A$16:$X$26,PedTblTijden!L$14,FALSE),"")</f>
        <v/>
      </c>
      <c r="S19" s="12" t="str">
        <f>IF(OR($D19="1 dd",$D19="2 dd",$D19="3 dd",$D19="4 dd",$D19="6 dd",$D19="8 dd",$D19="12 dd",$D19="an",$D19="1 X"),VLOOKUP($D19,PedTblTijden!$A$16:$X$26,PedTblTijden!M$14,FALSE),"")</f>
        <v/>
      </c>
      <c r="T19" s="93" t="str">
        <f>IF(OR($D19="1 dd",$D19="2 dd",$D19="3 dd",$D19="4 dd",$D19="6 dd",$D19="8 dd",$D19="12 dd",$D19="an",$D19="1 X"),VLOOKUP($D19,PedTblTijden!$A$16:$X$26,PedTblTijden!N$14,FALSE),"")</f>
        <v/>
      </c>
      <c r="U19" s="12" t="str">
        <f>IF(OR($D19="1 dd",$D19="2 dd",$D19="3 dd",$D19="4 dd",$D19="6 dd",$D19="8 dd",$D19="12 dd",$D19="an",$D19="1 X"),VLOOKUP($D19,PedTblTijden!$A$16:$X$26,PedTblTijden!O$14,FALSE),"")</f>
        <v/>
      </c>
      <c r="V19" s="93" t="str">
        <f>IF(OR($D19="1 dd",$D19="2 dd",$D19="3 dd",$D19="4 dd",$D19="6 dd",$D19="8 dd",$D19="12 dd",$D19="an",$D19="1 X"),VLOOKUP($D19,PedTblTijden!$A$16:$X$26,PedTblTijden!P$14,FALSE),"")</f>
        <v/>
      </c>
      <c r="W19" s="12" t="str">
        <f>IF(OR($D19="1 dd",$D19="2 dd",$D19="3 dd",$D19="4 dd",$D19="6 dd",$D19="8 dd",$D19="12 dd",$D19="an",$D19="1 X"),VLOOKUP($D19,PedTblTijden!$A$16:$X$26,PedTblTijden!Q$14,FALSE),"")</f>
        <v/>
      </c>
      <c r="X19" s="93" t="str">
        <f>IF(OR($D19="1 dd",$D19="2 dd",$D19="3 dd",$D19="4 dd",$D19="6 dd",$D19="8 dd",$D19="12 dd",$D19="an",$D19="1 X"),VLOOKUP($D19,PedTblTijden!$A$16:$X$26,PedTblTijden!R$14,FALSE),"")</f>
        <v/>
      </c>
      <c r="Y19" s="12" t="str">
        <f>IF(OR($D19="1 dd",$D19="2 dd",$D19="3 dd",$D19="4 dd",$D19="6 dd",$D19="8 dd",$D19="12 dd",$D19="an",$D19="1 X"),VLOOKUP($D19,PedTblTijden!$A$16:$X$26,PedTblTijden!S$14,FALSE),"")</f>
        <v/>
      </c>
      <c r="Z19" s="93" t="str">
        <f>IF(OR($D19="1 dd",$D19="2 dd",$D19="3 dd",$D19="4 dd",$D19="6 dd",$D19="8 dd",$D19="12 dd",$D19="an",$D19="1 X"),VLOOKUP($D19,PedTblTijden!$A$16:$X$26,PedTblTijden!T$14,FALSE),"")</f>
        <v/>
      </c>
      <c r="AA19" s="12" t="str">
        <f>IF(OR($D19="1 dd",$D19="2 dd",$D19="3 dd",$D19="4 dd",$D19="6 dd",$D19="8 dd",$D19="12 dd",$D19="an",$D19="1 X"),VLOOKUP($D19,PedTblTijden!$A$16:$X$26,PedTblTijden!U$14,FALSE),"")</f>
        <v/>
      </c>
      <c r="AB19" s="93" t="str">
        <f>IF(OR($D19="1 dd",$D19="2 dd",$D19="3 dd",$D19="4 dd",$D19="6 dd",$D19="8 dd",$D19="12 dd",$D19="an",$D19="1 X"),VLOOKUP($D19,PedTblTijden!$A$16:$X$26,PedTblTijden!V$14,FALSE),"")</f>
        <v/>
      </c>
      <c r="AC19" s="12" t="str">
        <f>IF(OR($D19="1 dd",$D19="2 dd",$D19="3 dd",$D19="4 dd",$D19="6 dd",$D19="8 dd",$D19="12 dd",$D19="an",$D19="1 X"),VLOOKUP($D19,PedTblTijden!$A$16:$X$26,PedTblTijden!W$14,FALSE),"")</f>
        <v/>
      </c>
      <c r="AD19" s="93" t="str">
        <f>IF(OR($D19="1 dd",$D19="2 dd",$D19="3 dd",$D19="4 dd",$D19="6 dd",$D19="8 dd",$D19="12 dd",$D19="an",$D19="1 X"),VLOOKUP($D19,PedTblTijden!$A$16:$X$26,PedTblTijden!X$14,FALSE),"")</f>
        <v/>
      </c>
      <c r="AE19" s="14"/>
      <c r="AF19" s="92"/>
      <c r="AG19" s="14"/>
    </row>
    <row r="20" spans="2:33" ht="26.1" customHeight="1" x14ac:dyDescent="0.2">
      <c r="B20" s="94"/>
      <c r="C20" s="125" t="str">
        <f>IF(GlobBerMedDisc!C19&lt;&gt;"",IF(GlobBerMedDisc!C19&gt;1,TRIM(GlobBerMedDisc!C19)&amp;", "&amp;GlobBerOpm!#REF!&amp;" ("&amp;GlobBerMedDisc!M19&amp;" "&amp;GlobBerMedDisc!F19&amp;"/kg/dag)",TRIM(GlobBerMedDisc!C19)&amp;", "&amp;GlobBerOpm!#REF!),"")</f>
        <v/>
      </c>
      <c r="D20" s="126" t="str">
        <f>IF(GlobGuiMedDisc!I26&lt;&gt;"",GlobGuiMedDisc!I26,"")</f>
        <v/>
      </c>
      <c r="E20" s="127" t="str">
        <f>IF(AND(D20&lt;&gt;"",D20&lt;&gt;"STOP"),GlobBerMedDisc!H19&amp;" "&amp;GlobBerMedDisc!F19,"")</f>
        <v/>
      </c>
      <c r="F20" s="127" t="str">
        <f>IF(AND(D20&lt;&gt;"",D20&lt;&gt;"STOP"),GlobBerMedDisc!L19," ")</f>
        <v xml:space="preserve"> </v>
      </c>
      <c r="G20" s="127" t="str">
        <f>IF(GlobGuiMedDisc!N26&lt;&gt;"",GlobGuiMedDisc!N26&amp;" "&amp;GlobGuiMedDisc!O26&amp;" "&amp;INDEX(GlobBerMedDisc!$B$27:$B$30,GlobBerMedDisc!O19,1)&amp;" in "&amp;GlobGuiMedDisc!$R$26,"")</f>
        <v/>
      </c>
      <c r="H20" s="93" t="str">
        <f>IF(OR($D20="1 dd",$D20="2 dd",$D20="3 dd",$D20="4 dd",$D20="6 dd",$D20="8 dd",$D20="12 dd",$D20="an",$D20="1 X"),VLOOKUP($D20,PedTblTijden!$A$16:$X$26,PedTblTijden!B$14,FALSE),"")</f>
        <v/>
      </c>
      <c r="I20" s="12" t="str">
        <f>IF(OR($D20="1 dd",$D20="2 dd",$D20="3 dd",$D20="4 dd",$D20="6 dd",$D20="8 dd",$D20="12 dd",$D20="an",$D20="1 X"),VLOOKUP($D20,PedTblTijden!$A$16:$X$26,PedTblTijden!C$14,FALSE),"")</f>
        <v/>
      </c>
      <c r="J20" s="93" t="str">
        <f>IF(OR($D20="1 dd",$D20="2 dd",$D20="3 dd",$D20="4 dd",$D20="6 dd",$D20="8 dd",$D20="12 dd",$D20="an",$D20="1 X"),VLOOKUP($D20,PedTblTijden!$A$16:$X$26,PedTblTijden!D$14,FALSE),"")</f>
        <v/>
      </c>
      <c r="K20" s="12" t="str">
        <f>IF(OR($D20="1 dd",$D20="2 dd",$D20="3 dd",$D20="4 dd",$D20="6 dd",$D20="8 dd",$D20="12 dd",$D20="an",$D20="1 X"),VLOOKUP($D20,PedTblTijden!$A$16:$X$26,PedTblTijden!E$14,FALSE),"")</f>
        <v/>
      </c>
      <c r="L20" s="93" t="str">
        <f>IF(OR($D20="1 dd",$D20="2 dd",$D20="3 dd",$D20="4 dd",$D20="6 dd",$D20="8 dd",$D20="12 dd",$D20="an",$D20="1 X"),VLOOKUP($D20,PedTblTijden!$A$16:$X$26,PedTblTijden!F$14,FALSE),"")</f>
        <v/>
      </c>
      <c r="M20" s="12" t="str">
        <f>IF(OR($D20="1 dd",$D20="2 dd",$D20="3 dd",$D20="4 dd",$D20="6 dd",$D20="8 dd",$D20="12 dd",$D20="an",$D20="1 X"),VLOOKUP($D20,PedTblTijden!$A$16:$X$26,PedTblTijden!G$14,FALSE),"")</f>
        <v/>
      </c>
      <c r="N20" s="93" t="str">
        <f>IF(OR($D20="1 dd",$D20="2 dd",$D20="3 dd",$D20="4 dd",$D20="6 dd",$D20="8 dd",$D20="12 dd",$D20="an",$D20="1 X"),VLOOKUP($D20,PedTblTijden!$A$16:$X$26,PedTblTijden!H$14,FALSE),"")</f>
        <v/>
      </c>
      <c r="O20" s="12" t="str">
        <f>IF(OR($D20="1 dd",$D20="2 dd",$D20="3 dd",$D20="4 dd",$D20="6 dd",$D20="8 dd",$D20="12 dd",$D20="an",$D20="1 X"),VLOOKUP($D20,PedTblTijden!$A$16:$X$26,PedTblTijden!I$14,FALSE),"")</f>
        <v/>
      </c>
      <c r="P20" s="93" t="str">
        <f>IF(OR($D20="1 dd",$D20="2 dd",$D20="3 dd",$D20="4 dd",$D20="6 dd",$D20="8 dd",$D20="12 dd",$D20="an",$D20="1 X"),VLOOKUP($D20,PedTblTijden!$A$16:$X$26,PedTblTijden!J$14,FALSE),"")</f>
        <v/>
      </c>
      <c r="Q20" s="12" t="str">
        <f>IF(OR($D20="1 dd",$D20="2 dd",$D20="3 dd",$D20="4 dd",$D20="6 dd",$D20="8 dd",$D20="12 dd",$D20="an",$D20="1 X"),VLOOKUP($D20,PedTblTijden!$A$16:$X$26,PedTblTijden!K$14,FALSE),"")</f>
        <v/>
      </c>
      <c r="R20" s="93" t="str">
        <f>IF(OR($D20="1 dd",$D20="2 dd",$D20="3 dd",$D20="4 dd",$D20="6 dd",$D20="8 dd",$D20="12 dd",$D20="an",$D20="1 X"),VLOOKUP($D20,PedTblTijden!$A$16:$X$26,PedTblTijden!L$14,FALSE),"")</f>
        <v/>
      </c>
      <c r="S20" s="12" t="str">
        <f>IF(OR($D20="1 dd",$D20="2 dd",$D20="3 dd",$D20="4 dd",$D20="6 dd",$D20="8 dd",$D20="12 dd",$D20="an",$D20="1 X"),VLOOKUP($D20,PedTblTijden!$A$16:$X$26,PedTblTijden!M$14,FALSE),"")</f>
        <v/>
      </c>
      <c r="T20" s="93" t="str">
        <f>IF(OR($D20="1 dd",$D20="2 dd",$D20="3 dd",$D20="4 dd",$D20="6 dd",$D20="8 dd",$D20="12 dd",$D20="an",$D20="1 X"),VLOOKUP($D20,PedTblTijden!$A$16:$X$26,PedTblTijden!N$14,FALSE),"")</f>
        <v/>
      </c>
      <c r="U20" s="12" t="str">
        <f>IF(OR($D20="1 dd",$D20="2 dd",$D20="3 dd",$D20="4 dd",$D20="6 dd",$D20="8 dd",$D20="12 dd",$D20="an",$D20="1 X"),VLOOKUP($D20,PedTblTijden!$A$16:$X$26,PedTblTijden!O$14,FALSE),"")</f>
        <v/>
      </c>
      <c r="V20" s="93" t="str">
        <f>IF(OR($D20="1 dd",$D20="2 dd",$D20="3 dd",$D20="4 dd",$D20="6 dd",$D20="8 dd",$D20="12 dd",$D20="an",$D20="1 X"),VLOOKUP($D20,PedTblTijden!$A$16:$X$26,PedTblTijden!P$14,FALSE),"")</f>
        <v/>
      </c>
      <c r="W20" s="12" t="str">
        <f>IF(OR($D20="1 dd",$D20="2 dd",$D20="3 dd",$D20="4 dd",$D20="6 dd",$D20="8 dd",$D20="12 dd",$D20="an",$D20="1 X"),VLOOKUP($D20,PedTblTijden!$A$16:$X$26,PedTblTijden!Q$14,FALSE),"")</f>
        <v/>
      </c>
      <c r="X20" s="93" t="str">
        <f>IF(OR($D20="1 dd",$D20="2 dd",$D20="3 dd",$D20="4 dd",$D20="6 dd",$D20="8 dd",$D20="12 dd",$D20="an",$D20="1 X"),VLOOKUP($D20,PedTblTijden!$A$16:$X$26,PedTblTijden!R$14,FALSE),"")</f>
        <v/>
      </c>
      <c r="Y20" s="12" t="str">
        <f>IF(OR($D20="1 dd",$D20="2 dd",$D20="3 dd",$D20="4 dd",$D20="6 dd",$D20="8 dd",$D20="12 dd",$D20="an",$D20="1 X"),VLOOKUP($D20,PedTblTijden!$A$16:$X$26,PedTblTijden!S$14,FALSE),"")</f>
        <v/>
      </c>
      <c r="Z20" s="93" t="str">
        <f>IF(OR($D20="1 dd",$D20="2 dd",$D20="3 dd",$D20="4 dd",$D20="6 dd",$D20="8 dd",$D20="12 dd",$D20="an",$D20="1 X"),VLOOKUP($D20,PedTblTijden!$A$16:$X$26,PedTblTijden!T$14,FALSE),"")</f>
        <v/>
      </c>
      <c r="AA20" s="12" t="str">
        <f>IF(OR($D20="1 dd",$D20="2 dd",$D20="3 dd",$D20="4 dd",$D20="6 dd",$D20="8 dd",$D20="12 dd",$D20="an",$D20="1 X"),VLOOKUP($D20,PedTblTijden!$A$16:$X$26,PedTblTijden!U$14,FALSE),"")</f>
        <v/>
      </c>
      <c r="AB20" s="93" t="str">
        <f>IF(OR($D20="1 dd",$D20="2 dd",$D20="3 dd",$D20="4 dd",$D20="6 dd",$D20="8 dd",$D20="12 dd",$D20="an",$D20="1 X"),VLOOKUP($D20,PedTblTijden!$A$16:$X$26,PedTblTijden!V$14,FALSE),"")</f>
        <v/>
      </c>
      <c r="AC20" s="12" t="str">
        <f>IF(OR($D20="1 dd",$D20="2 dd",$D20="3 dd",$D20="4 dd",$D20="6 dd",$D20="8 dd",$D20="12 dd",$D20="an",$D20="1 X"),VLOOKUP($D20,PedTblTijden!$A$16:$X$26,PedTblTijden!W$14,FALSE),"")</f>
        <v/>
      </c>
      <c r="AD20" s="93" t="str">
        <f>IF(OR($D20="1 dd",$D20="2 dd",$D20="3 dd",$D20="4 dd",$D20="6 dd",$D20="8 dd",$D20="12 dd",$D20="an",$D20="1 X"),VLOOKUP($D20,PedTblTijden!$A$16:$X$26,PedTblTijden!X$14,FALSE),"")</f>
        <v/>
      </c>
      <c r="AE20" s="14"/>
      <c r="AF20" s="92"/>
      <c r="AG20" s="14"/>
    </row>
    <row r="21" spans="2:33" ht="26.1" customHeight="1" x14ac:dyDescent="0.2">
      <c r="B21" s="94"/>
      <c r="C21" s="125" t="str">
        <f>IF(GlobBerMedDisc!C20&lt;&gt;"",IF(GlobBerMedDisc!C20&gt;1,TRIM(GlobBerMedDisc!C20)&amp;", "&amp;GlobBerOpm!#REF!&amp;" ("&amp;GlobBerMedDisc!M20&amp;" "&amp;GlobBerMedDisc!F20&amp;"/kg/dag)",TRIM(GlobBerMedDisc!C20)&amp;", "&amp;GlobBerOpm!#REF!),"")</f>
        <v/>
      </c>
      <c r="D21" s="126" t="str">
        <f>IF(GlobGuiMedDisc!I27&lt;&gt;"",GlobGuiMedDisc!I27,"")</f>
        <v/>
      </c>
      <c r="E21" s="127" t="str">
        <f>IF(AND(D21&lt;&gt;"",D21&lt;&gt;"STOP"),GlobBerMedDisc!H20&amp;" "&amp;GlobBerMedDisc!F20,"")</f>
        <v/>
      </c>
      <c r="F21" s="127" t="str">
        <f>IF(AND(D21&lt;&gt;"",D21&lt;&gt;"STOP"),GlobBerMedDisc!L20," ")</f>
        <v xml:space="preserve"> </v>
      </c>
      <c r="G21" s="127" t="str">
        <f>IF(GlobGuiMedDisc!N27&lt;&gt;"",GlobGuiMedDisc!N27&amp;" "&amp;GlobGuiMedDisc!O27&amp;" "&amp;INDEX(GlobBerMedDisc!$B$27:$B$30,GlobBerMedDisc!O20,1)&amp;" in "&amp;GlobGuiMedDisc!$R$27,"")</f>
        <v/>
      </c>
      <c r="H21" s="93" t="str">
        <f>IF(OR($D21="1 dd",$D21="2 dd",$D21="3 dd",$D21="4 dd",$D21="6 dd",$D21="8 dd",$D21="12 dd",$D21="an",$D21="1 X"),VLOOKUP($D21,PedTblTijden!$A$16:$X$26,PedTblTijden!B$14,FALSE),"")</f>
        <v/>
      </c>
      <c r="I21" s="12" t="str">
        <f>IF(OR($D21="1 dd",$D21="2 dd",$D21="3 dd",$D21="4 dd",$D21="6 dd",$D21="8 dd",$D21="12 dd",$D21="an",$D21="1 X"),VLOOKUP($D21,PedTblTijden!$A$16:$X$26,PedTblTijden!C$14,FALSE),"")</f>
        <v/>
      </c>
      <c r="J21" s="93" t="str">
        <f>IF(OR($D21="1 dd",$D21="2 dd",$D21="3 dd",$D21="4 dd",$D21="6 dd",$D21="8 dd",$D21="12 dd",$D21="an",$D21="1 X"),VLOOKUP($D21,PedTblTijden!$A$16:$X$26,PedTblTijden!D$14,FALSE),"")</f>
        <v/>
      </c>
      <c r="K21" s="12" t="str">
        <f>IF(OR($D21="1 dd",$D21="2 dd",$D21="3 dd",$D21="4 dd",$D21="6 dd",$D21="8 dd",$D21="12 dd",$D21="an",$D21="1 X"),VLOOKUP($D21,PedTblTijden!$A$16:$X$26,PedTblTijden!E$14,FALSE),"")</f>
        <v/>
      </c>
      <c r="L21" s="93" t="str">
        <f>IF(OR($D21="1 dd",$D21="2 dd",$D21="3 dd",$D21="4 dd",$D21="6 dd",$D21="8 dd",$D21="12 dd",$D21="an",$D21="1 X"),VLOOKUP($D21,PedTblTijden!$A$16:$X$26,PedTblTijden!F$14,FALSE),"")</f>
        <v/>
      </c>
      <c r="M21" s="12" t="str">
        <f>IF(OR($D21="1 dd",$D21="2 dd",$D21="3 dd",$D21="4 dd",$D21="6 dd",$D21="8 dd",$D21="12 dd",$D21="an",$D21="1 X"),VLOOKUP($D21,PedTblTijden!$A$16:$X$26,PedTblTijden!G$14,FALSE),"")</f>
        <v/>
      </c>
      <c r="N21" s="93" t="str">
        <f>IF(OR($D21="1 dd",$D21="2 dd",$D21="3 dd",$D21="4 dd",$D21="6 dd",$D21="8 dd",$D21="12 dd",$D21="an",$D21="1 X"),VLOOKUP($D21,PedTblTijden!$A$16:$X$26,PedTblTijden!H$14,FALSE),"")</f>
        <v/>
      </c>
      <c r="O21" s="12" t="str">
        <f>IF(OR($D21="1 dd",$D21="2 dd",$D21="3 dd",$D21="4 dd",$D21="6 dd",$D21="8 dd",$D21="12 dd",$D21="an",$D21="1 X"),VLOOKUP($D21,PedTblTijden!$A$16:$X$26,PedTblTijden!I$14,FALSE),"")</f>
        <v/>
      </c>
      <c r="P21" s="93" t="str">
        <f>IF(OR($D21="1 dd",$D21="2 dd",$D21="3 dd",$D21="4 dd",$D21="6 dd",$D21="8 dd",$D21="12 dd",$D21="an",$D21="1 X"),VLOOKUP($D21,PedTblTijden!$A$16:$X$26,PedTblTijden!J$14,FALSE),"")</f>
        <v/>
      </c>
      <c r="Q21" s="12" t="str">
        <f>IF(OR($D21="1 dd",$D21="2 dd",$D21="3 dd",$D21="4 dd",$D21="6 dd",$D21="8 dd",$D21="12 dd",$D21="an",$D21="1 X"),VLOOKUP($D21,PedTblTijden!$A$16:$X$26,PedTblTijden!K$14,FALSE),"")</f>
        <v/>
      </c>
      <c r="R21" s="93" t="str">
        <f>IF(OR($D21="1 dd",$D21="2 dd",$D21="3 dd",$D21="4 dd",$D21="6 dd",$D21="8 dd",$D21="12 dd",$D21="an",$D21="1 X"),VLOOKUP($D21,PedTblTijden!$A$16:$X$26,PedTblTijden!L$14,FALSE),"")</f>
        <v/>
      </c>
      <c r="S21" s="12" t="str">
        <f>IF(OR($D21="1 dd",$D21="2 dd",$D21="3 dd",$D21="4 dd",$D21="6 dd",$D21="8 dd",$D21="12 dd",$D21="an",$D21="1 X"),VLOOKUP($D21,PedTblTijden!$A$16:$X$26,PedTblTijden!M$14,FALSE),"")</f>
        <v/>
      </c>
      <c r="T21" s="93" t="str">
        <f>IF(OR($D21="1 dd",$D21="2 dd",$D21="3 dd",$D21="4 dd",$D21="6 dd",$D21="8 dd",$D21="12 dd",$D21="an",$D21="1 X"),VLOOKUP($D21,PedTblTijden!$A$16:$X$26,PedTblTijden!N$14,FALSE),"")</f>
        <v/>
      </c>
      <c r="U21" s="12" t="str">
        <f>IF(OR($D21="1 dd",$D21="2 dd",$D21="3 dd",$D21="4 dd",$D21="6 dd",$D21="8 dd",$D21="12 dd",$D21="an",$D21="1 X"),VLOOKUP($D21,PedTblTijden!$A$16:$X$26,PedTblTijden!O$14,FALSE),"")</f>
        <v/>
      </c>
      <c r="V21" s="93" t="str">
        <f>IF(OR($D21="1 dd",$D21="2 dd",$D21="3 dd",$D21="4 dd",$D21="6 dd",$D21="8 dd",$D21="12 dd",$D21="an",$D21="1 X"),VLOOKUP($D21,PedTblTijden!$A$16:$X$26,PedTblTijden!P$14,FALSE),"")</f>
        <v/>
      </c>
      <c r="W21" s="12" t="str">
        <f>IF(OR($D21="1 dd",$D21="2 dd",$D21="3 dd",$D21="4 dd",$D21="6 dd",$D21="8 dd",$D21="12 dd",$D21="an",$D21="1 X"),VLOOKUP($D21,PedTblTijden!$A$16:$X$26,PedTblTijden!Q$14,FALSE),"")</f>
        <v/>
      </c>
      <c r="X21" s="93" t="str">
        <f>IF(OR($D21="1 dd",$D21="2 dd",$D21="3 dd",$D21="4 dd",$D21="6 dd",$D21="8 dd",$D21="12 dd",$D21="an",$D21="1 X"),VLOOKUP($D21,PedTblTijden!$A$16:$X$26,PedTblTijden!R$14,FALSE),"")</f>
        <v/>
      </c>
      <c r="Y21" s="12" t="str">
        <f>IF(OR($D21="1 dd",$D21="2 dd",$D21="3 dd",$D21="4 dd",$D21="6 dd",$D21="8 dd",$D21="12 dd",$D21="an",$D21="1 X"),VLOOKUP($D21,PedTblTijden!$A$16:$X$26,PedTblTijden!S$14,FALSE),"")</f>
        <v/>
      </c>
      <c r="Z21" s="93" t="str">
        <f>IF(OR($D21="1 dd",$D21="2 dd",$D21="3 dd",$D21="4 dd",$D21="6 dd",$D21="8 dd",$D21="12 dd",$D21="an",$D21="1 X"),VLOOKUP($D21,PedTblTijden!$A$16:$X$26,PedTblTijden!T$14,FALSE),"")</f>
        <v/>
      </c>
      <c r="AA21" s="12" t="str">
        <f>IF(OR($D21="1 dd",$D21="2 dd",$D21="3 dd",$D21="4 dd",$D21="6 dd",$D21="8 dd",$D21="12 dd",$D21="an",$D21="1 X"),VLOOKUP($D21,PedTblTijden!$A$16:$X$26,PedTblTijden!U$14,FALSE),"")</f>
        <v/>
      </c>
      <c r="AB21" s="93" t="str">
        <f>IF(OR($D21="1 dd",$D21="2 dd",$D21="3 dd",$D21="4 dd",$D21="6 dd",$D21="8 dd",$D21="12 dd",$D21="an",$D21="1 X"),VLOOKUP($D21,PedTblTijden!$A$16:$X$26,PedTblTijden!V$14,FALSE),"")</f>
        <v/>
      </c>
      <c r="AC21" s="12" t="str">
        <f>IF(OR($D21="1 dd",$D21="2 dd",$D21="3 dd",$D21="4 dd",$D21="6 dd",$D21="8 dd",$D21="12 dd",$D21="an",$D21="1 X"),VLOOKUP($D21,PedTblTijden!$A$16:$X$26,PedTblTijden!W$14,FALSE),"")</f>
        <v/>
      </c>
      <c r="AD21" s="93" t="str">
        <f>IF(OR($D21="1 dd",$D21="2 dd",$D21="3 dd",$D21="4 dd",$D21="6 dd",$D21="8 dd",$D21="12 dd",$D21="an",$D21="1 X"),VLOOKUP($D21,PedTblTijden!$A$16:$X$26,PedTblTijden!X$14,FALSE),"")</f>
        <v/>
      </c>
      <c r="AE21" s="14"/>
      <c r="AF21" s="92"/>
      <c r="AG21" s="14"/>
    </row>
    <row r="22" spans="2:33" ht="26.1" customHeight="1" x14ac:dyDescent="0.2">
      <c r="B22" s="94"/>
      <c r="C22" s="125" t="str">
        <f>IF(GlobBerMedDisc!C21&lt;&gt;"",IF(GlobBerMedDisc!C21&gt;1,TRIM(GlobBerMedDisc!C21)&amp;", "&amp;GlobBerOpm!#REF!&amp;" ("&amp;GlobBerMedDisc!M21&amp;" "&amp;GlobBerMedDisc!F21&amp;"/kg/dag)",TRIM(GlobBerMedDisc!C21)&amp;", "&amp;GlobBerOpm!#REF!),"")</f>
        <v/>
      </c>
      <c r="D22" s="126" t="str">
        <f>IF(GlobGuiMedDisc!I28&lt;&gt;"",GlobGuiMedDisc!I28,"")</f>
        <v/>
      </c>
      <c r="E22" s="127" t="str">
        <f>IF(AND(D22&lt;&gt;"",D22&lt;&gt;"STOP"),GlobBerMedDisc!H21&amp;" "&amp;GlobBerMedDisc!F21,"")</f>
        <v/>
      </c>
      <c r="F22" s="127" t="str">
        <f>IF(AND(D22&lt;&gt;"",D22&lt;&gt;"STOP"),GlobBerMedDisc!L21," ")</f>
        <v xml:space="preserve"> </v>
      </c>
      <c r="G22" s="127" t="str">
        <f>IF(GlobGuiMedDisc!N28&lt;&gt;"",GlobGuiMedDisc!N28&amp;" "&amp;GlobGuiMedDisc!O28&amp;" "&amp;INDEX(GlobBerMedDisc!$B$27:$B$30,GlobBerMedDisc!O21,1)&amp;" in "&amp;GlobGuiMedDisc!$R$28,"")</f>
        <v/>
      </c>
      <c r="H22" s="93" t="str">
        <f>IF(OR($D22="1 dd",$D22="2 dd",$D22="3 dd",$D22="4 dd",$D22="6 dd",$D22="8 dd",$D22="12 dd",$D22="an",$D22="1 X"),VLOOKUP($D22,PedTblTijden!$A$16:$X$26,PedTblTijden!B$14,FALSE),"")</f>
        <v/>
      </c>
      <c r="I22" s="12" t="str">
        <f>IF(OR($D22="1 dd",$D22="2 dd",$D22="3 dd",$D22="4 dd",$D22="6 dd",$D22="8 dd",$D22="12 dd",$D22="an",$D22="1 X"),VLOOKUP($D22,PedTblTijden!$A$16:$X$26,PedTblTijden!C$14,FALSE),"")</f>
        <v/>
      </c>
      <c r="J22" s="93" t="str">
        <f>IF(OR($D22="1 dd",$D22="2 dd",$D22="3 dd",$D22="4 dd",$D22="6 dd",$D22="8 dd",$D22="12 dd",$D22="an",$D22="1 X"),VLOOKUP($D22,PedTblTijden!$A$16:$X$26,PedTblTijden!D$14,FALSE),"")</f>
        <v/>
      </c>
      <c r="K22" s="12" t="str">
        <f>IF(OR($D22="1 dd",$D22="2 dd",$D22="3 dd",$D22="4 dd",$D22="6 dd",$D22="8 dd",$D22="12 dd",$D22="an",$D22="1 X"),VLOOKUP($D22,PedTblTijden!$A$16:$X$26,PedTblTijden!E$14,FALSE),"")</f>
        <v/>
      </c>
      <c r="L22" s="93" t="str">
        <f>IF(OR($D22="1 dd",$D22="2 dd",$D22="3 dd",$D22="4 dd",$D22="6 dd",$D22="8 dd",$D22="12 dd",$D22="an",$D22="1 X"),VLOOKUP($D22,PedTblTijden!$A$16:$X$26,PedTblTijden!F$14,FALSE),"")</f>
        <v/>
      </c>
      <c r="M22" s="12" t="str">
        <f>IF(OR($D22="1 dd",$D22="2 dd",$D22="3 dd",$D22="4 dd",$D22="6 dd",$D22="8 dd",$D22="12 dd",$D22="an",$D22="1 X"),VLOOKUP($D22,PedTblTijden!$A$16:$X$26,PedTblTijden!G$14,FALSE),"")</f>
        <v/>
      </c>
      <c r="N22" s="93" t="str">
        <f>IF(OR($D22="1 dd",$D22="2 dd",$D22="3 dd",$D22="4 dd",$D22="6 dd",$D22="8 dd",$D22="12 dd",$D22="an",$D22="1 X"),VLOOKUP($D22,PedTblTijden!$A$16:$X$26,PedTblTijden!H$14,FALSE),"")</f>
        <v/>
      </c>
      <c r="O22" s="12" t="str">
        <f>IF(OR($D22="1 dd",$D22="2 dd",$D22="3 dd",$D22="4 dd",$D22="6 dd",$D22="8 dd",$D22="12 dd",$D22="an",$D22="1 X"),VLOOKUP($D22,PedTblTijden!$A$16:$X$26,PedTblTijden!I$14,FALSE),"")</f>
        <v/>
      </c>
      <c r="P22" s="93" t="str">
        <f>IF(OR($D22="1 dd",$D22="2 dd",$D22="3 dd",$D22="4 dd",$D22="6 dd",$D22="8 dd",$D22="12 dd",$D22="an",$D22="1 X"),VLOOKUP($D22,PedTblTijden!$A$16:$X$26,PedTblTijden!J$14,FALSE),"")</f>
        <v/>
      </c>
      <c r="Q22" s="12" t="str">
        <f>IF(OR($D22="1 dd",$D22="2 dd",$D22="3 dd",$D22="4 dd",$D22="6 dd",$D22="8 dd",$D22="12 dd",$D22="an",$D22="1 X"),VLOOKUP($D22,PedTblTijden!$A$16:$X$26,PedTblTijden!K$14,FALSE),"")</f>
        <v/>
      </c>
      <c r="R22" s="93" t="str">
        <f>IF(OR($D22="1 dd",$D22="2 dd",$D22="3 dd",$D22="4 dd",$D22="6 dd",$D22="8 dd",$D22="12 dd",$D22="an",$D22="1 X"),VLOOKUP($D22,PedTblTijden!$A$16:$X$26,PedTblTijden!L$14,FALSE),"")</f>
        <v/>
      </c>
      <c r="S22" s="12" t="str">
        <f>IF(OR($D22="1 dd",$D22="2 dd",$D22="3 dd",$D22="4 dd",$D22="6 dd",$D22="8 dd",$D22="12 dd",$D22="an",$D22="1 X"),VLOOKUP($D22,PedTblTijden!$A$16:$X$26,PedTblTijden!M$14,FALSE),"")</f>
        <v/>
      </c>
      <c r="T22" s="93" t="str">
        <f>IF(OR($D22="1 dd",$D22="2 dd",$D22="3 dd",$D22="4 dd",$D22="6 dd",$D22="8 dd",$D22="12 dd",$D22="an",$D22="1 X"),VLOOKUP($D22,PedTblTijden!$A$16:$X$26,PedTblTijden!N$14,FALSE),"")</f>
        <v/>
      </c>
      <c r="U22" s="12" t="str">
        <f>IF(OR($D22="1 dd",$D22="2 dd",$D22="3 dd",$D22="4 dd",$D22="6 dd",$D22="8 dd",$D22="12 dd",$D22="an",$D22="1 X"),VLOOKUP($D22,PedTblTijden!$A$16:$X$26,PedTblTijden!O$14,FALSE),"")</f>
        <v/>
      </c>
      <c r="V22" s="93" t="str">
        <f>IF(OR($D22="1 dd",$D22="2 dd",$D22="3 dd",$D22="4 dd",$D22="6 dd",$D22="8 dd",$D22="12 dd",$D22="an",$D22="1 X"),VLOOKUP($D22,PedTblTijden!$A$16:$X$26,PedTblTijden!P$14,FALSE),"")</f>
        <v/>
      </c>
      <c r="W22" s="12" t="str">
        <f>IF(OR($D22="1 dd",$D22="2 dd",$D22="3 dd",$D22="4 dd",$D22="6 dd",$D22="8 dd",$D22="12 dd",$D22="an",$D22="1 X"),VLOOKUP($D22,PedTblTijden!$A$16:$X$26,PedTblTijden!Q$14,FALSE),"")</f>
        <v/>
      </c>
      <c r="X22" s="93" t="str">
        <f>IF(OR($D22="1 dd",$D22="2 dd",$D22="3 dd",$D22="4 dd",$D22="6 dd",$D22="8 dd",$D22="12 dd",$D22="an",$D22="1 X"),VLOOKUP($D22,PedTblTijden!$A$16:$X$26,PedTblTijden!R$14,FALSE),"")</f>
        <v/>
      </c>
      <c r="Y22" s="12" t="str">
        <f>IF(OR($D22="1 dd",$D22="2 dd",$D22="3 dd",$D22="4 dd",$D22="6 dd",$D22="8 dd",$D22="12 dd",$D22="an",$D22="1 X"),VLOOKUP($D22,PedTblTijden!$A$16:$X$26,PedTblTijden!S$14,FALSE),"")</f>
        <v/>
      </c>
      <c r="Z22" s="93" t="str">
        <f>IF(OR($D22="1 dd",$D22="2 dd",$D22="3 dd",$D22="4 dd",$D22="6 dd",$D22="8 dd",$D22="12 dd",$D22="an",$D22="1 X"),VLOOKUP($D22,PedTblTijden!$A$16:$X$26,PedTblTijden!T$14,FALSE),"")</f>
        <v/>
      </c>
      <c r="AA22" s="12" t="str">
        <f>IF(OR($D22="1 dd",$D22="2 dd",$D22="3 dd",$D22="4 dd",$D22="6 dd",$D22="8 dd",$D22="12 dd",$D22="an",$D22="1 X"),VLOOKUP($D22,PedTblTijden!$A$16:$X$26,PedTblTijden!U$14,FALSE),"")</f>
        <v/>
      </c>
      <c r="AB22" s="93" t="str">
        <f>IF(OR($D22="1 dd",$D22="2 dd",$D22="3 dd",$D22="4 dd",$D22="6 dd",$D22="8 dd",$D22="12 dd",$D22="an",$D22="1 X"),VLOOKUP($D22,PedTblTijden!$A$16:$X$26,PedTblTijden!V$14,FALSE),"")</f>
        <v/>
      </c>
      <c r="AC22" s="12" t="str">
        <f>IF(OR($D22="1 dd",$D22="2 dd",$D22="3 dd",$D22="4 dd",$D22="6 dd",$D22="8 dd",$D22="12 dd",$D22="an",$D22="1 X"),VLOOKUP($D22,PedTblTijden!$A$16:$X$26,PedTblTijden!W$14,FALSE),"")</f>
        <v/>
      </c>
      <c r="AD22" s="93" t="str">
        <f>IF(OR($D22="1 dd",$D22="2 dd",$D22="3 dd",$D22="4 dd",$D22="6 dd",$D22="8 dd",$D22="12 dd",$D22="an",$D22="1 X"),VLOOKUP($D22,PedTblTijden!$A$16:$X$26,PedTblTijden!X$14,FALSE),"")</f>
        <v/>
      </c>
      <c r="AE22" s="14"/>
      <c r="AF22" s="92"/>
      <c r="AG22" s="14"/>
    </row>
  </sheetData>
  <mergeCells count="3">
    <mergeCell ref="F1:G1"/>
    <mergeCell ref="R1:W1"/>
    <mergeCell ref="AB1:AF1"/>
  </mergeCells>
  <conditionalFormatting sqref="B3:B22">
    <cfRule type="cellIs" dxfId="0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Tijden">
    <tabColor rgb="FF92D050"/>
  </sheetPr>
  <dimension ref="A1:Y27"/>
  <sheetViews>
    <sheetView workbookViewId="0"/>
  </sheetViews>
  <sheetFormatPr defaultColWidth="9.140625" defaultRowHeight="12.75" x14ac:dyDescent="0.2"/>
  <cols>
    <col min="1" max="1" width="9.140625" style="315"/>
    <col min="2" max="25" width="4.7109375" style="315" customWidth="1"/>
    <col min="26" max="16384" width="9.140625" style="315"/>
  </cols>
  <sheetData>
    <row r="1" spans="1:25" x14ac:dyDescent="0.2">
      <c r="A1" s="356" t="s">
        <v>393</v>
      </c>
    </row>
    <row r="2" spans="1:25" x14ac:dyDescent="0.2">
      <c r="A2" s="315" t="s">
        <v>384</v>
      </c>
      <c r="B2" s="315">
        <v>20</v>
      </c>
    </row>
    <row r="3" spans="1:25" x14ac:dyDescent="0.2">
      <c r="A3" s="315" t="s">
        <v>394</v>
      </c>
      <c r="B3" s="315">
        <v>9</v>
      </c>
    </row>
    <row r="4" spans="1:25" x14ac:dyDescent="0.2">
      <c r="A4" s="315" t="s">
        <v>395</v>
      </c>
      <c r="B4" s="315">
        <v>9</v>
      </c>
      <c r="C4" s="315">
        <v>21</v>
      </c>
    </row>
    <row r="5" spans="1:25" x14ac:dyDescent="0.2">
      <c r="A5" s="315" t="s">
        <v>396</v>
      </c>
      <c r="B5" s="315">
        <v>9</v>
      </c>
      <c r="C5" s="315">
        <v>17</v>
      </c>
      <c r="D5" s="315">
        <v>1</v>
      </c>
    </row>
    <row r="6" spans="1:25" x14ac:dyDescent="0.2">
      <c r="A6" s="356" t="s">
        <v>397</v>
      </c>
      <c r="B6" s="315">
        <v>9</v>
      </c>
      <c r="C6" s="315">
        <v>15</v>
      </c>
      <c r="D6" s="315">
        <v>21</v>
      </c>
      <c r="E6" s="315">
        <v>3</v>
      </c>
    </row>
    <row r="7" spans="1:25" x14ac:dyDescent="0.2">
      <c r="A7" s="360" t="s">
        <v>443</v>
      </c>
      <c r="B7" s="315">
        <v>9</v>
      </c>
      <c r="C7" s="315">
        <v>12</v>
      </c>
      <c r="D7" s="315">
        <v>15</v>
      </c>
      <c r="E7" s="315">
        <v>18</v>
      </c>
      <c r="F7" s="315">
        <v>22</v>
      </c>
    </row>
    <row r="8" spans="1:25" x14ac:dyDescent="0.2">
      <c r="A8" s="315" t="s">
        <v>182</v>
      </c>
      <c r="B8" s="315">
        <v>9</v>
      </c>
      <c r="C8" s="315">
        <v>13</v>
      </c>
      <c r="D8" s="315">
        <v>17</v>
      </c>
      <c r="E8" s="315">
        <v>21</v>
      </c>
      <c r="F8" s="315">
        <v>1</v>
      </c>
      <c r="G8" s="315">
        <v>5</v>
      </c>
    </row>
    <row r="9" spans="1:25" x14ac:dyDescent="0.2">
      <c r="A9" s="315" t="s">
        <v>183</v>
      </c>
      <c r="B9" s="315">
        <v>11</v>
      </c>
      <c r="C9" s="315">
        <v>14</v>
      </c>
      <c r="D9" s="315">
        <v>17</v>
      </c>
      <c r="E9" s="315">
        <v>20</v>
      </c>
      <c r="F9" s="315">
        <v>23</v>
      </c>
      <c r="G9" s="315">
        <v>2</v>
      </c>
      <c r="H9" s="315">
        <v>5</v>
      </c>
      <c r="I9" s="315">
        <v>8</v>
      </c>
    </row>
    <row r="10" spans="1:25" x14ac:dyDescent="0.2">
      <c r="A10" s="315" t="s">
        <v>184</v>
      </c>
      <c r="B10" s="315">
        <v>9</v>
      </c>
      <c r="C10" s="315">
        <v>11</v>
      </c>
      <c r="D10" s="315">
        <v>13</v>
      </c>
      <c r="E10" s="315">
        <v>15</v>
      </c>
      <c r="F10" s="315">
        <v>17</v>
      </c>
      <c r="G10" s="315">
        <v>19</v>
      </c>
      <c r="H10" s="315">
        <v>21</v>
      </c>
      <c r="I10" s="315">
        <v>23</v>
      </c>
      <c r="J10" s="315">
        <v>1</v>
      </c>
      <c r="K10" s="315">
        <v>3</v>
      </c>
      <c r="L10" s="315">
        <v>5</v>
      </c>
      <c r="M10" s="315">
        <v>7</v>
      </c>
    </row>
    <row r="11" spans="1:25" x14ac:dyDescent="0.2">
      <c r="A11" s="315" t="s">
        <v>26</v>
      </c>
      <c r="B11" s="315">
        <v>9</v>
      </c>
      <c r="C11" s="315">
        <v>10</v>
      </c>
      <c r="D11" s="315">
        <v>11</v>
      </c>
      <c r="E11" s="315">
        <v>12</v>
      </c>
      <c r="F11" s="315">
        <v>13</v>
      </c>
      <c r="G11" s="315">
        <v>14</v>
      </c>
      <c r="H11" s="315">
        <v>15</v>
      </c>
      <c r="I11" s="315">
        <v>16</v>
      </c>
      <c r="J11" s="315">
        <v>17</v>
      </c>
      <c r="K11" s="315">
        <v>18</v>
      </c>
      <c r="L11" s="315">
        <v>19</v>
      </c>
      <c r="M11" s="315">
        <v>20</v>
      </c>
      <c r="N11" s="315">
        <v>21</v>
      </c>
      <c r="O11" s="315">
        <v>22</v>
      </c>
      <c r="P11" s="315">
        <v>23</v>
      </c>
      <c r="Q11" s="315">
        <v>24</v>
      </c>
      <c r="R11" s="315">
        <v>1</v>
      </c>
      <c r="S11" s="315">
        <v>2</v>
      </c>
      <c r="T11" s="315">
        <v>3</v>
      </c>
      <c r="U11" s="315">
        <v>4</v>
      </c>
      <c r="V11" s="315">
        <v>5</v>
      </c>
      <c r="W11" s="315">
        <v>6</v>
      </c>
      <c r="X11" s="315">
        <v>7</v>
      </c>
      <c r="Y11" s="315">
        <v>8</v>
      </c>
    </row>
    <row r="13" spans="1:25" x14ac:dyDescent="0.2">
      <c r="A13" s="315">
        <v>10</v>
      </c>
      <c r="B13" s="315" t="s">
        <v>394</v>
      </c>
      <c r="C13" s="315" t="s">
        <v>395</v>
      </c>
      <c r="D13" s="315" t="s">
        <v>396</v>
      </c>
      <c r="E13" s="315" t="s">
        <v>397</v>
      </c>
      <c r="F13" s="316" t="s">
        <v>443</v>
      </c>
      <c r="G13" s="316" t="s">
        <v>182</v>
      </c>
      <c r="H13" s="316" t="s">
        <v>183</v>
      </c>
      <c r="I13" s="316" t="s">
        <v>184</v>
      </c>
      <c r="J13" s="316" t="s">
        <v>26</v>
      </c>
    </row>
    <row r="15" spans="1:25" x14ac:dyDescent="0.2">
      <c r="B15" s="315">
        <v>2</v>
      </c>
      <c r="C15" s="315">
        <v>3</v>
      </c>
      <c r="D15" s="315">
        <v>4</v>
      </c>
      <c r="E15" s="315">
        <v>5</v>
      </c>
      <c r="F15" s="315">
        <v>6</v>
      </c>
      <c r="G15" s="315">
        <v>7</v>
      </c>
      <c r="H15" s="315">
        <v>8</v>
      </c>
      <c r="I15" s="315">
        <v>9</v>
      </c>
      <c r="J15" s="315">
        <v>10</v>
      </c>
      <c r="K15" s="315">
        <v>11</v>
      </c>
      <c r="L15" s="315">
        <v>12</v>
      </c>
      <c r="M15" s="315">
        <v>13</v>
      </c>
      <c r="N15" s="315">
        <v>14</v>
      </c>
      <c r="O15" s="315">
        <v>15</v>
      </c>
      <c r="P15" s="315">
        <v>16</v>
      </c>
      <c r="Q15" s="315">
        <v>17</v>
      </c>
      <c r="R15" s="315">
        <v>18</v>
      </c>
      <c r="S15" s="315">
        <v>19</v>
      </c>
      <c r="T15" s="315">
        <v>20</v>
      </c>
      <c r="U15" s="315">
        <v>21</v>
      </c>
      <c r="V15" s="315">
        <v>22</v>
      </c>
      <c r="W15" s="315">
        <v>23</v>
      </c>
      <c r="X15" s="315">
        <v>24</v>
      </c>
      <c r="Y15" s="315">
        <v>25</v>
      </c>
    </row>
    <row r="16" spans="1:25" x14ac:dyDescent="0.2">
      <c r="B16" s="11">
        <v>9</v>
      </c>
      <c r="C16" s="11">
        <v>10</v>
      </c>
      <c r="D16" s="11">
        <v>11</v>
      </c>
      <c r="E16" s="11">
        <v>12</v>
      </c>
      <c r="F16" s="11">
        <v>13</v>
      </c>
      <c r="G16" s="11">
        <v>14</v>
      </c>
      <c r="H16" s="11">
        <v>15</v>
      </c>
      <c r="I16" s="11">
        <v>16</v>
      </c>
      <c r="J16" s="11">
        <v>17</v>
      </c>
      <c r="K16" s="11">
        <v>18</v>
      </c>
      <c r="L16" s="11">
        <v>19</v>
      </c>
      <c r="M16" s="11">
        <v>20</v>
      </c>
      <c r="N16" s="11">
        <v>21</v>
      </c>
      <c r="O16" s="11">
        <v>22</v>
      </c>
      <c r="P16" s="11">
        <v>23</v>
      </c>
      <c r="Q16" s="11">
        <v>24</v>
      </c>
      <c r="R16" s="11">
        <v>1</v>
      </c>
      <c r="S16" s="11">
        <v>2</v>
      </c>
      <c r="T16" s="11">
        <v>3</v>
      </c>
      <c r="U16" s="11">
        <v>4</v>
      </c>
      <c r="V16" s="11">
        <v>5</v>
      </c>
      <c r="W16" s="11">
        <v>6</v>
      </c>
      <c r="X16" s="11">
        <v>7</v>
      </c>
      <c r="Y16" s="11">
        <v>8</v>
      </c>
    </row>
    <row r="17" spans="1:25" x14ac:dyDescent="0.2">
      <c r="A17" s="315" t="s">
        <v>394</v>
      </c>
      <c r="B17" s="12" t="s">
        <v>185</v>
      </c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</row>
    <row r="18" spans="1:25" x14ac:dyDescent="0.2">
      <c r="A18" s="315" t="s">
        <v>395</v>
      </c>
      <c r="B18" s="12" t="s">
        <v>185</v>
      </c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 t="s">
        <v>185</v>
      </c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</row>
    <row r="19" spans="1:25" x14ac:dyDescent="0.2">
      <c r="A19" s="315" t="s">
        <v>396</v>
      </c>
      <c r="B19" s="12" t="s">
        <v>185</v>
      </c>
      <c r="C19" s="12"/>
      <c r="D19" s="12"/>
      <c r="E19" s="12"/>
      <c r="F19" s="12"/>
      <c r="G19" s="12"/>
      <c r="H19" s="12"/>
      <c r="I19" s="12"/>
      <c r="J19" s="12" t="s">
        <v>185</v>
      </c>
      <c r="K19" s="12"/>
      <c r="L19" s="12"/>
      <c r="M19" s="12"/>
      <c r="N19" s="12"/>
      <c r="O19" s="12"/>
      <c r="P19" s="12"/>
      <c r="Q19" s="12"/>
      <c r="R19" s="12" t="s">
        <v>185</v>
      </c>
      <c r="S19" s="12"/>
      <c r="T19" s="12"/>
      <c r="U19" s="12"/>
      <c r="V19" s="12"/>
      <c r="W19" s="12"/>
      <c r="X19" s="12"/>
      <c r="Y19" s="12"/>
    </row>
    <row r="20" spans="1:25" x14ac:dyDescent="0.2">
      <c r="A20" s="315" t="s">
        <v>397</v>
      </c>
      <c r="B20" s="12" t="s">
        <v>185</v>
      </c>
      <c r="C20" s="12"/>
      <c r="D20" s="12"/>
      <c r="E20" s="12"/>
      <c r="F20" s="12"/>
      <c r="G20" s="12"/>
      <c r="H20" s="12" t="s">
        <v>185</v>
      </c>
      <c r="I20" s="12"/>
      <c r="J20" s="12"/>
      <c r="K20" s="12"/>
      <c r="L20" s="12"/>
      <c r="M20" s="12"/>
      <c r="N20" s="12" t="s">
        <v>185</v>
      </c>
      <c r="O20" s="12"/>
      <c r="P20" s="12"/>
      <c r="Q20" s="12"/>
      <c r="R20" s="12"/>
      <c r="S20" s="12"/>
      <c r="T20" s="12" t="s">
        <v>185</v>
      </c>
      <c r="U20" s="12"/>
      <c r="V20" s="12"/>
      <c r="W20" s="12"/>
      <c r="X20" s="12"/>
      <c r="Y20" s="12"/>
    </row>
    <row r="21" spans="1:25" x14ac:dyDescent="0.2">
      <c r="A21" s="315" t="s">
        <v>443</v>
      </c>
      <c r="B21" s="12" t="s">
        <v>185</v>
      </c>
      <c r="C21" s="12"/>
      <c r="D21" s="12"/>
      <c r="E21" s="12" t="s">
        <v>185</v>
      </c>
      <c r="F21" s="12"/>
      <c r="G21" s="12"/>
      <c r="H21" s="12" t="s">
        <v>185</v>
      </c>
      <c r="I21" s="12"/>
      <c r="J21" s="12"/>
      <c r="K21" s="12" t="s">
        <v>185</v>
      </c>
      <c r="L21" s="12"/>
      <c r="M21" s="12"/>
      <c r="N21" s="12"/>
      <c r="O21" s="12" t="s">
        <v>185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</row>
    <row r="22" spans="1:25" x14ac:dyDescent="0.2">
      <c r="A22" s="315" t="s">
        <v>182</v>
      </c>
      <c r="B22" s="12" t="s">
        <v>185</v>
      </c>
      <c r="C22" s="12"/>
      <c r="D22" s="12"/>
      <c r="E22" s="12"/>
      <c r="F22" s="12" t="s">
        <v>185</v>
      </c>
      <c r="G22" s="12"/>
      <c r="H22" s="12"/>
      <c r="I22" s="12"/>
      <c r="J22" s="12" t="s">
        <v>185</v>
      </c>
      <c r="K22" s="12"/>
      <c r="L22" s="12"/>
      <c r="M22" s="12"/>
      <c r="N22" s="12" t="s">
        <v>185</v>
      </c>
      <c r="O22" s="12"/>
      <c r="P22" s="12"/>
      <c r="Q22" s="12"/>
      <c r="R22" s="12" t="s">
        <v>185</v>
      </c>
      <c r="S22" s="12"/>
      <c r="T22" s="12"/>
      <c r="U22" s="12"/>
      <c r="V22" s="12" t="s">
        <v>185</v>
      </c>
      <c r="X22" s="12"/>
      <c r="Y22" s="12"/>
    </row>
    <row r="23" spans="1:25" x14ac:dyDescent="0.2">
      <c r="A23" s="316" t="s">
        <v>183</v>
      </c>
      <c r="B23" s="12"/>
      <c r="C23" s="12"/>
      <c r="D23" s="12" t="s">
        <v>185</v>
      </c>
      <c r="E23" s="12"/>
      <c r="F23" s="12"/>
      <c r="G23" s="12" t="s">
        <v>185</v>
      </c>
      <c r="H23" s="12"/>
      <c r="I23" s="12"/>
      <c r="J23" s="12" t="s">
        <v>185</v>
      </c>
      <c r="K23" s="12"/>
      <c r="L23" s="12"/>
      <c r="M23" s="12" t="s">
        <v>185</v>
      </c>
      <c r="N23" s="12"/>
      <c r="O23" s="12"/>
      <c r="P23" s="12" t="s">
        <v>185</v>
      </c>
      <c r="Q23" s="12"/>
      <c r="R23" s="12"/>
      <c r="S23" s="12" t="s">
        <v>185</v>
      </c>
      <c r="T23" s="12"/>
      <c r="U23" s="12"/>
      <c r="V23" s="12" t="s">
        <v>185</v>
      </c>
      <c r="W23" s="12"/>
      <c r="X23" s="12"/>
      <c r="Y23" s="12" t="s">
        <v>185</v>
      </c>
    </row>
    <row r="24" spans="1:25" x14ac:dyDescent="0.2">
      <c r="A24" s="316" t="s">
        <v>184</v>
      </c>
      <c r="B24" s="12" t="s">
        <v>185</v>
      </c>
      <c r="C24" s="12"/>
      <c r="D24" s="12" t="s">
        <v>185</v>
      </c>
      <c r="E24" s="12"/>
      <c r="F24" s="12" t="s">
        <v>185</v>
      </c>
      <c r="G24" s="12"/>
      <c r="H24" s="12" t="s">
        <v>185</v>
      </c>
      <c r="I24" s="12"/>
      <c r="J24" s="12" t="s">
        <v>185</v>
      </c>
      <c r="K24" s="12"/>
      <c r="L24" s="12" t="s">
        <v>185</v>
      </c>
      <c r="M24" s="12"/>
      <c r="N24" s="12" t="s">
        <v>185</v>
      </c>
      <c r="O24" s="12"/>
      <c r="P24" s="12" t="s">
        <v>185</v>
      </c>
      <c r="Q24" s="12"/>
      <c r="R24" s="12" t="s">
        <v>185</v>
      </c>
      <c r="S24" s="12"/>
      <c r="T24" s="12" t="s">
        <v>185</v>
      </c>
      <c r="U24" s="12"/>
      <c r="V24" s="12" t="s">
        <v>185</v>
      </c>
      <c r="W24" s="12"/>
      <c r="X24" s="12" t="s">
        <v>185</v>
      </c>
      <c r="Y24" s="12"/>
    </row>
    <row r="25" spans="1:25" x14ac:dyDescent="0.2">
      <c r="A25" s="316" t="s">
        <v>26</v>
      </c>
      <c r="B25" s="12" t="s">
        <v>185</v>
      </c>
      <c r="C25" s="12" t="s">
        <v>185</v>
      </c>
      <c r="D25" s="12" t="s">
        <v>185</v>
      </c>
      <c r="E25" s="12" t="s">
        <v>185</v>
      </c>
      <c r="F25" s="12" t="s">
        <v>185</v>
      </c>
      <c r="G25" s="12" t="s">
        <v>185</v>
      </c>
      <c r="H25" s="12" t="s">
        <v>185</v>
      </c>
      <c r="I25" s="12" t="s">
        <v>185</v>
      </c>
      <c r="J25" s="12" t="s">
        <v>185</v>
      </c>
      <c r="K25" s="12" t="s">
        <v>185</v>
      </c>
      <c r="L25" s="12" t="s">
        <v>185</v>
      </c>
      <c r="M25" s="12" t="s">
        <v>185</v>
      </c>
      <c r="N25" s="12" t="s">
        <v>185</v>
      </c>
      <c r="O25" s="12" t="s">
        <v>185</v>
      </c>
      <c r="P25" s="12" t="s">
        <v>185</v>
      </c>
      <c r="Q25" s="12" t="s">
        <v>185</v>
      </c>
      <c r="R25" s="12" t="s">
        <v>185</v>
      </c>
      <c r="S25" s="12" t="s">
        <v>185</v>
      </c>
      <c r="T25" s="12" t="s">
        <v>185</v>
      </c>
      <c r="U25" s="12" t="s">
        <v>185</v>
      </c>
      <c r="V25" s="12" t="s">
        <v>185</v>
      </c>
      <c r="W25" s="12" t="s">
        <v>185</v>
      </c>
      <c r="X25" s="12" t="s">
        <v>185</v>
      </c>
      <c r="Y25" s="12" t="s">
        <v>185</v>
      </c>
    </row>
    <row r="26" spans="1:25" x14ac:dyDescent="0.2">
      <c r="A26" s="316" t="s">
        <v>374</v>
      </c>
      <c r="B26" s="12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 t="s">
        <v>185</v>
      </c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</row>
    <row r="27" spans="1:25" x14ac:dyDescent="0.2">
      <c r="A27" s="316" t="s">
        <v>444</v>
      </c>
      <c r="B27" s="12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</row>
  </sheetData>
  <pageMargins left="0.75" right="0.75" top="1" bottom="1" header="0.5" footer="0.5"/>
  <pageSetup paperSize="9" orientation="portrait" r:id="rId1"/>
  <headerFooter alignWithMargins="0"/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">
    <tabColor rgb="FF7030A0"/>
  </sheetPr>
  <dimension ref="A1:Q85"/>
  <sheetViews>
    <sheetView workbookViewId="0">
      <pane ySplit="4" topLeftCell="A5" activePane="bottomLeft" state="frozen"/>
      <selection pane="bottomLeft" activeCell="A6" sqref="A6"/>
    </sheetView>
  </sheetViews>
  <sheetFormatPr defaultRowHeight="12.75" x14ac:dyDescent="0.2"/>
  <cols>
    <col min="1" max="1" width="4.85546875" customWidth="1"/>
    <col min="2" max="2" width="25" customWidth="1"/>
    <col min="3" max="3" width="16.28515625" customWidth="1"/>
    <col min="4" max="4" width="16.7109375" customWidth="1"/>
    <col min="5" max="5" width="15" bestFit="1" customWidth="1"/>
    <col min="6" max="6" width="21.85546875" bestFit="1" customWidth="1"/>
    <col min="7" max="7" width="21.85546875" customWidth="1"/>
    <col min="8" max="8" width="7.28515625" customWidth="1"/>
    <col min="9" max="9" width="27" customWidth="1"/>
    <col min="10" max="10" width="15.5703125" customWidth="1"/>
    <col min="11" max="11" width="13" customWidth="1"/>
    <col min="12" max="45" width="9.140625" customWidth="1"/>
  </cols>
  <sheetData>
    <row r="1" spans="1:17" s="96" customFormat="1" x14ac:dyDescent="0.2">
      <c r="A1" s="365"/>
    </row>
    <row r="2" spans="1:17" s="96" customFormat="1" ht="17.25" customHeight="1" x14ac:dyDescent="0.2">
      <c r="B2" s="97" t="s">
        <v>304</v>
      </c>
      <c r="C2" s="98">
        <f ca="1">Var_AfspraakDatum</f>
        <v>42750</v>
      </c>
      <c r="D2" s="99"/>
      <c r="E2" s="97" t="s">
        <v>305</v>
      </c>
      <c r="F2" s="100">
        <f>_Pat_OpnDatum</f>
        <v>1462</v>
      </c>
      <c r="G2" s="97" t="str">
        <f ca="1">"ICU-dag: "&amp;Var_AfspraakDatum-_Pat_OpnDatum+1</f>
        <v>ICU-dag: 41289</v>
      </c>
      <c r="H2" s="97"/>
      <c r="I2" s="153" t="s">
        <v>519</v>
      </c>
      <c r="J2" s="102">
        <f>__1_Bed</f>
        <v>0</v>
      </c>
    </row>
    <row r="3" spans="1:17" s="96" customFormat="1" ht="17.25" customHeight="1" x14ac:dyDescent="0.2">
      <c r="B3" s="97" t="s">
        <v>28</v>
      </c>
      <c r="C3" s="101" t="str">
        <f>__2_AchterNaam&amp;", "&amp;__3_VoorNaam</f>
        <v xml:space="preserve">, </v>
      </c>
      <c r="D3" s="101"/>
      <c r="E3" s="97" t="s">
        <v>312</v>
      </c>
      <c r="F3" s="100">
        <f>__4_GebDatum</f>
        <v>1462</v>
      </c>
      <c r="G3" s="102" t="str">
        <f>"Gewicht: "&amp;_Pat_Gewicht/10&amp;" kg"</f>
        <v>Gewicht: 0 kg</v>
      </c>
      <c r="H3" s="97"/>
      <c r="I3" s="102" t="str">
        <f>"Lengte: "&amp;_Pat_Lengte&amp;" cm"</f>
        <v>Lengte: 0 cm</v>
      </c>
      <c r="J3" s="97"/>
    </row>
    <row r="4" spans="1:17" s="96" customFormat="1" ht="17.25" customHeight="1" x14ac:dyDescent="0.2">
      <c r="A4" s="107"/>
      <c r="B4" s="97" t="s">
        <v>345</v>
      </c>
      <c r="C4" s="102">
        <f>__0_PatNum</f>
        <v>0</v>
      </c>
      <c r="D4" s="99"/>
      <c r="E4" s="97" t="s">
        <v>275</v>
      </c>
      <c r="F4" s="104" t="str">
        <f ca="1">TRUNC((Var_AfspraakDatum-__4_GebDatum)/365,0)&amp;" jaar en "&amp;TRUNC(((Var_AfspraakDatum-__4_GebDatum)-365*TRUNC((Var_AfspraakDatum-__4_GebDatum)/365,0))/30,0)&amp;" maand(-en)"</f>
        <v>113 jaar en 1 maand(-en)</v>
      </c>
      <c r="G4" s="97"/>
      <c r="I4" s="97" t="str">
        <f>"Lichamelijk oppervlak: "&amp;ROUND(POWER(_Pat_Gewicht/10,0.425)*POWER(((_Pat_Lengte/100)*100),0.725)*0.007184,2)&amp;" m2"</f>
        <v>Lichamelijk oppervlak: 0 m2</v>
      </c>
      <c r="J4" s="97"/>
    </row>
    <row r="5" spans="1:17" x14ac:dyDescent="0.2">
      <c r="G5" s="315"/>
      <c r="H5" s="315"/>
    </row>
    <row r="6" spans="1:17" x14ac:dyDescent="0.2">
      <c r="A6" s="356"/>
      <c r="B6" s="1" t="s">
        <v>745</v>
      </c>
      <c r="F6" s="1" t="s">
        <v>683</v>
      </c>
      <c r="G6" s="315"/>
      <c r="H6" s="1"/>
      <c r="I6" s="1" t="s">
        <v>752</v>
      </c>
      <c r="J6" s="315"/>
      <c r="K6" s="315"/>
      <c r="Q6" s="320"/>
    </row>
    <row r="7" spans="1:17" ht="18" customHeight="1" x14ac:dyDescent="0.2">
      <c r="G7" s="315"/>
      <c r="H7" s="315"/>
      <c r="I7" s="315"/>
      <c r="J7" s="315"/>
      <c r="K7" s="315"/>
      <c r="Q7" s="316"/>
    </row>
    <row r="8" spans="1:17" ht="18" customHeight="1" x14ac:dyDescent="0.2">
      <c r="C8" s="380" t="str">
        <f>IF(_Neo_AfsprD_GewichtFrequentie=0,"",_Neo_AfsprD_GewichtFrequentie)</f>
        <v/>
      </c>
      <c r="D8" s="348"/>
      <c r="G8" s="315"/>
      <c r="H8" s="315"/>
      <c r="I8" s="315"/>
      <c r="J8" s="380" t="str">
        <f>IF(_Neo_AfsprD_AantalLampen=0,"0 lamp(en)",CONCATENATE(_Neo_AfsprD_AantalLampen, " lamp(en)"))</f>
        <v>0 lamp(en)</v>
      </c>
      <c r="Q8" s="316"/>
    </row>
    <row r="9" spans="1:17" ht="18" customHeight="1" x14ac:dyDescent="0.2">
      <c r="C9" s="380" t="str">
        <f>IF(_Neo_AfsprD_LengteFrequentie=0,"",_Neo_AfsprD_LengteFrequentie)</f>
        <v/>
      </c>
      <c r="D9" s="348"/>
      <c r="G9" s="315"/>
      <c r="H9" s="315"/>
      <c r="I9" s="315"/>
      <c r="J9" s="315"/>
      <c r="K9" s="315"/>
      <c r="M9" s="315"/>
      <c r="N9" s="315"/>
      <c r="Q9" s="315"/>
    </row>
    <row r="10" spans="1:17" ht="18" customHeight="1" x14ac:dyDescent="0.2">
      <c r="A10" s="315"/>
      <c r="B10" s="315"/>
      <c r="C10" s="380" t="str">
        <f>IF(_Neo_AfsprD_SchedelFrequentie=0,"",_Neo_AfsprD_SchedelFrequentie)</f>
        <v/>
      </c>
      <c r="D10" s="348"/>
      <c r="G10" s="315"/>
      <c r="H10" s="315"/>
      <c r="I10" s="315"/>
      <c r="J10" s="315"/>
      <c r="K10" s="315"/>
      <c r="M10" s="315"/>
      <c r="N10" s="315"/>
      <c r="Q10" s="315"/>
    </row>
    <row r="11" spans="1:17" ht="18" customHeight="1" x14ac:dyDescent="0.2">
      <c r="G11" s="315"/>
      <c r="H11" s="315"/>
      <c r="I11" s="315"/>
      <c r="J11" s="315"/>
      <c r="K11" s="315"/>
      <c r="M11" s="315"/>
      <c r="N11" s="315"/>
    </row>
    <row r="12" spans="1:17" ht="18" customHeight="1" x14ac:dyDescent="0.2">
      <c r="C12" s="339" t="str">
        <f>CONCATENATE(NeoBerAfspr!$B$12," dd")</f>
        <v>0 dd</v>
      </c>
      <c r="D12" s="338"/>
      <c r="G12" s="315"/>
      <c r="H12" s="315"/>
      <c r="I12" s="315"/>
      <c r="J12" s="315"/>
      <c r="K12" s="315"/>
      <c r="M12" s="315"/>
    </row>
    <row r="13" spans="1:17" ht="18" customHeight="1" x14ac:dyDescent="0.2">
      <c r="G13" s="315"/>
      <c r="H13" s="315"/>
      <c r="I13" s="315"/>
      <c r="J13" s="315"/>
      <c r="K13" s="315"/>
      <c r="M13" s="315"/>
    </row>
    <row r="14" spans="1:17" ht="18" customHeight="1" x14ac:dyDescent="0.2">
      <c r="G14" s="315"/>
      <c r="H14" s="315"/>
      <c r="I14" s="315"/>
      <c r="J14" s="315"/>
      <c r="K14" s="315"/>
      <c r="M14" s="316"/>
    </row>
    <row r="15" spans="1:17" ht="18" customHeight="1" x14ac:dyDescent="0.2">
      <c r="G15" s="315"/>
      <c r="H15" s="315"/>
      <c r="I15" s="315"/>
      <c r="J15" s="315"/>
      <c r="K15" s="315"/>
      <c r="M15" s="316"/>
    </row>
    <row r="16" spans="1:17" ht="18" customHeight="1" x14ac:dyDescent="0.2">
      <c r="G16" s="315"/>
      <c r="H16" s="315"/>
      <c r="I16" s="315"/>
      <c r="J16" s="315"/>
      <c r="K16" s="315"/>
      <c r="M16" s="315"/>
    </row>
    <row r="17" spans="1:14" ht="18" customHeight="1" x14ac:dyDescent="0.2">
      <c r="G17" s="315"/>
      <c r="H17" s="315"/>
      <c r="I17" s="315"/>
      <c r="J17" s="339" t="str">
        <f>CONCATENATE(NeoBerAfspr!$K$17," dd")</f>
        <v>0 dd</v>
      </c>
      <c r="K17" s="339" t="str">
        <f>CONCATENATE(NeoBerAfspr!$L$17," ml")</f>
        <v>0 ml</v>
      </c>
      <c r="M17" s="316"/>
      <c r="N17" s="315"/>
    </row>
    <row r="18" spans="1:14" ht="18" customHeight="1" x14ac:dyDescent="0.2">
      <c r="G18" s="315"/>
      <c r="H18" s="315"/>
      <c r="I18" s="315"/>
      <c r="J18" s="338"/>
      <c r="K18" s="338"/>
      <c r="M18" s="316"/>
      <c r="N18" s="315"/>
    </row>
    <row r="19" spans="1:14" ht="18" customHeight="1" x14ac:dyDescent="0.2">
      <c r="G19" s="315"/>
      <c r="H19" s="315"/>
      <c r="I19" s="315"/>
      <c r="J19" s="339" t="str">
        <f>CONCATENATE("à ",_Neo_AfsprD_VerliezenFrequentie," uur")</f>
        <v>à 0 uur</v>
      </c>
      <c r="K19" s="315"/>
      <c r="M19" s="316"/>
      <c r="N19" s="316"/>
    </row>
    <row r="20" spans="1:14" ht="18" customHeight="1" x14ac:dyDescent="0.2">
      <c r="G20" s="315"/>
      <c r="H20" s="315"/>
      <c r="I20" s="315"/>
      <c r="J20" s="315"/>
      <c r="K20" s="315"/>
      <c r="M20" s="316"/>
      <c r="N20" s="315"/>
    </row>
    <row r="21" spans="1:14" ht="18" customHeight="1" x14ac:dyDescent="0.2">
      <c r="B21" s="1" t="s">
        <v>751</v>
      </c>
      <c r="G21" s="315"/>
      <c r="H21" s="315"/>
      <c r="I21" s="315"/>
      <c r="J21" s="315"/>
      <c r="K21" s="315"/>
      <c r="M21" s="315"/>
      <c r="N21" s="316"/>
    </row>
    <row r="22" spans="1:14" ht="18" customHeight="1" x14ac:dyDescent="0.2">
      <c r="G22" s="315"/>
      <c r="H22" s="315"/>
      <c r="I22" s="315"/>
      <c r="J22" s="315"/>
      <c r="K22" s="315"/>
      <c r="M22" s="316"/>
      <c r="N22" s="316"/>
    </row>
    <row r="23" spans="1:14" ht="18" customHeight="1" x14ac:dyDescent="0.2">
      <c r="G23" s="315"/>
      <c r="H23" s="315"/>
      <c r="I23" s="315"/>
      <c r="J23" s="315"/>
      <c r="K23" s="315"/>
      <c r="M23" s="315"/>
      <c r="N23" s="315"/>
    </row>
    <row r="24" spans="1:14" ht="18" customHeight="1" x14ac:dyDescent="0.2">
      <c r="G24" s="315"/>
      <c r="H24" s="315"/>
      <c r="I24" s="315"/>
      <c r="J24" s="315"/>
      <c r="K24" s="315"/>
      <c r="M24" s="316"/>
      <c r="N24" s="316"/>
    </row>
    <row r="25" spans="1:14" ht="18" customHeight="1" x14ac:dyDescent="0.2">
      <c r="G25" s="315"/>
      <c r="H25" s="315"/>
      <c r="I25" s="315"/>
      <c r="J25" s="315"/>
      <c r="K25" s="315"/>
      <c r="M25" s="316"/>
      <c r="N25" s="316"/>
    </row>
    <row r="26" spans="1:14" ht="18" customHeight="1" x14ac:dyDescent="0.2">
      <c r="G26" s="315"/>
      <c r="H26" s="315"/>
      <c r="I26" s="315"/>
      <c r="J26" s="315"/>
      <c r="K26" s="315"/>
      <c r="M26" s="320"/>
      <c r="N26" s="316"/>
    </row>
    <row r="27" spans="1:14" ht="18" customHeight="1" x14ac:dyDescent="0.2">
      <c r="C27" s="316" t="s">
        <v>758</v>
      </c>
      <c r="D27" s="339" t="str">
        <f>CONCATENATE(NeoBerAfspr!C27," uur")</f>
        <v>12:00 uur</v>
      </c>
      <c r="G27" s="315"/>
      <c r="H27" s="315"/>
      <c r="I27" s="315"/>
      <c r="J27" s="315"/>
      <c r="K27" s="315"/>
      <c r="M27" s="316"/>
      <c r="N27" s="316"/>
    </row>
    <row r="28" spans="1:14" ht="18" customHeight="1" x14ac:dyDescent="0.2">
      <c r="G28" s="315"/>
      <c r="H28" s="315"/>
      <c r="I28" s="315"/>
      <c r="J28" s="315"/>
      <c r="K28" s="315"/>
      <c r="M28" s="316"/>
    </row>
    <row r="29" spans="1:14" ht="18" customHeight="1" x14ac:dyDescent="0.2">
      <c r="A29" s="315"/>
      <c r="B29" s="315"/>
      <c r="C29" s="315"/>
      <c r="D29" s="315"/>
      <c r="G29" s="315"/>
      <c r="H29" s="315"/>
      <c r="I29" s="315"/>
      <c r="J29" s="315"/>
      <c r="K29" s="315"/>
      <c r="M29" s="316"/>
    </row>
    <row r="30" spans="1:14" ht="18" customHeight="1" x14ac:dyDescent="0.2">
      <c r="A30" s="315"/>
      <c r="B30" s="315"/>
      <c r="C30" s="315"/>
      <c r="D30" s="315"/>
      <c r="G30" s="315"/>
      <c r="H30" s="315"/>
      <c r="I30" s="315"/>
      <c r="J30" s="315"/>
      <c r="K30" s="315"/>
      <c r="M30" s="315"/>
    </row>
    <row r="31" spans="1:14" ht="18" customHeight="1" x14ac:dyDescent="0.2">
      <c r="B31" s="315"/>
      <c r="C31" s="315"/>
      <c r="D31" s="315"/>
      <c r="G31" s="953" t="b">
        <f>IF(_Neo_AfsprB_WondkweekTekst=0,"",_Neo_AfsprB_WondkweekTekst)</f>
        <v>0</v>
      </c>
      <c r="H31" s="953"/>
      <c r="L31" s="315"/>
      <c r="M31" s="315"/>
    </row>
    <row r="32" spans="1:14" ht="18" customHeight="1" x14ac:dyDescent="0.2">
      <c r="G32" s="953"/>
      <c r="H32" s="953"/>
      <c r="L32" s="315"/>
      <c r="M32" s="315"/>
    </row>
    <row r="33" spans="1:13" s="315" customFormat="1" ht="18" customHeight="1" x14ac:dyDescent="0.2">
      <c r="A33"/>
      <c r="B33"/>
      <c r="C33"/>
      <c r="D33"/>
      <c r="E33"/>
      <c r="G33" s="953"/>
      <c r="H33" s="953"/>
      <c r="L33"/>
    </row>
    <row r="34" spans="1:13" s="315" customFormat="1" ht="18" customHeight="1" x14ac:dyDescent="0.2">
      <c r="A34"/>
      <c r="B34" s="1" t="s">
        <v>989</v>
      </c>
      <c r="C34"/>
      <c r="D34"/>
      <c r="E34"/>
      <c r="L34"/>
    </row>
    <row r="35" spans="1:13" ht="18" customHeight="1" x14ac:dyDescent="0.2">
      <c r="L35" s="315"/>
      <c r="M35" s="316"/>
    </row>
    <row r="36" spans="1:13" ht="18" customHeight="1" x14ac:dyDescent="0.2">
      <c r="E36" s="315"/>
      <c r="I36" s="315"/>
      <c r="J36" s="315"/>
      <c r="K36" s="315"/>
      <c r="L36" s="315"/>
      <c r="M36" s="316"/>
    </row>
    <row r="37" spans="1:13" s="315" customFormat="1" ht="18" customHeight="1" x14ac:dyDescent="0.2">
      <c r="L37"/>
      <c r="M37" s="316"/>
    </row>
    <row r="38" spans="1:13" s="315" customFormat="1" ht="18" customHeight="1" x14ac:dyDescent="0.2">
      <c r="B38" s="316"/>
      <c r="C38" s="316"/>
      <c r="M38" s="316"/>
    </row>
    <row r="39" spans="1:13" ht="18" customHeight="1" x14ac:dyDescent="0.2">
      <c r="A39" s="315"/>
      <c r="B39" s="316"/>
      <c r="C39" s="316"/>
      <c r="D39" s="315"/>
      <c r="E39" s="315"/>
      <c r="L39" s="315"/>
      <c r="M39" s="316"/>
    </row>
    <row r="40" spans="1:13" s="315" customFormat="1" ht="18" customHeight="1" x14ac:dyDescent="0.2">
      <c r="B40" s="316"/>
      <c r="C40" s="316"/>
      <c r="D40"/>
      <c r="E40"/>
      <c r="I40"/>
      <c r="J40"/>
      <c r="K40"/>
      <c r="M40" s="316"/>
    </row>
    <row r="41" spans="1:13" s="315" customFormat="1" ht="18" customHeight="1" x14ac:dyDescent="0.2">
      <c r="B41" s="316"/>
      <c r="C41" s="316"/>
      <c r="D41" s="381">
        <f>NeoBerAfspr!D47</f>
        <v>0</v>
      </c>
      <c r="E41" s="315" t="s">
        <v>991</v>
      </c>
      <c r="I41"/>
      <c r="J41"/>
      <c r="K41"/>
      <c r="L41"/>
      <c r="M41" s="316"/>
    </row>
    <row r="42" spans="1:13" s="315" customFormat="1" ht="18" customHeight="1" x14ac:dyDescent="0.2">
      <c r="B42" s="316"/>
      <c r="I42"/>
      <c r="J42"/>
      <c r="K42"/>
      <c r="L42"/>
      <c r="M42" s="316"/>
    </row>
    <row r="43" spans="1:13" ht="18" customHeight="1" x14ac:dyDescent="0.2">
      <c r="A43" s="315"/>
      <c r="B43" s="316"/>
      <c r="C43" s="315"/>
      <c r="D43" s="315"/>
      <c r="E43" s="315"/>
      <c r="M43" s="316"/>
    </row>
    <row r="44" spans="1:13" ht="18" customHeight="1" x14ac:dyDescent="0.2">
      <c r="B44" s="1" t="s">
        <v>716</v>
      </c>
      <c r="M44" s="316"/>
    </row>
    <row r="45" spans="1:13" ht="18" customHeight="1" x14ac:dyDescent="0.2">
      <c r="B45" s="316" t="s">
        <v>745</v>
      </c>
      <c r="C45" s="315" t="str">
        <f>IFERROR(LEFT(Var_Neo_AfsprControles,LEN(Var_Neo_AfsprControles)-3),"")</f>
        <v/>
      </c>
      <c r="M45" s="316"/>
    </row>
    <row r="46" spans="1:13" ht="18" customHeight="1" x14ac:dyDescent="0.2">
      <c r="B46" s="316" t="s">
        <v>751</v>
      </c>
      <c r="C46" s="315" t="str">
        <f>IFERROR(LEFT(Var_Neo_AfsprOnderzoek,LEN(Var_Neo_AfsprOnderzoek)-3),"")</f>
        <v/>
      </c>
      <c r="M46" s="316"/>
    </row>
    <row r="47" spans="1:13" ht="18" customHeight="1" x14ac:dyDescent="0.2">
      <c r="B47" s="316" t="s">
        <v>989</v>
      </c>
      <c r="C47" s="315" t="str">
        <f>IFERROR(LEFT(Var_Neo_AfsprInstellingen,LEN(Var_Neo_AfsprInstellingen)-3),"")</f>
        <v/>
      </c>
      <c r="M47" s="316"/>
    </row>
    <row r="48" spans="1:13" ht="18" customHeight="1" x14ac:dyDescent="0.2">
      <c r="B48" s="316" t="s">
        <v>683</v>
      </c>
      <c r="C48" t="str">
        <f>IFERROR(LEFT(Var_Neo_AfsprKweken,LEN(Var_Neo_AfsprKweken)-3),"")</f>
        <v/>
      </c>
      <c r="M48" s="316"/>
    </row>
    <row r="49" spans="2:13" ht="18" customHeight="1" x14ac:dyDescent="0.2">
      <c r="B49" s="316" t="s">
        <v>729</v>
      </c>
      <c r="C49" s="315" t="str">
        <f>IFERROR(LEFT(Var_Neo_AfsprOverig,LEN(Var_Neo_AfsprOverig)-3),"")</f>
        <v/>
      </c>
      <c r="M49" s="316"/>
    </row>
    <row r="50" spans="2:13" ht="18" customHeight="1" x14ac:dyDescent="0.2">
      <c r="M50" s="315"/>
    </row>
    <row r="51" spans="2:13" ht="18" customHeight="1" x14ac:dyDescent="0.2">
      <c r="M51" s="316"/>
    </row>
    <row r="52" spans="2:13" ht="18" customHeight="1" x14ac:dyDescent="0.2">
      <c r="M52" s="316"/>
    </row>
    <row r="53" spans="2:13" ht="18" customHeight="1" x14ac:dyDescent="0.2">
      <c r="M53" s="316"/>
    </row>
    <row r="54" spans="2:13" ht="18" customHeight="1" x14ac:dyDescent="0.2">
      <c r="M54" s="316"/>
    </row>
    <row r="55" spans="2:13" ht="18" customHeight="1" x14ac:dyDescent="0.2">
      <c r="M55" s="316"/>
    </row>
    <row r="56" spans="2:13" ht="18" customHeight="1" x14ac:dyDescent="0.2">
      <c r="M56" s="315"/>
    </row>
    <row r="57" spans="2:13" ht="18" customHeight="1" x14ac:dyDescent="0.2">
      <c r="M57" s="315"/>
    </row>
    <row r="58" spans="2:13" ht="18" customHeight="1" x14ac:dyDescent="0.2">
      <c r="M58" s="322"/>
    </row>
    <row r="59" spans="2:13" ht="18" customHeight="1" x14ac:dyDescent="0.2"/>
    <row r="60" spans="2:13" ht="18" customHeight="1" x14ac:dyDescent="0.2"/>
    <row r="61" spans="2:13" ht="18" customHeight="1" x14ac:dyDescent="0.2"/>
    <row r="62" spans="2:13" ht="18" customHeight="1" x14ac:dyDescent="0.2"/>
    <row r="63" spans="2:13" ht="18" customHeight="1" x14ac:dyDescent="0.2"/>
    <row r="64" spans="2:13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  <row r="75" ht="18" customHeight="1" x14ac:dyDescent="0.2"/>
    <row r="76" ht="18" customHeight="1" x14ac:dyDescent="0.2"/>
    <row r="77" ht="18" customHeight="1" x14ac:dyDescent="0.2"/>
    <row r="78" ht="18" customHeight="1" x14ac:dyDescent="0.2"/>
    <row r="79" ht="18" customHeight="1" x14ac:dyDescent="0.2"/>
    <row r="80" ht="18" customHeight="1" x14ac:dyDescent="0.2"/>
    <row r="81" ht="18" customHeight="1" x14ac:dyDescent="0.2"/>
    <row r="82" ht="18" customHeight="1" x14ac:dyDescent="0.2"/>
    <row r="83" ht="18" customHeight="1" x14ac:dyDescent="0.2"/>
    <row r="84" ht="18" customHeight="1" x14ac:dyDescent="0.2"/>
    <row r="85" ht="18" customHeight="1" x14ac:dyDescent="0.2"/>
  </sheetData>
  <sortState ref="Q6:R78">
    <sortCondition ref="Q6"/>
  </sortState>
  <mergeCells count="1">
    <mergeCell ref="G31:H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Spinner 1">
              <controlPr defaultSize="0" autoPict="0">
                <anchor moveWithCells="1" sizeWithCells="1">
                  <from>
                    <xdr:col>9</xdr:col>
                    <xdr:colOff>409575</xdr:colOff>
                    <xdr:row>2</xdr:row>
                    <xdr:rowOff>0</xdr:rowOff>
                  </from>
                  <to>
                    <xdr:col>9</xdr:col>
                    <xdr:colOff>590550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1" r:id="rId5" name="Check Box 5">
              <controlPr defaultSize="0" autoFill="0" autoLine="0" autoPict="0">
                <anchor moveWithCells="1">
                  <from>
                    <xdr:col>5</xdr:col>
                    <xdr:colOff>9525</xdr:colOff>
                    <xdr:row>6</xdr:row>
                    <xdr:rowOff>19050</xdr:rowOff>
                  </from>
                  <to>
                    <xdr:col>5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6" name="Check Box 24">
              <controlPr defaultSize="0" autoFill="0" autoLine="0" autoPict="0">
                <anchor moveWithCells="1">
                  <from>
                    <xdr:col>5</xdr:col>
                    <xdr:colOff>0</xdr:colOff>
                    <xdr:row>7</xdr:row>
                    <xdr:rowOff>19050</xdr:rowOff>
                  </from>
                  <to>
                    <xdr:col>5</xdr:col>
                    <xdr:colOff>1219200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7" name="Check Box 29">
              <controlPr defaultSize="0" autoFill="0" autoLine="0" autoPict="0">
                <anchor moveWithCells="1">
                  <from>
                    <xdr:col>5</xdr:col>
                    <xdr:colOff>9525</xdr:colOff>
                    <xdr:row>12</xdr:row>
                    <xdr:rowOff>19050</xdr:rowOff>
                  </from>
                  <to>
                    <xdr:col>5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8" name="Check Box 30">
              <controlPr defaultSize="0" autoFill="0" autoLine="0" autoPict="0">
                <anchor moveWithCells="1">
                  <from>
                    <xdr:col>5</xdr:col>
                    <xdr:colOff>9525</xdr:colOff>
                    <xdr:row>13</xdr:row>
                    <xdr:rowOff>19050</xdr:rowOff>
                  </from>
                  <to>
                    <xdr:col>5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9" name="Check Box 31">
              <controlPr defaultSize="0" autoFill="0" autoLine="0" autoPict="0">
                <anchor moveWithCells="1">
                  <from>
                    <xdr:col>5</xdr:col>
                    <xdr:colOff>9525</xdr:colOff>
                    <xdr:row>14</xdr:row>
                    <xdr:rowOff>19050</xdr:rowOff>
                  </from>
                  <to>
                    <xdr:col>5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10" name="Check Box 33">
              <controlPr defaultSize="0" autoFill="0" autoLine="0" autoPict="0">
                <anchor moveWithCells="1">
                  <from>
                    <xdr:col>5</xdr:col>
                    <xdr:colOff>9525</xdr:colOff>
                    <xdr:row>16</xdr:row>
                    <xdr:rowOff>19050</xdr:rowOff>
                  </from>
                  <to>
                    <xdr:col>5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11" name="Check Box 34">
              <controlPr defaultSize="0" autoFill="0" autoLine="0" autoPict="0">
                <anchor moveWithCells="1">
                  <from>
                    <xdr:col>5</xdr:col>
                    <xdr:colOff>9525</xdr:colOff>
                    <xdr:row>17</xdr:row>
                    <xdr:rowOff>19050</xdr:rowOff>
                  </from>
                  <to>
                    <xdr:col>5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12" name="Check Box 37">
              <controlPr defaultSize="0" autoFill="0" autoLine="0" autoPict="0">
                <anchor moveWithCells="1">
                  <from>
                    <xdr:col>5</xdr:col>
                    <xdr:colOff>9525</xdr:colOff>
                    <xdr:row>20</xdr:row>
                    <xdr:rowOff>19050</xdr:rowOff>
                  </from>
                  <to>
                    <xdr:col>5</xdr:col>
                    <xdr:colOff>1228725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13" name="Check Box 38">
              <controlPr defaultSize="0" autoFill="0" autoLine="0" autoPict="0">
                <anchor moveWithCells="1">
                  <from>
                    <xdr:col>5</xdr:col>
                    <xdr:colOff>9525</xdr:colOff>
                    <xdr:row>21</xdr:row>
                    <xdr:rowOff>19050</xdr:rowOff>
                  </from>
                  <to>
                    <xdr:col>5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14" name="Check Box 41">
              <controlPr defaultSize="0" autoFill="0" autoLine="0" autoPict="0">
                <anchor moveWithCells="1">
                  <from>
                    <xdr:col>6</xdr:col>
                    <xdr:colOff>9525</xdr:colOff>
                    <xdr:row>8</xdr:row>
                    <xdr:rowOff>19050</xdr:rowOff>
                  </from>
                  <to>
                    <xdr:col>6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15" name="Check Box 43">
              <controlPr defaultSize="0" autoFill="0" autoLine="0" autoPict="0">
                <anchor moveWithCells="1">
                  <from>
                    <xdr:col>6</xdr:col>
                    <xdr:colOff>9525</xdr:colOff>
                    <xdr:row>9</xdr:row>
                    <xdr:rowOff>19050</xdr:rowOff>
                  </from>
                  <to>
                    <xdr:col>6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16" name="Check Box 44">
              <controlPr defaultSize="0" autoFill="0" autoLine="0" autoPict="0">
                <anchor moveWithCells="1">
                  <from>
                    <xdr:col>6</xdr:col>
                    <xdr:colOff>9525</xdr:colOff>
                    <xdr:row>10</xdr:row>
                    <xdr:rowOff>19050</xdr:rowOff>
                  </from>
                  <to>
                    <xdr:col>6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17" name="Check Box 47">
              <controlPr defaultSize="0" autoFill="0" autoLine="0" autoPict="0">
                <anchor moveWithCells="1">
                  <from>
                    <xdr:col>6</xdr:col>
                    <xdr:colOff>9525</xdr:colOff>
                    <xdr:row>7</xdr:row>
                    <xdr:rowOff>19050</xdr:rowOff>
                  </from>
                  <to>
                    <xdr:col>6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18" name="Check Box 48">
              <controlPr defaultSize="0" autoFill="0" autoLine="0" autoPict="0">
                <anchor moveWithCells="1">
                  <from>
                    <xdr:col>5</xdr:col>
                    <xdr:colOff>9525</xdr:colOff>
                    <xdr:row>11</xdr:row>
                    <xdr:rowOff>19050</xdr:rowOff>
                  </from>
                  <to>
                    <xdr:col>5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19" name="Check Box 49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20" name="Check Box 50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21" name="Check Box 52">
              <controlPr defaultSize="0" autoFill="0" autoLine="0" autoPict="0">
                <anchor moveWithCells="1">
                  <from>
                    <xdr:col>6</xdr:col>
                    <xdr:colOff>9525</xdr:colOff>
                    <xdr:row>15</xdr:row>
                    <xdr:rowOff>19050</xdr:rowOff>
                  </from>
                  <to>
                    <xdr:col>6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22" name="Check Box 53">
              <controlPr defaultSize="0" autoFill="0" autoLine="0" autoPict="0">
                <anchor moveWithCells="1">
                  <from>
                    <xdr:col>6</xdr:col>
                    <xdr:colOff>9525</xdr:colOff>
                    <xdr:row>17</xdr:row>
                    <xdr:rowOff>19050</xdr:rowOff>
                  </from>
                  <to>
                    <xdr:col>6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23" name="Check Box 54">
              <controlPr defaultSize="0" autoFill="0" autoLine="0" autoPict="0">
                <anchor moveWithCells="1">
                  <from>
                    <xdr:col>6</xdr:col>
                    <xdr:colOff>9525</xdr:colOff>
                    <xdr:row>19</xdr:row>
                    <xdr:rowOff>19050</xdr:rowOff>
                  </from>
                  <to>
                    <xdr:col>6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24" name="Check Box 55">
              <controlPr defaultSize="0" autoFill="0" autoLine="0" autoPict="0">
                <anchor moveWithCells="1">
                  <from>
                    <xdr:col>6</xdr:col>
                    <xdr:colOff>9525</xdr:colOff>
                    <xdr:row>18</xdr:row>
                    <xdr:rowOff>19050</xdr:rowOff>
                  </from>
                  <to>
                    <xdr:col>6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25" name="Check Box 58">
              <controlPr defaultSize="0" autoFill="0" autoLine="0" autoPict="0">
                <anchor moveWithCells="1">
                  <from>
                    <xdr:col>6</xdr:col>
                    <xdr:colOff>9525</xdr:colOff>
                    <xdr:row>21</xdr:row>
                    <xdr:rowOff>19050</xdr:rowOff>
                  </from>
                  <to>
                    <xdr:col>6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26" name="Check Box 61">
              <controlPr defaultSize="0" autoFill="0" autoLine="0" autoPict="0">
                <anchor moveWithCells="1">
                  <from>
                    <xdr:col>5</xdr:col>
                    <xdr:colOff>9525</xdr:colOff>
                    <xdr:row>22</xdr:row>
                    <xdr:rowOff>19050</xdr:rowOff>
                  </from>
                  <to>
                    <xdr:col>5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27" name="Check Box 62">
              <controlPr defaultSize="0" autoFill="0" autoLine="0" autoPict="0">
                <anchor moveWithCells="1">
                  <from>
                    <xdr:col>6</xdr:col>
                    <xdr:colOff>9525</xdr:colOff>
                    <xdr:row>22</xdr:row>
                    <xdr:rowOff>19050</xdr:rowOff>
                  </from>
                  <to>
                    <xdr:col>6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28" name="Check Box 63">
              <controlPr defaultSize="0" autoFill="0" autoLine="0" autoPict="0">
                <anchor moveWithCells="1">
                  <from>
                    <xdr:col>6</xdr:col>
                    <xdr:colOff>9525</xdr:colOff>
                    <xdr:row>23</xdr:row>
                    <xdr:rowOff>19050</xdr:rowOff>
                  </from>
                  <to>
                    <xdr:col>6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29" name="Check Box 64">
              <controlPr defaultSize="0" autoFill="0" autoLine="0" autoPict="0">
                <anchor moveWithCells="1">
                  <from>
                    <xdr:col>6</xdr:col>
                    <xdr:colOff>9525</xdr:colOff>
                    <xdr:row>24</xdr:row>
                    <xdr:rowOff>19050</xdr:rowOff>
                  </from>
                  <to>
                    <xdr:col>6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30" name="Check Box 65">
              <controlPr defaultSize="0" autoFill="0" autoLine="0" autoPict="0">
                <anchor moveWithCells="1">
                  <from>
                    <xdr:col>6</xdr:col>
                    <xdr:colOff>9525</xdr:colOff>
                    <xdr:row>25</xdr:row>
                    <xdr:rowOff>19050</xdr:rowOff>
                  </from>
                  <to>
                    <xdr:col>6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31" name="Check Box 66">
              <controlPr defaultSize="0" autoFill="0" autoLine="0" autoPict="0">
                <anchor moveWithCells="1">
                  <from>
                    <xdr:col>6</xdr:col>
                    <xdr:colOff>9525</xdr:colOff>
                    <xdr:row>26</xdr:row>
                    <xdr:rowOff>19050</xdr:rowOff>
                  </from>
                  <to>
                    <xdr:col>6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32" name="Check Box 67">
              <controlPr defaultSize="0" autoFill="0" autoLine="0" autoPict="0">
                <anchor moveWithCells="1">
                  <from>
                    <xdr:col>6</xdr:col>
                    <xdr:colOff>9525</xdr:colOff>
                    <xdr:row>27</xdr:row>
                    <xdr:rowOff>19050</xdr:rowOff>
                  </from>
                  <to>
                    <xdr:col>6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33" name="Check Box 68">
              <controlPr defaultSize="0" autoFill="0" autoLine="0" autoPict="0">
                <anchor moveWithCells="1">
                  <from>
                    <xdr:col>6</xdr:col>
                    <xdr:colOff>9525</xdr:colOff>
                    <xdr:row>28</xdr:row>
                    <xdr:rowOff>19050</xdr:rowOff>
                  </from>
                  <to>
                    <xdr:col>6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34" name="Check Box 69">
              <controlPr defaultSize="0" autoFill="0" autoLine="0" autoPict="0">
                <anchor moveWithCells="1">
                  <from>
                    <xdr:col>6</xdr:col>
                    <xdr:colOff>9525</xdr:colOff>
                    <xdr:row>29</xdr:row>
                    <xdr:rowOff>19050</xdr:rowOff>
                  </from>
                  <to>
                    <xdr:col>6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35" name="Check Box 112">
              <controlPr defaultSize="0" autoFill="0" autoLine="0" autoPict="0">
                <anchor moveWithCells="1">
                  <from>
                    <xdr:col>5</xdr:col>
                    <xdr:colOff>9525</xdr:colOff>
                    <xdr:row>30</xdr:row>
                    <xdr:rowOff>19050</xdr:rowOff>
                  </from>
                  <to>
                    <xdr:col>5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3" r:id="rId36" name="Check Box 1141">
              <controlPr defaultSize="0" autoFill="0" autoLine="0" autoPict="0">
                <anchor moveWithCells="1">
                  <from>
                    <xdr:col>8</xdr:col>
                    <xdr:colOff>9525</xdr:colOff>
                    <xdr:row>6</xdr:row>
                    <xdr:rowOff>19050</xdr:rowOff>
                  </from>
                  <to>
                    <xdr:col>8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4" r:id="rId37" name="Check Box 1142">
              <controlPr defaultSize="0" autoFill="0" autoLine="0" autoPict="0">
                <anchor moveWithCells="1">
                  <from>
                    <xdr:col>8</xdr:col>
                    <xdr:colOff>9525</xdr:colOff>
                    <xdr:row>8</xdr:row>
                    <xdr:rowOff>47625</xdr:rowOff>
                  </from>
                  <to>
                    <xdr:col>8</xdr:col>
                    <xdr:colOff>1752600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5" r:id="rId38" name="Check Box 1143">
              <controlPr defaultSize="0" autoFill="0" autoLine="0" autoPict="0">
                <anchor moveWithCells="1">
                  <from>
                    <xdr:col>8</xdr:col>
                    <xdr:colOff>9525</xdr:colOff>
                    <xdr:row>9</xdr:row>
                    <xdr:rowOff>19050</xdr:rowOff>
                  </from>
                  <to>
                    <xdr:col>8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6" r:id="rId39" name="Check Box 1144">
              <controlPr defaultSize="0" autoFill="0" autoLine="0" autoPict="0">
                <anchor moveWithCells="1">
                  <from>
                    <xdr:col>8</xdr:col>
                    <xdr:colOff>9525</xdr:colOff>
                    <xdr:row>10</xdr:row>
                    <xdr:rowOff>19050</xdr:rowOff>
                  </from>
                  <to>
                    <xdr:col>8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8" r:id="rId40" name="Check Box 1146">
              <controlPr defaultSize="0" autoFill="0" autoLine="0" autoPict="0">
                <anchor moveWithCells="1">
                  <from>
                    <xdr:col>8</xdr:col>
                    <xdr:colOff>9525</xdr:colOff>
                    <xdr:row>11</xdr:row>
                    <xdr:rowOff>19050</xdr:rowOff>
                  </from>
                  <to>
                    <xdr:col>8</xdr:col>
                    <xdr:colOff>1409700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9" r:id="rId41" name="Check Box 1147">
              <controlPr defaultSize="0" autoFill="0" autoLine="0" autoPict="0">
                <anchor moveWithCells="1">
                  <from>
                    <xdr:col>8</xdr:col>
                    <xdr:colOff>9525</xdr:colOff>
                    <xdr:row>12</xdr:row>
                    <xdr:rowOff>19050</xdr:rowOff>
                  </from>
                  <to>
                    <xdr:col>8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0" r:id="rId42" name="Check Box 1148">
              <controlPr defaultSize="0" autoFill="0" autoLine="0" autoPict="0">
                <anchor moveWithCells="1">
                  <from>
                    <xdr:col>8</xdr:col>
                    <xdr:colOff>9525</xdr:colOff>
                    <xdr:row>13</xdr:row>
                    <xdr:rowOff>19050</xdr:rowOff>
                  </from>
                  <to>
                    <xdr:col>8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1" r:id="rId43" name="Check Box 1149">
              <controlPr defaultSize="0" autoFill="0" autoLine="0" autoPict="0">
                <anchor moveWithCells="1">
                  <from>
                    <xdr:col>8</xdr:col>
                    <xdr:colOff>9525</xdr:colOff>
                    <xdr:row>14</xdr:row>
                    <xdr:rowOff>19050</xdr:rowOff>
                  </from>
                  <to>
                    <xdr:col>8</xdr:col>
                    <xdr:colOff>1666875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2" r:id="rId44" name="Check Box 1150">
              <controlPr defaultSize="0" autoFill="0" autoLine="0" autoPict="0">
                <anchor moveWithCells="1">
                  <from>
                    <xdr:col>8</xdr:col>
                    <xdr:colOff>9525</xdr:colOff>
                    <xdr:row>15</xdr:row>
                    <xdr:rowOff>19050</xdr:rowOff>
                  </from>
                  <to>
                    <xdr:col>8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5" r:id="rId45" name="Check Box 1153">
              <controlPr defaultSize="0" autoFill="0" autoLine="0" autoPict="0">
                <anchor moveWithCells="1">
                  <from>
                    <xdr:col>8</xdr:col>
                    <xdr:colOff>9525</xdr:colOff>
                    <xdr:row>17</xdr:row>
                    <xdr:rowOff>19050</xdr:rowOff>
                  </from>
                  <to>
                    <xdr:col>8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7" r:id="rId46" name="Check Box 1155">
              <controlPr defaultSize="0" autoFill="0" autoLine="0" autoPict="0">
                <anchor moveWithCells="1">
                  <from>
                    <xdr:col>8</xdr:col>
                    <xdr:colOff>9525</xdr:colOff>
                    <xdr:row>16</xdr:row>
                    <xdr:rowOff>19050</xdr:rowOff>
                  </from>
                  <to>
                    <xdr:col>8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8" r:id="rId47" name="Check Box 1156">
              <controlPr defaultSize="0" autoFill="0" autoLine="0" autoPict="0">
                <anchor moveWithCells="1">
                  <from>
                    <xdr:col>8</xdr:col>
                    <xdr:colOff>9525</xdr:colOff>
                    <xdr:row>22</xdr:row>
                    <xdr:rowOff>19050</xdr:rowOff>
                  </from>
                  <to>
                    <xdr:col>8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9" r:id="rId48" name="Check Box 1157">
              <controlPr defaultSize="0" autoFill="0" autoLine="0" autoPict="0">
                <anchor moveWithCells="1">
                  <from>
                    <xdr:col>9</xdr:col>
                    <xdr:colOff>9525</xdr:colOff>
                    <xdr:row>22</xdr:row>
                    <xdr:rowOff>19050</xdr:rowOff>
                  </from>
                  <to>
                    <xdr:col>9</xdr:col>
                    <xdr:colOff>923925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0" r:id="rId49" name="Check Box 1158">
              <controlPr defaultSize="0" autoFill="0" autoLine="0" autoPict="0">
                <anchor moveWithCells="1">
                  <from>
                    <xdr:col>9</xdr:col>
                    <xdr:colOff>9525</xdr:colOff>
                    <xdr:row>23</xdr:row>
                    <xdr:rowOff>19050</xdr:rowOff>
                  </from>
                  <to>
                    <xdr:col>9</xdr:col>
                    <xdr:colOff>923925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1" r:id="rId50" name="Check Box 1159">
              <controlPr defaultSize="0" autoFill="0" autoLine="0" autoPict="0">
                <anchor moveWithCells="1">
                  <from>
                    <xdr:col>9</xdr:col>
                    <xdr:colOff>9525</xdr:colOff>
                    <xdr:row>24</xdr:row>
                    <xdr:rowOff>19050</xdr:rowOff>
                  </from>
                  <to>
                    <xdr:col>9</xdr:col>
                    <xdr:colOff>923925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2" r:id="rId51" name="Check Box 1160">
              <controlPr defaultSize="0" autoFill="0" autoLine="0" autoPict="0">
                <anchor moveWithCells="1">
                  <from>
                    <xdr:col>9</xdr:col>
                    <xdr:colOff>9525</xdr:colOff>
                    <xdr:row>25</xdr:row>
                    <xdr:rowOff>19050</xdr:rowOff>
                  </from>
                  <to>
                    <xdr:col>9</xdr:col>
                    <xdr:colOff>923925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3" r:id="rId52" name="Check Box 1161">
              <controlPr defaultSize="0" autoFill="0" autoLine="0" autoPict="0">
                <anchor moveWithCells="1">
                  <from>
                    <xdr:col>8</xdr:col>
                    <xdr:colOff>9525</xdr:colOff>
                    <xdr:row>18</xdr:row>
                    <xdr:rowOff>19050</xdr:rowOff>
                  </from>
                  <to>
                    <xdr:col>8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5" r:id="rId53" name="Check Box 1163">
              <controlPr defaultSize="0" autoFill="0" autoLine="0" autoPict="0">
                <anchor moveWithCells="1">
                  <from>
                    <xdr:col>9</xdr:col>
                    <xdr:colOff>9525</xdr:colOff>
                    <xdr:row>19</xdr:row>
                    <xdr:rowOff>19050</xdr:rowOff>
                  </from>
                  <to>
                    <xdr:col>9</xdr:col>
                    <xdr:colOff>923925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6" r:id="rId54" name="Check Box 1164">
              <controlPr defaultSize="0" autoFill="0" autoLine="0" autoPict="0">
                <anchor moveWithCells="1">
                  <from>
                    <xdr:col>9</xdr:col>
                    <xdr:colOff>9525</xdr:colOff>
                    <xdr:row>20</xdr:row>
                    <xdr:rowOff>19050</xdr:rowOff>
                  </from>
                  <to>
                    <xdr:col>9</xdr:col>
                    <xdr:colOff>923925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7" r:id="rId55" name="Check Box 1165">
              <controlPr defaultSize="0" autoFill="0" autoLine="0" autoPict="0">
                <anchor moveWithCells="1">
                  <from>
                    <xdr:col>9</xdr:col>
                    <xdr:colOff>9525</xdr:colOff>
                    <xdr:row>21</xdr:row>
                    <xdr:rowOff>19050</xdr:rowOff>
                  </from>
                  <to>
                    <xdr:col>9</xdr:col>
                    <xdr:colOff>923925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8" r:id="rId56" name="Spinner 1166">
              <controlPr defaultSize="0" autoPict="0">
                <anchor moveWithCells="1" sizeWithCells="1">
                  <from>
                    <xdr:col>2</xdr:col>
                    <xdr:colOff>533400</xdr:colOff>
                    <xdr:row>11</xdr:row>
                    <xdr:rowOff>28575</xdr:rowOff>
                  </from>
                  <to>
                    <xdr:col>2</xdr:col>
                    <xdr:colOff>714375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0" r:id="rId57" name="Spinner 1168">
              <controlPr defaultSize="0" autoPict="0">
                <anchor moveWithCells="1" sizeWithCells="1">
                  <from>
                    <xdr:col>9</xdr:col>
                    <xdr:colOff>752475</xdr:colOff>
                    <xdr:row>16</xdr:row>
                    <xdr:rowOff>38100</xdr:rowOff>
                  </from>
                  <to>
                    <xdr:col>9</xdr:col>
                    <xdr:colOff>933450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1" r:id="rId58" name="Spinner 1169">
              <controlPr defaultSize="0" autoPict="0">
                <anchor moveWithCells="1" sizeWithCells="1">
                  <from>
                    <xdr:col>10</xdr:col>
                    <xdr:colOff>628650</xdr:colOff>
                    <xdr:row>16</xdr:row>
                    <xdr:rowOff>19050</xdr:rowOff>
                  </from>
                  <to>
                    <xdr:col>10</xdr:col>
                    <xdr:colOff>809625</xdr:colOff>
                    <xdr:row>16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2" r:id="rId59" name="Check Box 1170">
              <controlPr defaultSize="0" autoFill="0" autoLine="0" autoPict="0">
                <anchor moveWithCells="1">
                  <from>
                    <xdr:col>1</xdr:col>
                    <xdr:colOff>9525</xdr:colOff>
                    <xdr:row>26</xdr:row>
                    <xdr:rowOff>19050</xdr:rowOff>
                  </from>
                  <to>
                    <xdr:col>1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3" r:id="rId60" name="Check Box 1171">
              <controlPr defaultSize="0" autoFill="0" autoLine="0" autoPict="0">
                <anchor moveWithCells="1">
                  <from>
                    <xdr:col>1</xdr:col>
                    <xdr:colOff>9525</xdr:colOff>
                    <xdr:row>27</xdr:row>
                    <xdr:rowOff>19050</xdr:rowOff>
                  </from>
                  <to>
                    <xdr:col>1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4" r:id="rId61" name="Check Box 1172">
              <controlPr defaultSize="0" autoFill="0" autoLine="0" autoPict="0">
                <anchor moveWithCells="1">
                  <from>
                    <xdr:col>1</xdr:col>
                    <xdr:colOff>9525</xdr:colOff>
                    <xdr:row>28</xdr:row>
                    <xdr:rowOff>28575</xdr:rowOff>
                  </from>
                  <to>
                    <xdr:col>1</xdr:col>
                    <xdr:colOff>1562100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5" r:id="rId62" name="Check Box 1173">
              <controlPr defaultSize="0" autoFill="0" autoLine="0" autoPict="0">
                <anchor moveWithCells="1">
                  <from>
                    <xdr:col>1</xdr:col>
                    <xdr:colOff>9525</xdr:colOff>
                    <xdr:row>29</xdr:row>
                    <xdr:rowOff>19050</xdr:rowOff>
                  </from>
                  <to>
                    <xdr:col>1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8" r:id="rId63" name="Check Box 1176">
              <controlPr defaultSize="0" autoFill="0" autoLine="0" autoPict="0">
                <anchor moveWithCells="1">
                  <from>
                    <xdr:col>1</xdr:col>
                    <xdr:colOff>9525</xdr:colOff>
                    <xdr:row>34</xdr:row>
                    <xdr:rowOff>19050</xdr:rowOff>
                  </from>
                  <to>
                    <xdr:col>1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9" r:id="rId64" name="Check Box 1177">
              <controlPr defaultSize="0" autoFill="0" autoLine="0" autoPict="0">
                <anchor moveWithCells="1">
                  <from>
                    <xdr:col>2</xdr:col>
                    <xdr:colOff>9525</xdr:colOff>
                    <xdr:row>35</xdr:row>
                    <xdr:rowOff>0</xdr:rowOff>
                  </from>
                  <to>
                    <xdr:col>2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0" r:id="rId65" name="Check Box 1178">
              <controlPr defaultSize="0" autoFill="0" autoLine="0" autoPict="0">
                <anchor moveWithCells="1">
                  <from>
                    <xdr:col>2</xdr:col>
                    <xdr:colOff>9525</xdr:colOff>
                    <xdr:row>35</xdr:row>
                    <xdr:rowOff>0</xdr:rowOff>
                  </from>
                  <to>
                    <xdr:col>2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1" r:id="rId66" name="Drop Down 1179">
              <controlPr defaultSize="0" autoLine="0" autoPict="0">
                <anchor moveWithCells="1">
                  <from>
                    <xdr:col>2</xdr:col>
                    <xdr:colOff>9525</xdr:colOff>
                    <xdr:row>34</xdr:row>
                    <xdr:rowOff>9525</xdr:rowOff>
                  </from>
                  <to>
                    <xdr:col>2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9" r:id="rId67" name="Check Box 1187">
              <controlPr defaultSize="0" autoFill="0" autoLine="0" autoPict="0">
                <anchor moveWithCells="1">
                  <from>
                    <xdr:col>1</xdr:col>
                    <xdr:colOff>9525</xdr:colOff>
                    <xdr:row>35</xdr:row>
                    <xdr:rowOff>19050</xdr:rowOff>
                  </from>
                  <to>
                    <xdr:col>1</xdr:col>
                    <xdr:colOff>1228725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2" r:id="rId68" name="Drop Down 1190">
              <controlPr defaultSize="0" autoLine="0" autoPict="0">
                <anchor moveWithCells="1">
                  <from>
                    <xdr:col>2</xdr:col>
                    <xdr:colOff>9525</xdr:colOff>
                    <xdr:row>35</xdr:row>
                    <xdr:rowOff>9525</xdr:rowOff>
                  </from>
                  <to>
                    <xdr:col>2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5" r:id="rId69" name="Check Box 1193">
              <controlPr defaultSize="0" autoFill="0" autoLine="0" autoPict="0">
                <anchor moveWithCells="1">
                  <from>
                    <xdr:col>1</xdr:col>
                    <xdr:colOff>9525</xdr:colOff>
                    <xdr:row>6</xdr:row>
                    <xdr:rowOff>19050</xdr:rowOff>
                  </from>
                  <to>
                    <xdr:col>1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9" r:id="rId70" name="Check Box 1197">
              <controlPr defaultSize="0" autoFill="0" autoLine="0" autoPict="0">
                <anchor moveWithCells="1">
                  <from>
                    <xdr:col>1</xdr:col>
                    <xdr:colOff>9525</xdr:colOff>
                    <xdr:row>7</xdr:row>
                    <xdr:rowOff>19050</xdr:rowOff>
                  </from>
                  <to>
                    <xdr:col>1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0" r:id="rId71" name="Check Box 1198">
              <controlPr defaultSize="0" autoFill="0" autoLine="0" autoPict="0">
                <anchor moveWithCells="1">
                  <from>
                    <xdr:col>1</xdr:col>
                    <xdr:colOff>9525</xdr:colOff>
                    <xdr:row>8</xdr:row>
                    <xdr:rowOff>19050</xdr:rowOff>
                  </from>
                  <to>
                    <xdr:col>1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3" r:id="rId72" name="Check Box 1201">
              <controlPr defaultSize="0" autoFill="0" autoLine="0" autoPict="0">
                <anchor moveWithCells="1">
                  <from>
                    <xdr:col>1</xdr:col>
                    <xdr:colOff>9525</xdr:colOff>
                    <xdr:row>10</xdr:row>
                    <xdr:rowOff>19050</xdr:rowOff>
                  </from>
                  <to>
                    <xdr:col>1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7" r:id="rId73" name="Check Box 1205">
              <controlPr defaultSize="0" autoFill="0" autoLine="0" autoPict="0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8" r:id="rId74" name="Drop Down 1206">
              <controlPr defaultSize="0" autoLine="0" autoPict="0">
                <anchor moveWithCells="1">
                  <from>
                    <xdr:col>2</xdr:col>
                    <xdr:colOff>9525</xdr:colOff>
                    <xdr:row>21</xdr:row>
                    <xdr:rowOff>9525</xdr:rowOff>
                  </from>
                  <to>
                    <xdr:col>2</xdr:col>
                    <xdr:colOff>923925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9" r:id="rId75" name="Check Box 1207">
              <controlPr defaultSize="0" autoFill="0" autoLine="0" autoPict="0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1" r:id="rId76" name="Check Box 1209">
              <controlPr defaultSize="0" autoFill="0" autoLine="0" autoPict="0">
                <anchor moveWithCells="1">
                  <from>
                    <xdr:col>1</xdr:col>
                    <xdr:colOff>9525</xdr:colOff>
                    <xdr:row>24</xdr:row>
                    <xdr:rowOff>19050</xdr:rowOff>
                  </from>
                  <to>
                    <xdr:col>1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2" r:id="rId77" name="Check Box 1210">
              <controlPr defaultSize="0" autoFill="0" autoLine="0" autoPict="0">
                <anchor moveWithCells="1">
                  <from>
                    <xdr:col>1</xdr:col>
                    <xdr:colOff>9525</xdr:colOff>
                    <xdr:row>25</xdr:row>
                    <xdr:rowOff>19050</xdr:rowOff>
                  </from>
                  <to>
                    <xdr:col>1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3" r:id="rId78" name="Check Box 1211">
              <controlPr defaultSize="0" autoFill="0" autoLine="0" autoPict="0">
                <anchor moveWithCells="1">
                  <from>
                    <xdr:col>1</xdr:col>
                    <xdr:colOff>9525</xdr:colOff>
                    <xdr:row>23</xdr:row>
                    <xdr:rowOff>19050</xdr:rowOff>
                  </from>
                  <to>
                    <xdr:col>1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6" r:id="rId79" name="Check Box 1214">
              <controlPr defaultSize="0" autoFill="0" autoLine="0" autoPict="0">
                <anchor moveWithCells="1">
                  <from>
                    <xdr:col>1</xdr:col>
                    <xdr:colOff>9525</xdr:colOff>
                    <xdr:row>30</xdr:row>
                    <xdr:rowOff>19050</xdr:rowOff>
                  </from>
                  <to>
                    <xdr:col>1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7" r:id="rId80" name="Check Box 1215">
              <controlPr defaultSize="0" autoFill="0" autoLine="0" autoPict="0">
                <anchor moveWithCells="1">
                  <from>
                    <xdr:col>1</xdr:col>
                    <xdr:colOff>9525</xdr:colOff>
                    <xdr:row>31</xdr:row>
                    <xdr:rowOff>19050</xdr:rowOff>
                  </from>
                  <to>
                    <xdr:col>1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1" r:id="rId81" name="Check Box 1219">
              <controlPr defaultSize="0" autoFill="0" autoLine="0" autoPict="0">
                <anchor moveWithCells="1">
                  <from>
                    <xdr:col>1</xdr:col>
                    <xdr:colOff>9525</xdr:colOff>
                    <xdr:row>11</xdr:row>
                    <xdr:rowOff>19050</xdr:rowOff>
                  </from>
                  <to>
                    <xdr:col>1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7" r:id="rId82" name="Check Box 1225">
              <controlPr defaultSize="0" autoFill="0" autoLine="0" autoPict="0">
                <anchor moveWithCells="1">
                  <from>
                    <xdr:col>1</xdr:col>
                    <xdr:colOff>9525</xdr:colOff>
                    <xdr:row>15</xdr:row>
                    <xdr:rowOff>19050</xdr:rowOff>
                  </from>
                  <to>
                    <xdr:col>1</xdr:col>
                    <xdr:colOff>1495425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8" r:id="rId83" name="Check Box 1226">
              <controlPr defaultSize="0" autoFill="0" autoLine="0" autoPict="0">
                <anchor moveWithCells="1">
                  <from>
                    <xdr:col>1</xdr:col>
                    <xdr:colOff>9525</xdr:colOff>
                    <xdr:row>16</xdr:row>
                    <xdr:rowOff>19050</xdr:rowOff>
                  </from>
                  <to>
                    <xdr:col>1</xdr:col>
                    <xdr:colOff>1495425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9" r:id="rId84" name="Check Box 1227">
              <controlPr defaultSize="0" autoFill="0" autoLine="0" autoPict="0">
                <anchor moveWithCells="1">
                  <from>
                    <xdr:col>1</xdr:col>
                    <xdr:colOff>9525</xdr:colOff>
                    <xdr:row>17</xdr:row>
                    <xdr:rowOff>19050</xdr:rowOff>
                  </from>
                  <to>
                    <xdr:col>1</xdr:col>
                    <xdr:colOff>1495425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1" r:id="rId85" name="Check Box 1229">
              <controlPr defaultSize="0" autoFill="0" autoLine="0" autoPict="0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3" r:id="rId86" name="Check Box 1231">
              <controlPr defaultSize="0" autoFill="0" autoLine="0" autoPict="0">
                <anchor moveWithCells="1">
                  <from>
                    <xdr:col>3</xdr:col>
                    <xdr:colOff>9525</xdr:colOff>
                    <xdr:row>11</xdr:row>
                    <xdr:rowOff>19050</xdr:rowOff>
                  </from>
                  <to>
                    <xdr:col>3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4" r:id="rId87" name="Check Box 1232">
              <controlPr defaultSize="0" autoFill="0" autoLine="0" autoPict="0">
                <anchor moveWithCells="1">
                  <from>
                    <xdr:col>3</xdr:col>
                    <xdr:colOff>9525</xdr:colOff>
                    <xdr:row>12</xdr:row>
                    <xdr:rowOff>19050</xdr:rowOff>
                  </from>
                  <to>
                    <xdr:col>3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5" r:id="rId88" name="Check Box 1233">
              <controlPr defaultSize="0" autoFill="0" autoLine="0" autoPict="0">
                <anchor moveWithCells="1">
                  <from>
                    <xdr:col>3</xdr:col>
                    <xdr:colOff>9525</xdr:colOff>
                    <xdr:row>13</xdr:row>
                    <xdr:rowOff>19050</xdr:rowOff>
                  </from>
                  <to>
                    <xdr:col>3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6" r:id="rId89" name="Check Box 1234">
              <controlPr defaultSize="0" autoFill="0" autoLine="0" autoPict="0">
                <anchor moveWithCells="1">
                  <from>
                    <xdr:col>3</xdr:col>
                    <xdr:colOff>9525</xdr:colOff>
                    <xdr:row>14</xdr:row>
                    <xdr:rowOff>19050</xdr:rowOff>
                  </from>
                  <to>
                    <xdr:col>3</xdr:col>
                    <xdr:colOff>923925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7" r:id="rId90" name="Spinner 1235">
              <controlPr defaultSize="0" autoPict="0">
                <anchor moveWithCells="1" sizeWithCells="1">
                  <from>
                    <xdr:col>3</xdr:col>
                    <xdr:colOff>752475</xdr:colOff>
                    <xdr:row>26</xdr:row>
                    <xdr:rowOff>28575</xdr:rowOff>
                  </from>
                  <to>
                    <xdr:col>3</xdr:col>
                    <xdr:colOff>933450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9" r:id="rId91" name="Drop Down 1237">
              <controlPr defaultSize="0" autoLine="0" autoPict="0">
                <anchor moveWithCells="1">
                  <from>
                    <xdr:col>4</xdr:col>
                    <xdr:colOff>9525</xdr:colOff>
                    <xdr:row>34</xdr:row>
                    <xdr:rowOff>9525</xdr:rowOff>
                  </from>
                  <to>
                    <xdr:col>4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0" r:id="rId92" name="Drop Down 1238">
              <controlPr defaultSize="0" autoLine="0" autoPict="0">
                <anchor moveWithCells="1">
                  <from>
                    <xdr:col>4</xdr:col>
                    <xdr:colOff>9525</xdr:colOff>
                    <xdr:row>35</xdr:row>
                    <xdr:rowOff>9525</xdr:rowOff>
                  </from>
                  <to>
                    <xdr:col>4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1" r:id="rId93" name="Drop Down 1239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2" r:id="rId94" name="Drop Down 1240">
              <controlPr defaultSize="0" autoLine="0" autoPict="0">
                <anchor moveWithCells="1">
                  <from>
                    <xdr:col>3</xdr:col>
                    <xdr:colOff>9525</xdr:colOff>
                    <xdr:row>35</xdr:row>
                    <xdr:rowOff>9525</xdr:rowOff>
                  </from>
                  <to>
                    <xdr:col>3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3" r:id="rId95" name="Check Box 1241">
              <controlPr defaultSize="0" autoFill="0" autoLine="0" autoPict="0">
                <anchor moveWithCells="1">
                  <from>
                    <xdr:col>2</xdr:col>
                    <xdr:colOff>9525</xdr:colOff>
                    <xdr:row>36</xdr:row>
                    <xdr:rowOff>0</xdr:rowOff>
                  </from>
                  <to>
                    <xdr:col>2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4" r:id="rId96" name="Check Box 1242">
              <controlPr defaultSize="0" autoFill="0" autoLine="0" autoPict="0">
                <anchor moveWithCells="1">
                  <from>
                    <xdr:col>2</xdr:col>
                    <xdr:colOff>9525</xdr:colOff>
                    <xdr:row>36</xdr:row>
                    <xdr:rowOff>0</xdr:rowOff>
                  </from>
                  <to>
                    <xdr:col>2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5" r:id="rId97" name="Check Box 1243">
              <controlPr defaultSize="0" autoFill="0" autoLine="0" autoPict="0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1228725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6" r:id="rId98" name="Drop Down 1244">
              <controlPr defaultSize="0" autoLine="0" autoPict="0">
                <anchor moveWithCells="1">
                  <from>
                    <xdr:col>2</xdr:col>
                    <xdr:colOff>9525</xdr:colOff>
                    <xdr:row>36</xdr:row>
                    <xdr:rowOff>9525</xdr:rowOff>
                  </from>
                  <to>
                    <xdr:col>2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7" r:id="rId99" name="Drop Down 1245">
              <controlPr defaultSize="0" autoLine="0" autoPict="0">
                <anchor moveWithCells="1">
                  <from>
                    <xdr:col>4</xdr:col>
                    <xdr:colOff>9525</xdr:colOff>
                    <xdr:row>36</xdr:row>
                    <xdr:rowOff>9525</xdr:rowOff>
                  </from>
                  <to>
                    <xdr:col>4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8" r:id="rId100" name="Drop Down 1246">
              <controlPr defaultSize="0" autoLine="0" autoPict="0">
                <anchor moveWithCells="1">
                  <from>
                    <xdr:col>3</xdr:col>
                    <xdr:colOff>9525</xdr:colOff>
                    <xdr:row>36</xdr:row>
                    <xdr:rowOff>9525</xdr:rowOff>
                  </from>
                  <to>
                    <xdr:col>3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9" r:id="rId101" name="Check Box 1247">
              <controlPr defaultSize="0" autoFill="0" autoLine="0" autoPict="0">
                <anchor moveWithCells="1">
                  <from>
                    <xdr:col>1</xdr:col>
                    <xdr:colOff>9525</xdr:colOff>
                    <xdr:row>37</xdr:row>
                    <xdr:rowOff>19050</xdr:rowOff>
                  </from>
                  <to>
                    <xdr:col>1</xdr:col>
                    <xdr:colOff>1228725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1" r:id="rId102" name="Check Box 1249">
              <controlPr defaultSize="0" autoFill="0" autoLine="0" autoPict="0">
                <anchor moveWithCells="1">
                  <from>
                    <xdr:col>1</xdr:col>
                    <xdr:colOff>9525</xdr:colOff>
                    <xdr:row>39</xdr:row>
                    <xdr:rowOff>19050</xdr:rowOff>
                  </from>
                  <to>
                    <xdr:col>1</xdr:col>
                    <xdr:colOff>1228725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2" r:id="rId103" name="Check Box 1250">
              <controlPr defaultSize="0" autoFill="0" autoLine="0" autoPict="0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1228725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3" r:id="rId104" name="Check Box 1251">
              <controlPr defaultSize="0" autoFill="0" autoLine="0" autoPict="0">
                <anchor moveWithCells="1">
                  <from>
                    <xdr:col>2</xdr:col>
                    <xdr:colOff>9525</xdr:colOff>
                    <xdr:row>37</xdr:row>
                    <xdr:rowOff>19050</xdr:rowOff>
                  </from>
                  <to>
                    <xdr:col>3</xdr:col>
                    <xdr:colOff>142875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4" r:id="rId105" name="Check Box 1252">
              <controlPr defaultSize="0" autoFill="0" autoLine="0" autoPict="0">
                <anchor moveWithCells="1">
                  <from>
                    <xdr:col>2</xdr:col>
                    <xdr:colOff>9525</xdr:colOff>
                    <xdr:row>38</xdr:row>
                    <xdr:rowOff>19050</xdr:rowOff>
                  </from>
                  <to>
                    <xdr:col>3</xdr:col>
                    <xdr:colOff>142875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5" r:id="rId106" name="Check Box 1253">
              <controlPr defaultSize="0" autoFill="0" autoLine="0" autoPict="0">
                <anchor moveWithCells="1">
                  <from>
                    <xdr:col>2</xdr:col>
                    <xdr:colOff>9525</xdr:colOff>
                    <xdr:row>39</xdr:row>
                    <xdr:rowOff>19050</xdr:rowOff>
                  </from>
                  <to>
                    <xdr:col>3</xdr:col>
                    <xdr:colOff>142875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7" r:id="rId107" name="Drop Down 1255">
              <controlPr defaultSize="0" autoLine="0" autoPict="0">
                <anchor moveWithCells="1">
                  <from>
                    <xdr:col>2</xdr:col>
                    <xdr:colOff>9525</xdr:colOff>
                    <xdr:row>40</xdr:row>
                    <xdr:rowOff>9525</xdr:rowOff>
                  </from>
                  <to>
                    <xdr:col>2</xdr:col>
                    <xdr:colOff>923925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8" r:id="rId108" name="Spinner 1256">
              <controlPr defaultSize="0" autoPict="0">
                <anchor moveWithCells="1" sizeWithCells="1">
                  <from>
                    <xdr:col>3</xdr:col>
                    <xdr:colOff>533400</xdr:colOff>
                    <xdr:row>40</xdr:row>
                    <xdr:rowOff>28575</xdr:rowOff>
                  </from>
                  <to>
                    <xdr:col>3</xdr:col>
                    <xdr:colOff>714375</xdr:colOff>
                    <xdr:row>40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9" r:id="rId109" name="Check Box 1257">
              <controlPr defaultSize="0" autoFill="0" autoLine="0" autoPict="0">
                <anchor moveWithCells="1">
                  <from>
                    <xdr:col>1</xdr:col>
                    <xdr:colOff>9525</xdr:colOff>
                    <xdr:row>40</xdr:row>
                    <xdr:rowOff>19050</xdr:rowOff>
                  </from>
                  <to>
                    <xdr:col>1</xdr:col>
                    <xdr:colOff>1228725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0" r:id="rId110" name="Check Box 1258">
              <controlPr defaultSize="0" autoFill="0" autoLine="0" autoPict="0">
                <anchor moveWithCells="1">
                  <from>
                    <xdr:col>9</xdr:col>
                    <xdr:colOff>9525</xdr:colOff>
                    <xdr:row>26</xdr:row>
                    <xdr:rowOff>19050</xdr:rowOff>
                  </from>
                  <to>
                    <xdr:col>10</xdr:col>
                    <xdr:colOff>190500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1" r:id="rId111" name="Spinner 1259">
              <controlPr defaultSize="0" autoPict="0">
                <anchor moveWithCells="1" sizeWithCells="1">
                  <from>
                    <xdr:col>2</xdr:col>
                    <xdr:colOff>533400</xdr:colOff>
                    <xdr:row>7</xdr:row>
                    <xdr:rowOff>28575</xdr:rowOff>
                  </from>
                  <to>
                    <xdr:col>2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2" r:id="rId112" name="Spinner 1260">
              <controlPr defaultSize="0" autoPict="0">
                <anchor moveWithCells="1" sizeWithCells="1">
                  <from>
                    <xdr:col>2</xdr:col>
                    <xdr:colOff>533400</xdr:colOff>
                    <xdr:row>8</xdr:row>
                    <xdr:rowOff>28575</xdr:rowOff>
                  </from>
                  <to>
                    <xdr:col>2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3" r:id="rId113" name="Drop Down 1261">
              <controlPr defaultSize="0" autoLine="0" autoPict="0">
                <anchor moveWithCells="1">
                  <from>
                    <xdr:col>3</xdr:col>
                    <xdr:colOff>9525</xdr:colOff>
                    <xdr:row>7</xdr:row>
                    <xdr:rowOff>9525</xdr:rowOff>
                  </from>
                  <to>
                    <xdr:col>3</xdr:col>
                    <xdr:colOff>1028700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4" r:id="rId114" name="Drop Down 1262">
              <controlPr defaultSize="0" autoLine="0" autoPict="0">
                <anchor moveWithCells="1">
                  <from>
                    <xdr:col>3</xdr:col>
                    <xdr:colOff>9525</xdr:colOff>
                    <xdr:row>8</xdr:row>
                    <xdr:rowOff>9525</xdr:rowOff>
                  </from>
                  <to>
                    <xdr:col>3</xdr:col>
                    <xdr:colOff>1028700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5" r:id="rId115" name="Spinner 1263">
              <controlPr defaultSize="0" autoPict="0">
                <anchor moveWithCells="1" sizeWithCells="1">
                  <from>
                    <xdr:col>2</xdr:col>
                    <xdr:colOff>533400</xdr:colOff>
                    <xdr:row>8</xdr:row>
                    <xdr:rowOff>28575</xdr:rowOff>
                  </from>
                  <to>
                    <xdr:col>2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6" r:id="rId116" name="Spinner 1264">
              <controlPr defaultSize="0" autoPict="0">
                <anchor moveWithCells="1" sizeWithCells="1">
                  <from>
                    <xdr:col>2</xdr:col>
                    <xdr:colOff>533400</xdr:colOff>
                    <xdr:row>8</xdr:row>
                    <xdr:rowOff>28575</xdr:rowOff>
                  </from>
                  <to>
                    <xdr:col>2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7" r:id="rId117" name="Spinner 1265">
              <controlPr defaultSize="0" autoPict="0">
                <anchor moveWithCells="1" sizeWithCells="1">
                  <from>
                    <xdr:col>9</xdr:col>
                    <xdr:colOff>628650</xdr:colOff>
                    <xdr:row>18</xdr:row>
                    <xdr:rowOff>28575</xdr:rowOff>
                  </from>
                  <to>
                    <xdr:col>9</xdr:col>
                    <xdr:colOff>809625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8" r:id="rId118" name="Check Box 1266">
              <controlPr defaultSize="0" autoFill="0" autoLine="0" autoPict="0">
                <anchor moveWithCells="1">
                  <from>
                    <xdr:col>8</xdr:col>
                    <xdr:colOff>9525</xdr:colOff>
                    <xdr:row>7</xdr:row>
                    <xdr:rowOff>19050</xdr:rowOff>
                  </from>
                  <to>
                    <xdr:col>8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9" r:id="rId119" name="Spinner 1267">
              <controlPr defaultSize="0" autoPict="0">
                <anchor moveWithCells="1" sizeWithCells="1">
                  <from>
                    <xdr:col>9</xdr:col>
                    <xdr:colOff>676275</xdr:colOff>
                    <xdr:row>7</xdr:row>
                    <xdr:rowOff>28575</xdr:rowOff>
                  </from>
                  <to>
                    <xdr:col>9</xdr:col>
                    <xdr:colOff>857250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0" r:id="rId120" name="Check Box 1268">
              <controlPr defaultSize="0" autoFill="0" autoLine="0" autoPict="0">
                <anchor moveWithCells="1">
                  <from>
                    <xdr:col>1</xdr:col>
                    <xdr:colOff>9525</xdr:colOff>
                    <xdr:row>9</xdr:row>
                    <xdr:rowOff>19050</xdr:rowOff>
                  </from>
                  <to>
                    <xdr:col>1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1" r:id="rId121" name="Spinner 1269">
              <controlPr defaultSize="0" autoPict="0">
                <anchor moveWithCells="1" sizeWithCells="1">
                  <from>
                    <xdr:col>2</xdr:col>
                    <xdr:colOff>533400</xdr:colOff>
                    <xdr:row>9</xdr:row>
                    <xdr:rowOff>28575</xdr:rowOff>
                  </from>
                  <to>
                    <xdr:col>2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2" r:id="rId122" name="Drop Down 1270">
              <controlPr defaultSize="0" autoLine="0" autoPict="0">
                <anchor moveWithCells="1">
                  <from>
                    <xdr:col>3</xdr:col>
                    <xdr:colOff>9525</xdr:colOff>
                    <xdr:row>9</xdr:row>
                    <xdr:rowOff>9525</xdr:rowOff>
                  </from>
                  <to>
                    <xdr:col>3</xdr:col>
                    <xdr:colOff>1028700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3" r:id="rId123" name="Spinner 1271">
              <controlPr defaultSize="0" autoPict="0">
                <anchor moveWithCells="1" sizeWithCells="1">
                  <from>
                    <xdr:col>2</xdr:col>
                    <xdr:colOff>533400</xdr:colOff>
                    <xdr:row>9</xdr:row>
                    <xdr:rowOff>28575</xdr:rowOff>
                  </from>
                  <to>
                    <xdr:col>2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4" r:id="rId124" name="Spinner 1272">
              <controlPr defaultSize="0" autoPict="0">
                <anchor moveWithCells="1" sizeWithCells="1">
                  <from>
                    <xdr:col>2</xdr:col>
                    <xdr:colOff>533400</xdr:colOff>
                    <xdr:row>9</xdr:row>
                    <xdr:rowOff>28575</xdr:rowOff>
                  </from>
                  <to>
                    <xdr:col>2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fspr">
    <tabColor rgb="FF92D050"/>
  </sheetPr>
  <dimension ref="A1:M108"/>
  <sheetViews>
    <sheetView topLeftCell="B1" workbookViewId="0">
      <selection activeCell="D27" sqref="D27"/>
    </sheetView>
  </sheetViews>
  <sheetFormatPr defaultRowHeight="12.75" x14ac:dyDescent="0.2"/>
  <cols>
    <col min="1" max="1" width="34.7109375" bestFit="1" customWidth="1"/>
    <col min="3" max="3" width="19.5703125" bestFit="1" customWidth="1"/>
    <col min="4" max="4" width="9.140625" style="321"/>
    <col min="5" max="5" width="17.85546875" customWidth="1"/>
    <col min="7" max="7" width="37.42578125" bestFit="1" customWidth="1"/>
    <col min="8" max="8" width="9.140625" style="315" customWidth="1"/>
    <col min="9" max="9" width="28" style="346" bestFit="1" customWidth="1"/>
    <col min="11" max="11" width="13.5703125" customWidth="1"/>
  </cols>
  <sheetData>
    <row r="1" spans="1:13" x14ac:dyDescent="0.2">
      <c r="A1" s="356"/>
    </row>
    <row r="6" spans="1:13" x14ac:dyDescent="0.2">
      <c r="A6" s="366" t="s">
        <v>745</v>
      </c>
      <c r="E6" s="1" t="s">
        <v>683</v>
      </c>
      <c r="I6" s="344" t="s">
        <v>729</v>
      </c>
    </row>
    <row r="7" spans="1:13" x14ac:dyDescent="0.2">
      <c r="A7" s="316" t="s">
        <v>678</v>
      </c>
      <c r="B7" s="356" t="b">
        <v>0</v>
      </c>
      <c r="E7" t="s">
        <v>685</v>
      </c>
      <c r="F7" s="356" t="b">
        <v>0</v>
      </c>
      <c r="I7" s="345" t="s">
        <v>715</v>
      </c>
      <c r="J7" s="356" t="b">
        <v>0</v>
      </c>
    </row>
    <row r="8" spans="1:13" x14ac:dyDescent="0.2">
      <c r="A8" s="316" t="s">
        <v>274</v>
      </c>
      <c r="B8" s="356" t="b">
        <v>0</v>
      </c>
      <c r="C8" s="360">
        <v>0</v>
      </c>
      <c r="D8" s="468">
        <v>1</v>
      </c>
      <c r="E8" t="s">
        <v>686</v>
      </c>
      <c r="F8" s="356" t="b">
        <v>0</v>
      </c>
      <c r="G8" t="s">
        <v>687</v>
      </c>
      <c r="H8" s="356" t="b">
        <v>0</v>
      </c>
      <c r="I8" s="345" t="s">
        <v>907</v>
      </c>
      <c r="J8" s="356" t="b">
        <v>0</v>
      </c>
      <c r="M8" s="315"/>
    </row>
    <row r="9" spans="1:13" x14ac:dyDescent="0.2">
      <c r="A9" s="316" t="s">
        <v>130</v>
      </c>
      <c r="B9" s="356" t="b">
        <v>0</v>
      </c>
      <c r="C9" s="356">
        <v>0</v>
      </c>
      <c r="D9" s="357">
        <v>1</v>
      </c>
      <c r="G9" t="s">
        <v>688</v>
      </c>
      <c r="H9" s="356" t="b">
        <v>0</v>
      </c>
      <c r="I9" s="345" t="s">
        <v>723</v>
      </c>
      <c r="J9" s="356" t="b">
        <v>0</v>
      </c>
      <c r="M9" s="315"/>
    </row>
    <row r="10" spans="1:13" x14ac:dyDescent="0.2">
      <c r="A10" s="316" t="s">
        <v>669</v>
      </c>
      <c r="B10" s="356" t="b">
        <v>0</v>
      </c>
      <c r="G10" t="s">
        <v>689</v>
      </c>
      <c r="H10" s="356" t="b">
        <v>0</v>
      </c>
      <c r="I10" s="345" t="s">
        <v>679</v>
      </c>
      <c r="J10" s="356" t="b">
        <v>0</v>
      </c>
      <c r="M10" s="315"/>
    </row>
    <row r="11" spans="1:13" x14ac:dyDescent="0.2">
      <c r="A11" s="316" t="s">
        <v>803</v>
      </c>
      <c r="B11" s="356" t="b">
        <v>0</v>
      </c>
      <c r="C11" s="316" t="s">
        <v>747</v>
      </c>
      <c r="D11" s="357" t="b">
        <v>0</v>
      </c>
      <c r="G11" t="s">
        <v>690</v>
      </c>
      <c r="H11" s="356" t="b">
        <v>0</v>
      </c>
      <c r="I11" s="345"/>
      <c r="J11" s="356" t="b">
        <v>0</v>
      </c>
      <c r="M11" s="315"/>
    </row>
    <row r="12" spans="1:13" x14ac:dyDescent="0.2">
      <c r="A12" s="316" t="s">
        <v>805</v>
      </c>
      <c r="B12" s="415">
        <v>0</v>
      </c>
      <c r="C12" s="341" t="s">
        <v>748</v>
      </c>
      <c r="D12" s="357" t="b">
        <v>0</v>
      </c>
      <c r="E12" s="316" t="s">
        <v>691</v>
      </c>
      <c r="F12" s="356" t="b">
        <v>0</v>
      </c>
      <c r="I12" s="345" t="s">
        <v>724</v>
      </c>
      <c r="J12" s="356" t="b">
        <v>0</v>
      </c>
      <c r="M12" s="315"/>
    </row>
    <row r="13" spans="1:13" x14ac:dyDescent="0.2">
      <c r="C13" s="316" t="s">
        <v>749</v>
      </c>
      <c r="D13" s="357" t="b">
        <v>0</v>
      </c>
      <c r="E13" s="316" t="s">
        <v>692</v>
      </c>
      <c r="F13" s="356" t="b">
        <v>0</v>
      </c>
      <c r="G13" t="s">
        <v>699</v>
      </c>
      <c r="H13" s="356" t="b">
        <v>0</v>
      </c>
      <c r="I13" s="345" t="s">
        <v>675</v>
      </c>
      <c r="J13" s="356" t="b">
        <v>0</v>
      </c>
      <c r="M13" s="315"/>
    </row>
    <row r="14" spans="1:13" x14ac:dyDescent="0.2">
      <c r="C14" s="316" t="s">
        <v>750</v>
      </c>
      <c r="D14" s="357" t="b">
        <v>0</v>
      </c>
      <c r="E14" s="316" t="s">
        <v>693</v>
      </c>
      <c r="F14" s="356" t="b">
        <v>0</v>
      </c>
      <c r="I14" s="345" t="s">
        <v>676</v>
      </c>
      <c r="J14" s="356" t="b">
        <v>0</v>
      </c>
      <c r="M14" s="315"/>
    </row>
    <row r="15" spans="1:13" x14ac:dyDescent="0.2">
      <c r="A15" s="316" t="s">
        <v>804</v>
      </c>
      <c r="B15" s="356" t="b">
        <v>0</v>
      </c>
      <c r="E15" s="316" t="s">
        <v>694</v>
      </c>
      <c r="F15" s="356" t="b">
        <v>0</v>
      </c>
      <c r="G15" t="s">
        <v>700</v>
      </c>
      <c r="H15" s="356" t="b">
        <v>0</v>
      </c>
      <c r="I15" s="345" t="s">
        <v>677</v>
      </c>
      <c r="J15" s="356" t="b">
        <v>0</v>
      </c>
      <c r="M15" s="315"/>
    </row>
    <row r="16" spans="1:13" x14ac:dyDescent="0.2">
      <c r="A16" t="s">
        <v>671</v>
      </c>
      <c r="B16" s="356" t="b">
        <v>0</v>
      </c>
      <c r="E16" s="315"/>
      <c r="G16" t="s">
        <v>701</v>
      </c>
      <c r="H16" s="356" t="b">
        <v>0</v>
      </c>
      <c r="I16" s="345" t="s">
        <v>728</v>
      </c>
      <c r="J16" s="356" t="b">
        <v>0</v>
      </c>
      <c r="M16" s="315"/>
    </row>
    <row r="17" spans="1:13" x14ac:dyDescent="0.2">
      <c r="A17" s="316" t="s">
        <v>670</v>
      </c>
      <c r="B17" s="356" t="b">
        <v>0</v>
      </c>
      <c r="E17" s="316" t="s">
        <v>398</v>
      </c>
      <c r="F17" s="356" t="b">
        <v>0</v>
      </c>
      <c r="I17" s="345" t="s">
        <v>908</v>
      </c>
      <c r="J17" s="356" t="b">
        <v>0</v>
      </c>
      <c r="K17" s="360">
        <v>0</v>
      </c>
      <c r="L17" s="360">
        <v>0</v>
      </c>
      <c r="M17" s="315"/>
    </row>
    <row r="18" spans="1:13" x14ac:dyDescent="0.2">
      <c r="A18" s="316" t="s">
        <v>674</v>
      </c>
      <c r="B18" s="356" t="b">
        <v>0</v>
      </c>
      <c r="C18" s="356">
        <v>0</v>
      </c>
      <c r="D18" s="357">
        <v>1</v>
      </c>
      <c r="E18" s="316" t="s">
        <v>695</v>
      </c>
      <c r="F18" s="356" t="b">
        <v>0</v>
      </c>
      <c r="G18" t="s">
        <v>702</v>
      </c>
      <c r="H18" s="356" t="b">
        <v>0</v>
      </c>
      <c r="I18" s="345" t="s">
        <v>398</v>
      </c>
      <c r="J18" s="356" t="b">
        <v>0</v>
      </c>
      <c r="M18" s="315"/>
    </row>
    <row r="19" spans="1:13" x14ac:dyDescent="0.2">
      <c r="A19" s="316" t="s">
        <v>672</v>
      </c>
      <c r="B19" s="356" t="b">
        <v>0</v>
      </c>
      <c r="E19" s="315"/>
      <c r="G19" t="s">
        <v>703</v>
      </c>
      <c r="H19" s="356" t="b">
        <v>0</v>
      </c>
      <c r="I19" s="345" t="s">
        <v>725</v>
      </c>
      <c r="J19" s="356" t="b">
        <v>0</v>
      </c>
      <c r="M19" s="315"/>
    </row>
    <row r="20" spans="1:13" x14ac:dyDescent="0.2">
      <c r="E20" s="315"/>
      <c r="G20" t="s">
        <v>704</v>
      </c>
      <c r="H20" s="356" t="b">
        <v>0</v>
      </c>
      <c r="I20" s="345" t="s">
        <v>909</v>
      </c>
      <c r="J20" s="356" t="b">
        <v>0</v>
      </c>
      <c r="K20" s="469">
        <v>0</v>
      </c>
      <c r="L20" s="360"/>
      <c r="M20" s="315"/>
    </row>
    <row r="21" spans="1:13" x14ac:dyDescent="0.2">
      <c r="A21" s="1" t="s">
        <v>751</v>
      </c>
      <c r="B21" s="356"/>
      <c r="E21" s="316" t="s">
        <v>696</v>
      </c>
      <c r="F21" s="356" t="b">
        <v>0</v>
      </c>
      <c r="I21" s="345"/>
      <c r="J21" s="315"/>
      <c r="K21" s="316" t="s">
        <v>910</v>
      </c>
      <c r="L21" s="356" t="b">
        <v>0</v>
      </c>
      <c r="M21" s="315"/>
    </row>
    <row r="22" spans="1:13" x14ac:dyDescent="0.2">
      <c r="A22" s="316" t="s">
        <v>684</v>
      </c>
      <c r="B22" s="356" t="b">
        <v>0</v>
      </c>
      <c r="C22" t="str">
        <f>IF(OR(D22=0,D22=1,D22=""),"",INDEX(tbl_Ped_aEEG,D22,1))</f>
        <v/>
      </c>
      <c r="D22" s="357">
        <v>1</v>
      </c>
      <c r="E22" s="316" t="s">
        <v>697</v>
      </c>
      <c r="F22" s="356" t="b">
        <v>0</v>
      </c>
      <c r="G22" t="s">
        <v>705</v>
      </c>
      <c r="H22" s="356" t="b">
        <v>0</v>
      </c>
      <c r="I22" s="345"/>
      <c r="J22" s="315"/>
      <c r="K22" s="316" t="s">
        <v>309</v>
      </c>
      <c r="L22" s="356" t="b">
        <v>0</v>
      </c>
      <c r="M22" s="315"/>
    </row>
    <row r="23" spans="1:13" x14ac:dyDescent="0.2">
      <c r="A23" s="316" t="s">
        <v>399</v>
      </c>
      <c r="B23" s="356" t="b">
        <v>0</v>
      </c>
      <c r="E23" s="316" t="s">
        <v>698</v>
      </c>
      <c r="F23" s="356" t="b">
        <v>0</v>
      </c>
      <c r="G23" t="s">
        <v>706</v>
      </c>
      <c r="H23" s="356" t="b">
        <v>0</v>
      </c>
      <c r="I23" s="345"/>
      <c r="J23" s="315"/>
      <c r="K23" s="316" t="s">
        <v>911</v>
      </c>
      <c r="L23" s="356" t="b">
        <v>0</v>
      </c>
      <c r="M23" s="315"/>
    </row>
    <row r="24" spans="1:13" x14ac:dyDescent="0.2">
      <c r="A24" s="316" t="s">
        <v>33</v>
      </c>
      <c r="B24" s="356" t="b">
        <v>0</v>
      </c>
      <c r="E24" s="315"/>
      <c r="G24" t="s">
        <v>707</v>
      </c>
      <c r="H24" s="356" t="b">
        <v>0</v>
      </c>
      <c r="I24" s="345" t="s">
        <v>753</v>
      </c>
      <c r="J24" s="356" t="b">
        <v>0</v>
      </c>
      <c r="K24" s="316" t="s">
        <v>754</v>
      </c>
      <c r="L24" s="356" t="b">
        <v>0</v>
      </c>
      <c r="M24" s="315"/>
    </row>
    <row r="25" spans="1:13" x14ac:dyDescent="0.2">
      <c r="A25" s="316" t="s">
        <v>721</v>
      </c>
      <c r="B25" s="356" t="b">
        <v>0</v>
      </c>
      <c r="E25" s="315"/>
      <c r="G25" t="s">
        <v>708</v>
      </c>
      <c r="H25" s="356" t="b">
        <v>0</v>
      </c>
      <c r="I25" s="345"/>
      <c r="K25" s="316" t="s">
        <v>755</v>
      </c>
      <c r="L25" s="356" t="b">
        <v>0</v>
      </c>
      <c r="M25" s="315"/>
    </row>
    <row r="26" spans="1:13" x14ac:dyDescent="0.2">
      <c r="A26" s="316" t="s">
        <v>722</v>
      </c>
      <c r="B26" s="356" t="b">
        <v>0</v>
      </c>
      <c r="E26" s="315"/>
      <c r="G26" t="s">
        <v>709</v>
      </c>
      <c r="H26" s="356" t="b">
        <v>0</v>
      </c>
      <c r="I26" s="345"/>
      <c r="K26" s="316" t="s">
        <v>756</v>
      </c>
      <c r="L26" s="356" t="b">
        <v>0</v>
      </c>
      <c r="M26" s="315"/>
    </row>
    <row r="27" spans="1:13" x14ac:dyDescent="0.2">
      <c r="A27" s="316" t="s">
        <v>400</v>
      </c>
      <c r="B27" s="356" t="b">
        <v>0</v>
      </c>
      <c r="C27" t="str">
        <f>REPLACE(INDEX(tbl_Ped_VertrekTijden,D27,2),1,1,"")</f>
        <v>12:00</v>
      </c>
      <c r="D27" s="357">
        <v>50</v>
      </c>
      <c r="E27" s="315"/>
      <c r="G27" t="s">
        <v>710</v>
      </c>
      <c r="H27" s="356" t="b">
        <v>0</v>
      </c>
      <c r="I27" s="345"/>
      <c r="K27" s="316" t="s">
        <v>757</v>
      </c>
      <c r="L27" s="356" t="b">
        <v>0</v>
      </c>
      <c r="M27" s="315"/>
    </row>
    <row r="28" spans="1:13" x14ac:dyDescent="0.2">
      <c r="A28" s="316" t="s">
        <v>806</v>
      </c>
      <c r="B28" s="356" t="b">
        <v>0</v>
      </c>
      <c r="E28" s="315"/>
      <c r="G28" t="s">
        <v>711</v>
      </c>
      <c r="H28" s="356" t="b">
        <v>0</v>
      </c>
      <c r="I28" s="345"/>
      <c r="K28" s="316" t="s">
        <v>285</v>
      </c>
      <c r="L28" s="356"/>
    </row>
    <row r="29" spans="1:13" x14ac:dyDescent="0.2">
      <c r="A29" s="316" t="s">
        <v>807</v>
      </c>
      <c r="B29" s="356" t="b">
        <v>0</v>
      </c>
      <c r="E29" s="315"/>
      <c r="G29" t="s">
        <v>712</v>
      </c>
      <c r="H29" s="356" t="b">
        <v>0</v>
      </c>
      <c r="I29" s="345" t="s">
        <v>571</v>
      </c>
      <c r="J29" s="356" t="b">
        <v>0</v>
      </c>
      <c r="K29" s="356">
        <v>0</v>
      </c>
    </row>
    <row r="30" spans="1:13" x14ac:dyDescent="0.2">
      <c r="A30" s="316" t="s">
        <v>673</v>
      </c>
      <c r="B30" s="356" t="b">
        <v>0</v>
      </c>
      <c r="E30" s="315"/>
      <c r="G30" t="s">
        <v>713</v>
      </c>
      <c r="H30" s="356" t="b">
        <v>0</v>
      </c>
      <c r="I30" s="345"/>
    </row>
    <row r="31" spans="1:13" x14ac:dyDescent="0.2">
      <c r="A31" s="316" t="s">
        <v>32</v>
      </c>
      <c r="B31" s="356" t="b">
        <v>0</v>
      </c>
      <c r="E31" s="316" t="s">
        <v>714</v>
      </c>
      <c r="F31" s="356" t="b">
        <v>0</v>
      </c>
      <c r="G31" s="360" t="b">
        <v>0</v>
      </c>
      <c r="H31" s="316"/>
      <c r="I31" s="345"/>
    </row>
    <row r="32" spans="1:13" x14ac:dyDescent="0.2">
      <c r="A32" s="316" t="s">
        <v>19</v>
      </c>
      <c r="B32" s="356" t="b">
        <v>0</v>
      </c>
      <c r="E32" s="1"/>
      <c r="I32" s="345"/>
    </row>
    <row r="33" spans="1:9" x14ac:dyDescent="0.2">
      <c r="A33" s="1" t="s">
        <v>989</v>
      </c>
      <c r="B33" s="315"/>
      <c r="C33" s="315"/>
      <c r="E33" s="315"/>
      <c r="F33" s="315"/>
      <c r="G33" s="315"/>
      <c r="I33" s="345"/>
    </row>
    <row r="34" spans="1:9" x14ac:dyDescent="0.2">
      <c r="A34" s="316" t="s">
        <v>808</v>
      </c>
      <c r="B34" s="356" t="b">
        <v>0</v>
      </c>
      <c r="C34" s="315" t="str">
        <f>IF(OR(D34=0,D34=1,D34=""),"",INDEX(tbl_Ped_DrainLokatie,D34,0))</f>
        <v/>
      </c>
      <c r="D34" s="357">
        <v>1</v>
      </c>
      <c r="E34">
        <f>IF(OR(D22=0,D22=""),"",INDEX(tbl_Ped_aEEG,D22,1))</f>
        <v>0</v>
      </c>
      <c r="I34" s="345"/>
    </row>
    <row r="35" spans="1:9" x14ac:dyDescent="0.2">
      <c r="C35" s="315" t="str">
        <f>IF(OR(D35=0,D35=1,D35=""),"",INDEX(tbl_Ped_DrainModus,D35,0))</f>
        <v/>
      </c>
      <c r="D35" s="357">
        <v>1</v>
      </c>
      <c r="I35" s="345"/>
    </row>
    <row r="36" spans="1:9" x14ac:dyDescent="0.2">
      <c r="C36" s="315" t="str">
        <f>IF(OR(D36=0,D36=1,D36=""),"",INDEX(tbl_Ped_DrainZuig,D36,0))</f>
        <v/>
      </c>
      <c r="D36" s="357">
        <v>1</v>
      </c>
      <c r="I36" s="345"/>
    </row>
    <row r="37" spans="1:9" x14ac:dyDescent="0.2">
      <c r="A37" s="316" t="s">
        <v>906</v>
      </c>
      <c r="B37" s="356" t="b">
        <v>0</v>
      </c>
      <c r="C37" s="315" t="str">
        <f>IF(OR(D37=0,D37=1,D37=""),"",INDEX(tbl_Ped_DrainLokatie,D37,0))</f>
        <v/>
      </c>
      <c r="D37" s="357">
        <v>1</v>
      </c>
      <c r="E37" s="315"/>
    </row>
    <row r="38" spans="1:9" x14ac:dyDescent="0.2">
      <c r="A38" s="315"/>
      <c r="B38" s="315"/>
      <c r="C38" s="315" t="str">
        <f>IF(OR(D38=0,D38=1,D38=""),"",INDEX(tbl_Ped_DrainModus,D38,0))</f>
        <v/>
      </c>
      <c r="D38" s="357">
        <v>1</v>
      </c>
    </row>
    <row r="39" spans="1:9" x14ac:dyDescent="0.2">
      <c r="A39" s="315"/>
      <c r="B39" s="315"/>
      <c r="C39" s="315" t="str">
        <f>IF(OR(D39=0,D39=1,D39=""),"",INDEX(tbl_Ped_DrainZuig,D39,0))</f>
        <v/>
      </c>
      <c r="D39" s="357">
        <v>1</v>
      </c>
    </row>
    <row r="40" spans="1:9" x14ac:dyDescent="0.2">
      <c r="A40" s="316" t="s">
        <v>992</v>
      </c>
      <c r="B40" s="356" t="b">
        <v>0</v>
      </c>
      <c r="C40" s="315" t="str">
        <f>IF(OR(D40=0,D40=1,D40=""),"",INDEX(tbl_Ped_DrainLokatie,D40,0))</f>
        <v/>
      </c>
      <c r="D40" s="357">
        <v>1</v>
      </c>
      <c r="E40" s="315"/>
    </row>
    <row r="41" spans="1:9" x14ac:dyDescent="0.2">
      <c r="C41" s="315" t="str">
        <f>IF(OR(D41=0,D41=1,D41=""),"",INDEX(tbl_Ped_DrainModus,D41,0))</f>
        <v/>
      </c>
      <c r="D41" s="357">
        <v>1</v>
      </c>
    </row>
    <row r="42" spans="1:9" x14ac:dyDescent="0.2">
      <c r="C42" s="315" t="str">
        <f>IF(OR(D42=0,D42=1,D42=""),"",INDEX(tbl_Ped_DrainZuig,D42,0))</f>
        <v/>
      </c>
      <c r="D42" s="357">
        <v>1</v>
      </c>
    </row>
    <row r="43" spans="1:9" x14ac:dyDescent="0.2">
      <c r="A43" s="345" t="s">
        <v>727</v>
      </c>
      <c r="B43" s="356" t="b">
        <v>0</v>
      </c>
      <c r="C43" s="316" t="s">
        <v>993</v>
      </c>
      <c r="D43" s="357" t="b">
        <v>0</v>
      </c>
      <c r="E43" s="315"/>
    </row>
    <row r="44" spans="1:9" x14ac:dyDescent="0.2">
      <c r="A44" s="316" t="s">
        <v>925</v>
      </c>
      <c r="B44" s="356" t="b">
        <v>0</v>
      </c>
      <c r="C44" s="316" t="s">
        <v>993</v>
      </c>
      <c r="D44" s="357" t="b">
        <v>0</v>
      </c>
      <c r="E44" s="315"/>
    </row>
    <row r="45" spans="1:9" x14ac:dyDescent="0.2">
      <c r="A45" s="345" t="s">
        <v>726</v>
      </c>
      <c r="B45" s="356" t="b">
        <v>0</v>
      </c>
      <c r="C45" s="316" t="s">
        <v>993</v>
      </c>
      <c r="D45" s="357" t="b">
        <v>0</v>
      </c>
      <c r="E45" s="315"/>
    </row>
    <row r="46" spans="1:9" x14ac:dyDescent="0.2">
      <c r="A46" s="316" t="s">
        <v>990</v>
      </c>
      <c r="B46" s="356" t="b">
        <v>0</v>
      </c>
      <c r="C46" t="str">
        <f>IF(OR(D46=0,D46=1,D46=""),"",INDEX(tbl_Ped_LiquorDrain,D46,0))</f>
        <v/>
      </c>
      <c r="D46" s="357">
        <v>1</v>
      </c>
      <c r="E46" s="315"/>
    </row>
    <row r="47" spans="1:9" x14ac:dyDescent="0.2">
      <c r="C47" s="315" t="s">
        <v>991</v>
      </c>
      <c r="D47" s="357">
        <v>0</v>
      </c>
    </row>
    <row r="55" spans="1:3" x14ac:dyDescent="0.2">
      <c r="A55" s="1" t="s">
        <v>716</v>
      </c>
    </row>
    <row r="56" spans="1:3" x14ac:dyDescent="0.2">
      <c r="A56" s="316" t="s">
        <v>745</v>
      </c>
      <c r="B56" t="str">
        <f>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f>
        <v/>
      </c>
    </row>
    <row r="57" spans="1:3" x14ac:dyDescent="0.2">
      <c r="A57" s="316" t="s">
        <v>751</v>
      </c>
      <c r="B57" t="str">
        <f>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f>
        <v/>
      </c>
    </row>
    <row r="58" spans="1:3" x14ac:dyDescent="0.2">
      <c r="A58" s="316" t="s">
        <v>989</v>
      </c>
      <c r="B58" s="315" t="str">
        <f>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f>
        <v/>
      </c>
      <c r="C58" s="315"/>
    </row>
    <row r="59" spans="1:3" x14ac:dyDescent="0.2">
      <c r="A59" s="316" t="s">
        <v>683</v>
      </c>
      <c r="B59" t="str">
        <f>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(",_Neo_AfsprB_WondkweekTekst,") - "),""))</f>
        <v/>
      </c>
    </row>
    <row r="60" spans="1:3" x14ac:dyDescent="0.2">
      <c r="A60" s="316" t="s">
        <v>729</v>
      </c>
      <c r="B60" t="str">
        <f>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f>
        <v/>
      </c>
    </row>
    <row r="67" spans="1:1" x14ac:dyDescent="0.2">
      <c r="A67" s="316"/>
    </row>
    <row r="69" spans="1:1" x14ac:dyDescent="0.2">
      <c r="A69" s="316"/>
    </row>
    <row r="70" spans="1:1" x14ac:dyDescent="0.2">
      <c r="A70" s="315"/>
    </row>
    <row r="71" spans="1:1" x14ac:dyDescent="0.2">
      <c r="A71" s="316"/>
    </row>
    <row r="72" spans="1:1" x14ac:dyDescent="0.2">
      <c r="A72" s="316"/>
    </row>
    <row r="73" spans="1:1" x14ac:dyDescent="0.2">
      <c r="A73" s="316"/>
    </row>
    <row r="74" spans="1:1" x14ac:dyDescent="0.2">
      <c r="A74" s="316"/>
    </row>
    <row r="75" spans="1:1" x14ac:dyDescent="0.2">
      <c r="A75" s="316"/>
    </row>
    <row r="76" spans="1:1" x14ac:dyDescent="0.2">
      <c r="A76" s="316"/>
    </row>
    <row r="77" spans="1:1" x14ac:dyDescent="0.2">
      <c r="A77" s="316"/>
    </row>
    <row r="78" spans="1:1" x14ac:dyDescent="0.2">
      <c r="A78" s="316"/>
    </row>
    <row r="79" spans="1:1" x14ac:dyDescent="0.2">
      <c r="A79" s="316"/>
    </row>
    <row r="80" spans="1:1" x14ac:dyDescent="0.2">
      <c r="A80" s="316"/>
    </row>
    <row r="81" spans="1:1" x14ac:dyDescent="0.2">
      <c r="A81" s="316"/>
    </row>
    <row r="82" spans="1:1" x14ac:dyDescent="0.2">
      <c r="A82" s="316"/>
    </row>
    <row r="83" spans="1:1" x14ac:dyDescent="0.2">
      <c r="A83" s="315"/>
    </row>
    <row r="84" spans="1:1" x14ac:dyDescent="0.2">
      <c r="A84" s="316"/>
    </row>
    <row r="85" spans="1:1" x14ac:dyDescent="0.2">
      <c r="A85" s="316"/>
    </row>
    <row r="86" spans="1:1" x14ac:dyDescent="0.2">
      <c r="A86" s="320"/>
    </row>
    <row r="87" spans="1:1" x14ac:dyDescent="0.2">
      <c r="A87" s="316"/>
    </row>
    <row r="88" spans="1:1" x14ac:dyDescent="0.2">
      <c r="A88" s="316"/>
    </row>
    <row r="89" spans="1:1" x14ac:dyDescent="0.2">
      <c r="A89" s="316"/>
    </row>
    <row r="90" spans="1:1" x14ac:dyDescent="0.2">
      <c r="A90" s="316"/>
    </row>
    <row r="91" spans="1:1" x14ac:dyDescent="0.2">
      <c r="A91" s="316"/>
    </row>
    <row r="92" spans="1:1" x14ac:dyDescent="0.2">
      <c r="A92" s="316"/>
    </row>
    <row r="93" spans="1:1" x14ac:dyDescent="0.2">
      <c r="A93" s="316"/>
    </row>
    <row r="94" spans="1:1" x14ac:dyDescent="0.2">
      <c r="A94" s="316"/>
    </row>
    <row r="95" spans="1:1" x14ac:dyDescent="0.2">
      <c r="A95" s="316"/>
    </row>
    <row r="96" spans="1:1" x14ac:dyDescent="0.2">
      <c r="A96" s="316"/>
    </row>
    <row r="97" spans="1:1" x14ac:dyDescent="0.2">
      <c r="A97" s="316"/>
    </row>
    <row r="98" spans="1:1" x14ac:dyDescent="0.2">
      <c r="A98" s="316"/>
    </row>
    <row r="99" spans="1:1" x14ac:dyDescent="0.2">
      <c r="A99" s="316"/>
    </row>
    <row r="100" spans="1:1" x14ac:dyDescent="0.2">
      <c r="A100" s="316"/>
    </row>
    <row r="101" spans="1:1" x14ac:dyDescent="0.2">
      <c r="A101" s="316"/>
    </row>
    <row r="102" spans="1:1" x14ac:dyDescent="0.2">
      <c r="A102" s="316"/>
    </row>
    <row r="103" spans="1:1" x14ac:dyDescent="0.2">
      <c r="A103" s="316"/>
    </row>
    <row r="104" spans="1:1" x14ac:dyDescent="0.2">
      <c r="A104" s="316"/>
    </row>
    <row r="105" spans="1:1" x14ac:dyDescent="0.2">
      <c r="A105" s="316"/>
    </row>
    <row r="106" spans="1:1" x14ac:dyDescent="0.2">
      <c r="A106" s="316"/>
    </row>
    <row r="107" spans="1:1" x14ac:dyDescent="0.2">
      <c r="A107" s="315"/>
    </row>
    <row r="108" spans="1:1" x14ac:dyDescent="0.2">
      <c r="A108" s="315"/>
    </row>
  </sheetData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Lab">
    <tabColor rgb="FF7030A0"/>
    <pageSetUpPr autoPageBreaks="0"/>
  </sheetPr>
  <dimension ref="A1:CD43"/>
  <sheetViews>
    <sheetView zoomScale="85" workbookViewId="0">
      <pane ySplit="5" topLeftCell="A6" activePane="bottomLeft" state="frozen"/>
      <selection pane="bottomLeft"/>
    </sheetView>
  </sheetViews>
  <sheetFormatPr defaultColWidth="9.140625" defaultRowHeight="12.75" x14ac:dyDescent="0.2"/>
  <cols>
    <col min="1" max="1" width="3.7109375" style="329" customWidth="1"/>
    <col min="2" max="13" width="10.7109375" style="329" customWidth="1"/>
    <col min="14" max="15" width="2.140625" style="329" customWidth="1"/>
    <col min="16" max="21" width="10.7109375" style="329" customWidth="1"/>
    <col min="22" max="16384" width="9.140625" style="329"/>
  </cols>
  <sheetData>
    <row r="1" spans="1:82" s="137" customFormat="1" ht="7.5" customHeight="1" x14ac:dyDescent="0.2">
      <c r="A1" s="363"/>
      <c r="B1" s="136"/>
      <c r="C1" s="136"/>
      <c r="D1" s="136"/>
      <c r="E1" s="136"/>
      <c r="F1" s="136"/>
      <c r="G1" s="136"/>
      <c r="H1" s="136"/>
      <c r="I1" s="136"/>
      <c r="J1" s="136"/>
      <c r="K1" s="136"/>
      <c r="L1" s="136"/>
      <c r="N1" s="136"/>
      <c r="S1" s="136"/>
      <c r="T1" s="136"/>
      <c r="U1" s="136"/>
      <c r="V1" s="136"/>
      <c r="W1" s="136"/>
      <c r="X1" s="136"/>
      <c r="Y1" s="136"/>
    </row>
    <row r="2" spans="1:82" s="137" customFormat="1" ht="17.25" customHeight="1" x14ac:dyDescent="0.2">
      <c r="A2" s="136"/>
      <c r="B2" s="136"/>
      <c r="C2" s="138" t="s">
        <v>304</v>
      </c>
      <c r="D2" s="139">
        <f ca="1">Var_AfspraakDatum</f>
        <v>42750</v>
      </c>
      <c r="E2" s="140"/>
      <c r="F2" s="138" t="s">
        <v>305</v>
      </c>
      <c r="G2" s="136"/>
      <c r="H2" s="141">
        <f>_Pat_OpnDatum</f>
        <v>1462</v>
      </c>
      <c r="I2" s="138" t="str">
        <f ca="1">"ICU-dag: "&amp;Var_AfspraakDatum-_Pat_OpnDatum+1</f>
        <v>ICU-dag: 41289</v>
      </c>
      <c r="J2" s="144" t="str">
        <f>"Gewicht: "&amp;_Pat_Gewicht/10&amp;" kg"</f>
        <v>Gewicht: 0 kg</v>
      </c>
      <c r="L2" s="136"/>
      <c r="N2" s="136"/>
      <c r="S2" s="136"/>
      <c r="T2" s="136"/>
      <c r="U2" s="136"/>
      <c r="V2" s="136"/>
      <c r="W2" s="136"/>
      <c r="X2" s="136"/>
      <c r="Y2" s="136"/>
    </row>
    <row r="3" spans="1:82" s="137" customFormat="1" ht="17.25" customHeight="1" x14ac:dyDescent="0.2">
      <c r="A3" s="136"/>
      <c r="B3" s="142"/>
      <c r="C3" s="138" t="s">
        <v>28</v>
      </c>
      <c r="D3" s="143" t="str">
        <f>__2_AchterNaam&amp;", "&amp;__3_VoorNaam</f>
        <v xml:space="preserve">, </v>
      </c>
      <c r="E3" s="143"/>
      <c r="F3" s="138" t="s">
        <v>312</v>
      </c>
      <c r="G3" s="136"/>
      <c r="H3" s="141">
        <f>__4_GebDatum</f>
        <v>1462</v>
      </c>
      <c r="J3" s="144" t="str">
        <f>"Lengte: "&amp;_Pat_Lengte&amp;" cm"</f>
        <v>Lengte: 0 cm</v>
      </c>
      <c r="K3" s="138"/>
      <c r="L3" s="136"/>
      <c r="N3" s="314"/>
      <c r="S3" s="136"/>
      <c r="T3" s="136"/>
      <c r="U3" s="136"/>
      <c r="V3" s="136"/>
      <c r="W3" s="136"/>
      <c r="X3" s="136"/>
      <c r="Y3" s="136"/>
    </row>
    <row r="4" spans="1:82" s="137" customFormat="1" ht="17.25" customHeight="1" x14ac:dyDescent="0.2">
      <c r="A4" s="145"/>
      <c r="B4" s="145"/>
      <c r="C4" s="138" t="s">
        <v>345</v>
      </c>
      <c r="D4" s="144">
        <f>__0_PatNum</f>
        <v>0</v>
      </c>
      <c r="E4" s="140"/>
      <c r="F4" s="138" t="s">
        <v>275</v>
      </c>
      <c r="G4" s="145"/>
      <c r="H4" s="146" t="str">
        <f ca="1">TRUNC((Var_AfspraakDatum-__4_GebDatum)/365,0)&amp;" jaar en "&amp;TRUNC(((Var_AfspraakDatum-__4_GebDatum)-365*TRUNC((Var_AfspraakDatum-__4_GebDatum)/365,0))/30,0)&amp;" maand(-en)"</f>
        <v>113 jaar en 1 maand(-en)</v>
      </c>
      <c r="I4" s="138"/>
      <c r="J4" s="138" t="str">
        <f>"Lichamelijk oppervlak: "&amp;ROUND(POWER(_Pat_Gewicht/10,0.425)*POWER(((_Pat_Lengte/100)*100),0.725)*0.007184,2)&amp;" m2"</f>
        <v>Lichamelijk oppervlak: 0 m2</v>
      </c>
      <c r="K4" s="138"/>
      <c r="L4" s="145"/>
      <c r="N4" s="145"/>
      <c r="S4" s="145"/>
      <c r="T4" s="145"/>
      <c r="U4" s="145"/>
      <c r="V4" s="145"/>
      <c r="W4" s="145"/>
      <c r="X4" s="145"/>
      <c r="Y4" s="145"/>
      <c r="Z4" s="147"/>
      <c r="AA4" s="147"/>
      <c r="AB4" s="147"/>
      <c r="AC4" s="147"/>
      <c r="AD4" s="147"/>
      <c r="AE4" s="147"/>
      <c r="AF4" s="147"/>
      <c r="AG4" s="147"/>
      <c r="AH4" s="147"/>
      <c r="AI4" s="147"/>
      <c r="AJ4" s="147"/>
      <c r="AK4" s="147"/>
      <c r="AL4" s="147"/>
      <c r="AM4" s="147"/>
      <c r="AN4" s="147"/>
      <c r="AO4" s="147"/>
      <c r="AP4" s="147"/>
      <c r="AQ4" s="147"/>
      <c r="AR4" s="147"/>
      <c r="AS4" s="147"/>
      <c r="AT4" s="147"/>
      <c r="AU4" s="147"/>
      <c r="AV4" s="147"/>
      <c r="AW4" s="147"/>
      <c r="AX4" s="147"/>
      <c r="AY4" s="147"/>
      <c r="AZ4" s="147"/>
      <c r="BA4" s="147"/>
      <c r="BB4" s="147"/>
      <c r="BC4" s="147"/>
      <c r="BD4" s="147"/>
      <c r="BE4" s="147"/>
      <c r="BF4" s="147"/>
      <c r="BG4" s="147"/>
      <c r="BH4" s="147"/>
      <c r="BI4" s="147"/>
      <c r="BJ4" s="147"/>
      <c r="BK4" s="147"/>
      <c r="BL4" s="147"/>
      <c r="BM4" s="147"/>
      <c r="BN4" s="147"/>
      <c r="BO4" s="147"/>
      <c r="BP4" s="147"/>
      <c r="BQ4" s="147"/>
      <c r="BR4" s="147"/>
      <c r="BS4" s="147"/>
      <c r="BT4" s="147"/>
      <c r="BU4" s="147"/>
      <c r="BV4" s="147"/>
      <c r="BW4" s="147"/>
      <c r="BX4" s="147"/>
      <c r="BY4" s="147"/>
      <c r="BZ4" s="147"/>
      <c r="CA4" s="147"/>
      <c r="CB4" s="147"/>
      <c r="CC4" s="147"/>
      <c r="CD4" s="147"/>
    </row>
    <row r="5" spans="1:82" s="137" customFormat="1" ht="17.25" customHeight="1" x14ac:dyDescent="0.2">
      <c r="A5" s="145"/>
      <c r="B5" s="145"/>
      <c r="C5" s="152" t="s">
        <v>519</v>
      </c>
      <c r="D5" s="152">
        <f>__1_Bed</f>
        <v>0</v>
      </c>
      <c r="E5" s="140"/>
      <c r="F5" s="138"/>
      <c r="G5" s="145"/>
      <c r="H5" s="146"/>
      <c r="I5" s="138"/>
      <c r="J5" s="138"/>
      <c r="K5" s="138"/>
      <c r="L5" s="145"/>
      <c r="N5" s="145"/>
      <c r="S5" s="145"/>
      <c r="T5" s="145"/>
      <c r="U5" s="145"/>
      <c r="V5" s="145"/>
      <c r="W5" s="145"/>
      <c r="X5" s="145"/>
      <c r="Y5" s="145"/>
      <c r="Z5" s="147"/>
      <c r="AA5" s="147"/>
      <c r="AB5" s="147"/>
      <c r="AC5" s="147"/>
      <c r="AD5" s="147"/>
      <c r="AE5" s="147"/>
      <c r="AF5" s="147"/>
      <c r="AG5" s="147"/>
      <c r="AH5" s="147"/>
      <c r="AI5" s="147"/>
      <c r="AJ5" s="147"/>
      <c r="AK5" s="147"/>
      <c r="AL5" s="147"/>
      <c r="AM5" s="147"/>
      <c r="AN5" s="147"/>
      <c r="AO5" s="147"/>
      <c r="AP5" s="147"/>
      <c r="AQ5" s="147"/>
      <c r="AR5" s="147"/>
      <c r="AS5" s="147"/>
      <c r="AT5" s="147"/>
      <c r="AU5" s="147"/>
      <c r="AV5" s="147"/>
      <c r="AW5" s="147"/>
      <c r="AX5" s="147"/>
      <c r="AY5" s="147"/>
      <c r="AZ5" s="147"/>
      <c r="BA5" s="147"/>
      <c r="BB5" s="147"/>
      <c r="BC5" s="147"/>
      <c r="BD5" s="147"/>
      <c r="BE5" s="147"/>
      <c r="BF5" s="147"/>
      <c r="BG5" s="147"/>
      <c r="BH5" s="147"/>
      <c r="BI5" s="147"/>
      <c r="BJ5" s="147"/>
      <c r="BK5" s="147"/>
      <c r="BL5" s="147"/>
      <c r="BM5" s="147"/>
      <c r="BN5" s="147"/>
      <c r="BO5" s="147"/>
      <c r="BP5" s="147"/>
      <c r="BQ5" s="147"/>
      <c r="BR5" s="147"/>
      <c r="BS5" s="147"/>
      <c r="BT5" s="147"/>
      <c r="BU5" s="147"/>
      <c r="BV5" s="147"/>
      <c r="BW5" s="147"/>
      <c r="BX5" s="147"/>
      <c r="BY5" s="147"/>
      <c r="BZ5" s="147"/>
      <c r="CA5" s="147"/>
      <c r="CB5" s="147"/>
      <c r="CC5" s="147"/>
      <c r="CD5" s="147"/>
    </row>
    <row r="6" spans="1:82" s="486" customFormat="1" x14ac:dyDescent="0.2">
      <c r="A6" s="487"/>
      <c r="B6" s="330"/>
    </row>
    <row r="7" spans="1:82" s="486" customFormat="1" x14ac:dyDescent="0.2">
      <c r="A7" s="487"/>
      <c r="B7" s="330"/>
    </row>
    <row r="8" spans="1:82" ht="11.25" customHeight="1" x14ac:dyDescent="0.2">
      <c r="A8" s="367"/>
      <c r="B8" s="325" t="s">
        <v>147</v>
      </c>
      <c r="C8" s="326"/>
      <c r="D8" s="327" t="s">
        <v>734</v>
      </c>
      <c r="E8" s="326"/>
      <c r="F8" s="326"/>
      <c r="G8" s="324"/>
      <c r="H8" s="328"/>
      <c r="I8" s="324"/>
      <c r="J8" s="324"/>
      <c r="K8" s="324"/>
      <c r="L8" s="324"/>
      <c r="M8" s="324"/>
      <c r="N8" s="324"/>
    </row>
    <row r="9" spans="1:82" x14ac:dyDescent="0.2">
      <c r="A9" s="324"/>
      <c r="B9" s="330"/>
    </row>
    <row r="10" spans="1:82" ht="18.75" customHeight="1" x14ac:dyDescent="0.2">
      <c r="A10" s="324"/>
      <c r="B10" s="264" t="s">
        <v>732</v>
      </c>
      <c r="C10" s="331"/>
      <c r="D10" s="264" t="s">
        <v>735</v>
      </c>
      <c r="E10" s="331"/>
      <c r="F10" s="264" t="s">
        <v>736</v>
      </c>
      <c r="G10" s="331"/>
      <c r="H10" s="264" t="s">
        <v>737</v>
      </c>
      <c r="I10" s="331"/>
      <c r="J10" s="264" t="s">
        <v>148</v>
      </c>
      <c r="K10" s="331"/>
      <c r="L10" s="264" t="s">
        <v>738</v>
      </c>
      <c r="M10" s="331"/>
      <c r="N10" s="264"/>
      <c r="O10" s="331"/>
      <c r="P10" s="264" t="s">
        <v>1109</v>
      </c>
      <c r="Q10" s="264" t="s">
        <v>742</v>
      </c>
      <c r="R10" s="264" t="s">
        <v>1107</v>
      </c>
      <c r="S10" s="264" t="s">
        <v>742</v>
      </c>
      <c r="T10" s="264" t="s">
        <v>1110</v>
      </c>
      <c r="U10" s="264" t="s">
        <v>742</v>
      </c>
    </row>
    <row r="11" spans="1:82" ht="26.25" customHeight="1" x14ac:dyDescent="0.2">
      <c r="B11" s="332"/>
      <c r="C11" s="333"/>
      <c r="D11" s="332"/>
      <c r="E11" s="332"/>
      <c r="F11" s="332"/>
      <c r="G11" s="332"/>
      <c r="H11" s="332"/>
      <c r="I11" s="332"/>
      <c r="J11" s="332"/>
      <c r="K11" s="332"/>
      <c r="L11" s="332"/>
      <c r="M11" s="332"/>
      <c r="N11" s="332"/>
      <c r="O11" s="332"/>
      <c r="P11" s="332"/>
      <c r="Q11" s="332"/>
      <c r="R11" s="332"/>
      <c r="S11" s="332"/>
      <c r="T11" s="332"/>
      <c r="U11" s="332"/>
    </row>
    <row r="12" spans="1:82" ht="26.25" customHeight="1" x14ac:dyDescent="0.2">
      <c r="B12" s="332"/>
      <c r="C12" s="333"/>
      <c r="D12" s="332"/>
      <c r="E12" s="332"/>
      <c r="F12" s="332"/>
      <c r="G12" s="332"/>
      <c r="H12" s="332"/>
      <c r="I12" s="332"/>
      <c r="J12" s="332"/>
      <c r="K12" s="332"/>
      <c r="L12" s="332"/>
      <c r="M12" s="332"/>
      <c r="N12" s="332"/>
      <c r="O12" s="332"/>
      <c r="P12" s="332"/>
      <c r="Q12" s="332"/>
      <c r="R12" s="332"/>
      <c r="S12" s="332"/>
      <c r="T12" s="332"/>
      <c r="U12" s="332"/>
    </row>
    <row r="13" spans="1:82" ht="26.25" customHeight="1" x14ac:dyDescent="0.2">
      <c r="A13" s="373"/>
      <c r="B13" s="332"/>
      <c r="C13" s="333"/>
      <c r="D13" s="332"/>
      <c r="E13" s="332"/>
      <c r="F13" s="332"/>
      <c r="G13" s="332"/>
      <c r="H13" s="332"/>
      <c r="I13" s="332"/>
      <c r="J13" s="332"/>
      <c r="K13" s="332"/>
      <c r="L13" s="332"/>
      <c r="M13" s="332"/>
      <c r="N13" s="332"/>
      <c r="O13" s="332"/>
      <c r="P13" s="332"/>
      <c r="Q13" s="332"/>
      <c r="R13" s="332"/>
      <c r="S13" s="332"/>
      <c r="T13" s="332"/>
      <c r="U13" s="332"/>
    </row>
    <row r="14" spans="1:82" ht="26.25" customHeight="1" x14ac:dyDescent="0.2">
      <c r="B14" s="332"/>
      <c r="C14" s="333"/>
      <c r="D14" s="332"/>
      <c r="E14" s="332"/>
      <c r="F14" s="332"/>
      <c r="G14" s="332"/>
      <c r="H14" s="332"/>
      <c r="I14" s="332"/>
      <c r="J14" s="332"/>
      <c r="K14" s="332"/>
      <c r="L14" s="332"/>
      <c r="M14" s="332"/>
      <c r="N14" s="332"/>
      <c r="O14" s="332"/>
      <c r="P14" s="332"/>
      <c r="Q14" s="332"/>
      <c r="R14" s="332"/>
      <c r="S14" s="332"/>
      <c r="T14" s="332"/>
      <c r="U14" s="332"/>
    </row>
    <row r="15" spans="1:82" ht="26.25" customHeight="1" x14ac:dyDescent="0.2">
      <c r="B15" s="332"/>
      <c r="C15" s="333"/>
      <c r="D15" s="332"/>
      <c r="E15" s="332"/>
      <c r="F15" s="332"/>
      <c r="G15" s="332"/>
      <c r="H15" s="332"/>
      <c r="I15" s="332"/>
      <c r="J15" s="332"/>
      <c r="K15" s="332"/>
      <c r="L15" s="332"/>
      <c r="M15" s="332"/>
      <c r="N15" s="332"/>
      <c r="O15" s="332"/>
      <c r="P15" s="332"/>
      <c r="Q15" s="332"/>
      <c r="R15" s="332"/>
      <c r="S15" s="332"/>
      <c r="T15" s="332"/>
      <c r="U15" s="332"/>
    </row>
    <row r="16" spans="1:82" ht="26.25" customHeight="1" x14ac:dyDescent="0.2">
      <c r="B16" s="332"/>
      <c r="C16" s="333"/>
      <c r="D16" s="332"/>
      <c r="E16" s="332"/>
      <c r="F16" s="332"/>
      <c r="G16" s="332"/>
      <c r="H16" s="332"/>
      <c r="I16" s="332"/>
      <c r="J16" s="332"/>
      <c r="K16" s="332"/>
      <c r="L16" s="332"/>
      <c r="M16" s="332"/>
      <c r="N16" s="332"/>
      <c r="O16" s="332"/>
      <c r="P16" s="332"/>
      <c r="Q16" s="332"/>
      <c r="R16" s="332"/>
      <c r="S16" s="332"/>
      <c r="T16" s="332"/>
      <c r="U16" s="332"/>
    </row>
    <row r="17" spans="2:21" ht="26.25" customHeight="1" x14ac:dyDescent="0.2">
      <c r="B17" s="332"/>
      <c r="C17" s="333"/>
      <c r="D17" s="332"/>
      <c r="E17" s="332"/>
      <c r="F17" s="332"/>
      <c r="G17" s="332"/>
      <c r="H17" s="332"/>
      <c r="I17" s="332"/>
      <c r="J17" s="332"/>
      <c r="K17" s="332"/>
      <c r="L17" s="332"/>
      <c r="M17" s="332"/>
      <c r="N17" s="332"/>
      <c r="O17" s="332"/>
      <c r="P17" s="332"/>
      <c r="Q17" s="332"/>
      <c r="R17" s="332"/>
      <c r="S17" s="332"/>
      <c r="T17" s="332"/>
      <c r="U17" s="332"/>
    </row>
    <row r="18" spans="2:21" ht="26.25" customHeight="1" x14ac:dyDescent="0.2">
      <c r="B18" s="332"/>
      <c r="C18" s="333"/>
      <c r="D18" s="332"/>
      <c r="E18" s="332"/>
      <c r="F18" s="332"/>
      <c r="G18" s="332"/>
      <c r="H18" s="332"/>
      <c r="I18" s="332"/>
      <c r="J18" s="332"/>
      <c r="K18" s="332"/>
      <c r="L18" s="332"/>
      <c r="M18" s="332"/>
      <c r="N18" s="332"/>
      <c r="O18" s="332"/>
      <c r="P18" s="332"/>
      <c r="Q18" s="332"/>
      <c r="R18" s="332"/>
      <c r="S18" s="332"/>
      <c r="T18" s="332"/>
      <c r="U18" s="332"/>
    </row>
    <row r="19" spans="2:21" ht="26.25" customHeight="1" x14ac:dyDescent="0.2">
      <c r="B19" s="332"/>
      <c r="C19" s="333"/>
      <c r="D19" s="332"/>
      <c r="E19" s="332"/>
      <c r="F19" s="332"/>
      <c r="G19" s="332"/>
      <c r="H19" s="332"/>
      <c r="I19" s="332"/>
      <c r="J19" s="332"/>
      <c r="K19" s="332"/>
      <c r="L19" s="332"/>
      <c r="M19" s="332"/>
      <c r="N19" s="332"/>
      <c r="O19" s="332"/>
      <c r="P19" s="332"/>
      <c r="Q19" s="332"/>
      <c r="R19" s="332"/>
      <c r="S19" s="332"/>
      <c r="T19" s="332"/>
      <c r="U19" s="332"/>
    </row>
    <row r="20" spans="2:21" ht="26.25" customHeight="1" x14ac:dyDescent="0.2">
      <c r="B20" s="332"/>
      <c r="C20" s="333"/>
      <c r="D20" s="332"/>
      <c r="E20" s="332"/>
      <c r="F20" s="332"/>
      <c r="G20" s="332"/>
      <c r="H20" s="332"/>
      <c r="I20" s="332"/>
      <c r="J20" s="332"/>
      <c r="K20" s="332"/>
      <c r="L20" s="332"/>
      <c r="M20" s="332"/>
      <c r="N20" s="332"/>
      <c r="O20" s="332"/>
      <c r="P20" s="332"/>
      <c r="Q20" s="332"/>
      <c r="R20" s="332"/>
      <c r="S20" s="332"/>
      <c r="T20" s="332"/>
      <c r="U20" s="332"/>
    </row>
    <row r="21" spans="2:21" ht="26.25" customHeight="1" x14ac:dyDescent="0.2">
      <c r="B21" s="332"/>
      <c r="C21" s="333"/>
      <c r="D21" s="332"/>
      <c r="E21" s="332"/>
      <c r="F21" s="332"/>
      <c r="G21" s="332"/>
      <c r="H21" s="332"/>
      <c r="I21" s="332"/>
      <c r="J21" s="332"/>
      <c r="K21" s="332"/>
      <c r="L21" s="332"/>
      <c r="M21" s="332"/>
      <c r="N21" s="332"/>
      <c r="O21" s="332"/>
      <c r="P21" s="332"/>
      <c r="Q21" s="332"/>
      <c r="R21" s="332"/>
      <c r="S21" s="332"/>
      <c r="T21" s="332"/>
      <c r="U21" s="332"/>
    </row>
    <row r="22" spans="2:21" ht="26.25" customHeight="1" x14ac:dyDescent="0.2">
      <c r="B22" s="332"/>
      <c r="C22" s="333"/>
      <c r="D22" s="332"/>
      <c r="E22" s="332"/>
      <c r="F22" s="332"/>
      <c r="G22" s="332"/>
      <c r="H22" s="332"/>
      <c r="I22" s="332"/>
      <c r="J22" s="332"/>
      <c r="K22" s="332"/>
      <c r="L22" s="332"/>
      <c r="M22" s="332"/>
      <c r="N22" s="332"/>
      <c r="O22" s="332"/>
      <c r="P22" s="332"/>
      <c r="Q22" s="332"/>
      <c r="R22" s="332"/>
      <c r="S22" s="332"/>
      <c r="T22" s="332"/>
      <c r="U22" s="332"/>
    </row>
    <row r="23" spans="2:21" ht="26.25" customHeight="1" x14ac:dyDescent="0.2">
      <c r="B23" s="332"/>
      <c r="C23" s="333"/>
      <c r="D23" s="332"/>
      <c r="E23" s="332"/>
      <c r="F23" s="332"/>
      <c r="G23" s="332"/>
      <c r="H23" s="332"/>
      <c r="I23" s="332"/>
      <c r="J23" s="332"/>
      <c r="K23" s="332"/>
      <c r="L23" s="332"/>
      <c r="M23" s="332"/>
      <c r="N23" s="332"/>
      <c r="O23" s="332"/>
      <c r="P23" s="332"/>
      <c r="Q23" s="332"/>
      <c r="R23" s="332"/>
      <c r="S23" s="332"/>
      <c r="T23" s="332"/>
      <c r="U23" s="332"/>
    </row>
    <row r="24" spans="2:21" ht="26.25" customHeight="1" x14ac:dyDescent="0.2">
      <c r="B24" s="332"/>
      <c r="C24" s="333"/>
      <c r="D24" s="332"/>
      <c r="E24" s="332"/>
      <c r="F24" s="332"/>
      <c r="G24" s="332"/>
      <c r="H24" s="332"/>
      <c r="I24" s="332"/>
      <c r="J24" s="332"/>
      <c r="K24" s="332"/>
      <c r="L24" s="332"/>
      <c r="M24" s="332"/>
      <c r="N24" s="332"/>
      <c r="O24" s="332"/>
      <c r="P24" s="332"/>
      <c r="Q24" s="332"/>
      <c r="R24" s="332"/>
      <c r="S24" s="332"/>
      <c r="T24" s="332"/>
      <c r="U24" s="332"/>
    </row>
    <row r="25" spans="2:21" ht="26.25" customHeight="1" x14ac:dyDescent="0.2">
      <c r="B25" s="332"/>
      <c r="C25" s="333"/>
      <c r="D25" s="332"/>
      <c r="E25" s="332"/>
      <c r="F25" s="332"/>
      <c r="G25" s="332"/>
      <c r="H25" s="332"/>
      <c r="I25" s="332"/>
      <c r="J25" s="332"/>
      <c r="K25" s="332"/>
      <c r="L25" s="332"/>
      <c r="M25" s="332"/>
      <c r="N25" s="332"/>
      <c r="O25" s="332"/>
      <c r="P25" s="332"/>
      <c r="Q25" s="332"/>
      <c r="R25" s="332"/>
      <c r="S25" s="332"/>
      <c r="T25" s="332"/>
      <c r="U25" s="332"/>
    </row>
    <row r="26" spans="2:21" ht="26.25" customHeight="1" x14ac:dyDescent="0.2">
      <c r="B26" s="332"/>
      <c r="C26" s="333"/>
      <c r="D26" s="332"/>
      <c r="E26" s="332"/>
      <c r="F26" s="332"/>
      <c r="G26" s="332"/>
      <c r="H26" s="332"/>
      <c r="I26" s="332"/>
      <c r="J26" s="332"/>
      <c r="K26" s="332"/>
      <c r="L26" s="332"/>
      <c r="M26" s="332"/>
      <c r="N26" s="332"/>
      <c r="O26" s="332"/>
      <c r="P26" s="332"/>
      <c r="Q26" s="332"/>
      <c r="R26" s="332"/>
      <c r="S26" s="332"/>
      <c r="T26" s="332"/>
      <c r="U26" s="332"/>
    </row>
    <row r="27" spans="2:21" ht="26.25" customHeight="1" x14ac:dyDescent="0.2">
      <c r="B27" s="332"/>
      <c r="C27" s="333"/>
      <c r="D27" s="332"/>
      <c r="E27" s="332"/>
      <c r="F27" s="332"/>
      <c r="G27" s="332"/>
      <c r="H27" s="332"/>
      <c r="I27" s="332"/>
      <c r="J27" s="332"/>
      <c r="K27" s="332"/>
      <c r="L27" s="332"/>
      <c r="M27" s="332"/>
      <c r="N27" s="332"/>
      <c r="O27" s="332"/>
      <c r="P27" s="332"/>
      <c r="Q27" s="332"/>
      <c r="R27" s="332"/>
      <c r="S27" s="332"/>
      <c r="T27" s="332"/>
      <c r="U27" s="332"/>
    </row>
    <row r="28" spans="2:21" ht="26.25" customHeight="1" x14ac:dyDescent="0.2">
      <c r="B28" s="332"/>
      <c r="C28" s="333"/>
      <c r="D28" s="332"/>
      <c r="E28" s="332"/>
      <c r="F28" s="332"/>
      <c r="G28" s="332"/>
      <c r="H28" s="332"/>
      <c r="I28" s="332"/>
      <c r="J28" s="332"/>
      <c r="K28" s="332"/>
      <c r="L28" s="332"/>
      <c r="M28" s="332"/>
      <c r="N28" s="332"/>
      <c r="O28" s="332"/>
      <c r="P28" s="332"/>
      <c r="Q28" s="332"/>
      <c r="R28" s="332"/>
      <c r="S28" s="332"/>
      <c r="T28" s="332"/>
      <c r="U28" s="332"/>
    </row>
    <row r="29" spans="2:21" ht="26.25" customHeight="1" x14ac:dyDescent="0.2">
      <c r="B29" s="332"/>
      <c r="C29" s="333"/>
      <c r="D29" s="332"/>
      <c r="E29" s="332"/>
      <c r="F29" s="332"/>
      <c r="G29" s="332"/>
      <c r="H29" s="332"/>
      <c r="I29" s="332"/>
      <c r="J29" s="332"/>
      <c r="K29" s="332"/>
      <c r="L29" s="332"/>
      <c r="M29" s="332"/>
      <c r="N29" s="332"/>
      <c r="O29" s="332"/>
      <c r="P29" s="332"/>
      <c r="Q29" s="332"/>
      <c r="R29" s="332"/>
      <c r="S29" s="332"/>
      <c r="T29" s="332"/>
      <c r="U29" s="332"/>
    </row>
    <row r="30" spans="2:21" ht="26.25" customHeight="1" x14ac:dyDescent="0.2">
      <c r="B30" s="332"/>
      <c r="C30" s="333"/>
      <c r="D30" s="332"/>
      <c r="E30" s="332"/>
      <c r="F30" s="332"/>
      <c r="G30" s="332"/>
      <c r="H30" s="332"/>
      <c r="I30" s="332"/>
      <c r="J30" s="332"/>
      <c r="K30" s="332"/>
      <c r="L30" s="332"/>
      <c r="M30" s="332"/>
      <c r="N30" s="332"/>
      <c r="O30" s="332"/>
      <c r="P30" s="332"/>
      <c r="Q30" s="332"/>
      <c r="R30" s="332"/>
      <c r="S30" s="332"/>
      <c r="T30" s="332"/>
      <c r="U30" s="332"/>
    </row>
    <row r="31" spans="2:21" ht="26.25" customHeight="1" x14ac:dyDescent="0.2">
      <c r="B31" s="332"/>
      <c r="C31" s="333"/>
      <c r="D31" s="332"/>
      <c r="E31" s="332"/>
      <c r="F31" s="332"/>
      <c r="G31" s="332"/>
      <c r="H31" s="332"/>
      <c r="I31" s="332"/>
      <c r="J31" s="332"/>
      <c r="K31" s="332"/>
      <c r="L31" s="332"/>
      <c r="M31" s="332"/>
      <c r="N31" s="332"/>
      <c r="O31" s="332"/>
      <c r="P31" s="332"/>
      <c r="Q31" s="332"/>
      <c r="R31" s="332"/>
      <c r="S31" s="332"/>
      <c r="T31" s="332"/>
      <c r="U31" s="332"/>
    </row>
    <row r="32" spans="2:21" ht="26.25" customHeight="1" x14ac:dyDescent="0.2">
      <c r="B32" s="332"/>
      <c r="C32" s="333"/>
      <c r="D32" s="332"/>
      <c r="E32" s="332"/>
      <c r="F32" s="332"/>
      <c r="G32" s="332"/>
      <c r="H32" s="332"/>
      <c r="I32" s="332"/>
      <c r="J32" s="332"/>
      <c r="K32" s="332"/>
      <c r="L32" s="332"/>
      <c r="M32" s="332"/>
      <c r="N32" s="332"/>
      <c r="O32" s="332"/>
      <c r="P32" s="332"/>
      <c r="Q32" s="332"/>
      <c r="R32" s="332"/>
      <c r="S32" s="332"/>
      <c r="T32" s="332"/>
      <c r="U32" s="332"/>
    </row>
    <row r="33" spans="2:21" ht="26.25" customHeight="1" x14ac:dyDescent="0.2">
      <c r="B33" s="332"/>
      <c r="C33" s="333"/>
      <c r="D33" s="332"/>
      <c r="E33" s="332"/>
      <c r="F33" s="332"/>
      <c r="G33" s="332"/>
      <c r="H33" s="332"/>
      <c r="I33" s="332"/>
      <c r="J33" s="332"/>
      <c r="K33" s="332"/>
      <c r="L33" s="332"/>
      <c r="M33" s="332"/>
      <c r="N33" s="332"/>
      <c r="O33" s="332"/>
      <c r="P33" s="332"/>
      <c r="Q33" s="332"/>
      <c r="R33" s="332"/>
      <c r="S33" s="332"/>
      <c r="T33" s="332"/>
      <c r="U33" s="332"/>
    </row>
    <row r="34" spans="2:21" ht="26.25" customHeight="1" x14ac:dyDescent="0.2">
      <c r="B34" s="332"/>
      <c r="C34" s="333"/>
      <c r="D34" s="332"/>
      <c r="E34" s="332"/>
      <c r="F34" s="332"/>
      <c r="G34" s="332"/>
      <c r="H34" s="332"/>
      <c r="I34" s="332"/>
      <c r="J34" s="332"/>
      <c r="K34" s="332"/>
      <c r="L34" s="332"/>
      <c r="M34" s="332"/>
      <c r="N34" s="332"/>
      <c r="O34" s="332"/>
      <c r="P34" s="332"/>
      <c r="Q34" s="332"/>
      <c r="R34" s="332"/>
      <c r="S34" s="332"/>
      <c r="T34" s="332"/>
      <c r="U34" s="332"/>
    </row>
    <row r="35" spans="2:21" ht="26.25" customHeight="1" x14ac:dyDescent="0.2">
      <c r="B35" s="332"/>
      <c r="C35" s="333"/>
      <c r="D35" s="332"/>
      <c r="E35" s="332"/>
      <c r="F35" s="332"/>
      <c r="G35" s="332"/>
      <c r="H35" s="332"/>
      <c r="I35" s="332"/>
      <c r="J35" s="332"/>
      <c r="K35" s="332"/>
      <c r="L35" s="332"/>
      <c r="M35" s="332"/>
      <c r="N35" s="332"/>
      <c r="O35" s="332"/>
      <c r="P35" s="332"/>
      <c r="Q35" s="332"/>
      <c r="R35" s="332"/>
      <c r="S35" s="332"/>
      <c r="T35" s="332"/>
      <c r="U35" s="332"/>
    </row>
    <row r="36" spans="2:21" ht="26.25" customHeight="1" x14ac:dyDescent="0.2">
      <c r="B36" s="332"/>
      <c r="C36" s="333"/>
      <c r="D36" s="332"/>
      <c r="E36" s="332"/>
      <c r="F36" s="332"/>
      <c r="G36" s="332"/>
      <c r="H36" s="332"/>
      <c r="I36" s="332"/>
      <c r="J36" s="332"/>
      <c r="K36" s="332"/>
      <c r="L36" s="332"/>
      <c r="M36" s="332"/>
      <c r="N36" s="332"/>
      <c r="O36" s="332"/>
      <c r="P36" s="332"/>
      <c r="Q36" s="332"/>
      <c r="R36" s="332"/>
      <c r="S36" s="332"/>
      <c r="T36" s="332"/>
      <c r="U36" s="332"/>
    </row>
    <row r="37" spans="2:21" ht="26.25" customHeight="1" x14ac:dyDescent="0.2">
      <c r="B37" s="332"/>
      <c r="C37" s="333"/>
      <c r="D37" s="332"/>
      <c r="E37" s="332"/>
      <c r="F37" s="332"/>
      <c r="G37" s="332"/>
      <c r="H37" s="332"/>
      <c r="I37" s="332"/>
      <c r="J37" s="332"/>
      <c r="K37" s="332"/>
      <c r="L37" s="332"/>
      <c r="M37" s="332"/>
      <c r="N37" s="332"/>
      <c r="O37" s="332"/>
      <c r="P37" s="332"/>
      <c r="Q37" s="332"/>
      <c r="R37" s="332"/>
      <c r="S37" s="332"/>
      <c r="T37" s="332"/>
      <c r="U37" s="332"/>
    </row>
    <row r="38" spans="2:21" ht="26.25" customHeight="1" x14ac:dyDescent="0.2">
      <c r="B38" s="332"/>
      <c r="C38" s="333"/>
      <c r="D38" s="332"/>
      <c r="E38" s="332"/>
      <c r="F38" s="332"/>
      <c r="G38" s="332"/>
      <c r="H38" s="332"/>
      <c r="I38" s="332"/>
      <c r="J38" s="332"/>
      <c r="K38" s="332"/>
      <c r="L38" s="332"/>
      <c r="M38" s="332"/>
      <c r="N38" s="332"/>
      <c r="O38" s="332"/>
      <c r="P38" s="332"/>
      <c r="Q38" s="332"/>
      <c r="R38" s="332"/>
      <c r="S38" s="332"/>
      <c r="T38" s="332"/>
      <c r="U38" s="332"/>
    </row>
    <row r="39" spans="2:21" ht="26.25" customHeight="1" x14ac:dyDescent="0.2">
      <c r="B39" s="332"/>
      <c r="C39" s="333"/>
      <c r="D39" s="332"/>
      <c r="E39" s="332"/>
      <c r="F39" s="332"/>
      <c r="G39" s="332"/>
      <c r="H39" s="332"/>
      <c r="I39" s="332"/>
      <c r="J39" s="332"/>
      <c r="K39" s="332"/>
      <c r="L39" s="332"/>
      <c r="M39" s="332"/>
      <c r="N39" s="332"/>
      <c r="O39" s="332"/>
      <c r="P39" s="332"/>
      <c r="Q39" s="332"/>
      <c r="R39" s="332"/>
      <c r="S39" s="332"/>
      <c r="T39" s="332"/>
      <c r="U39" s="332"/>
    </row>
    <row r="40" spans="2:21" ht="26.25" customHeight="1" x14ac:dyDescent="0.2">
      <c r="B40" s="332"/>
      <c r="C40" s="333"/>
      <c r="D40" s="332"/>
      <c r="E40" s="332"/>
      <c r="F40" s="332"/>
      <c r="G40" s="332"/>
      <c r="H40" s="332"/>
      <c r="I40" s="332"/>
      <c r="J40" s="332"/>
      <c r="K40" s="332"/>
      <c r="L40" s="332"/>
      <c r="M40" s="332"/>
      <c r="N40" s="332"/>
      <c r="O40" s="332"/>
      <c r="P40" s="332"/>
      <c r="Q40" s="332"/>
      <c r="R40" s="332"/>
      <c r="S40" s="332"/>
      <c r="T40" s="332"/>
      <c r="U40" s="332"/>
    </row>
    <row r="41" spans="2:21" ht="26.25" customHeight="1" x14ac:dyDescent="0.2">
      <c r="B41" s="332"/>
      <c r="C41" s="333"/>
      <c r="D41" s="332"/>
      <c r="E41" s="332"/>
      <c r="F41" s="332"/>
      <c r="G41" s="332"/>
      <c r="H41" s="332"/>
      <c r="I41" s="332"/>
      <c r="J41" s="332"/>
      <c r="K41" s="332"/>
      <c r="L41" s="332"/>
      <c r="M41" s="332"/>
      <c r="N41" s="332"/>
      <c r="O41" s="332"/>
      <c r="P41" s="332"/>
      <c r="Q41" s="332"/>
      <c r="R41" s="332"/>
      <c r="S41" s="332"/>
      <c r="T41" s="332"/>
      <c r="U41" s="332"/>
    </row>
    <row r="42" spans="2:21" ht="26.25" customHeight="1" x14ac:dyDescent="0.2">
      <c r="B42" s="332"/>
      <c r="C42" s="333"/>
      <c r="D42" s="332"/>
      <c r="E42" s="332"/>
      <c r="F42" s="332"/>
      <c r="G42" s="332"/>
      <c r="H42" s="332"/>
      <c r="I42" s="332"/>
      <c r="J42" s="332"/>
      <c r="K42" s="332"/>
      <c r="L42" s="332"/>
      <c r="M42" s="332"/>
      <c r="N42" s="332"/>
      <c r="O42" s="332"/>
      <c r="P42" s="332"/>
      <c r="Q42" s="332"/>
      <c r="R42" s="332"/>
      <c r="S42" s="332"/>
      <c r="T42" s="332"/>
      <c r="U42" s="332"/>
    </row>
    <row r="43" spans="2:21" x14ac:dyDescent="0.2">
      <c r="B43" s="334" t="s">
        <v>292</v>
      </c>
      <c r="C43" s="329" t="str">
        <f>IF(_Neo_Lab_Opm=0,"",_Neo_Lab_Opm)</f>
        <v/>
      </c>
    </row>
  </sheetData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Check Box 1">
              <controlPr defaultSize="0" autoFill="0" autoLine="0" autoPict="0">
                <anchor moveWithCells="1">
                  <from>
                    <xdr:col>1</xdr:col>
                    <xdr:colOff>47625</xdr:colOff>
                    <xdr:row>10</xdr:row>
                    <xdr:rowOff>0</xdr:rowOff>
                  </from>
                  <to>
                    <xdr:col>2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Check Box 2">
              <controlPr defaultSize="0" autoFill="0" autoLine="0" autoPict="0">
                <anchor moveWithCells="1">
                  <from>
                    <xdr:col>1</xdr:col>
                    <xdr:colOff>47625</xdr:colOff>
                    <xdr:row>11</xdr:row>
                    <xdr:rowOff>0</xdr:rowOff>
                  </from>
                  <to>
                    <xdr:col>2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Check Box 3">
              <controlPr defaultSize="0" autoFill="0" autoLine="0" autoPict="0">
                <anchor moveWithCells="1">
                  <from>
                    <xdr:col>1</xdr:col>
                    <xdr:colOff>47625</xdr:colOff>
                    <xdr:row>13</xdr:row>
                    <xdr:rowOff>0</xdr:rowOff>
                  </from>
                  <to>
                    <xdr:col>2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Check Box 4">
              <controlPr defaultSize="0" autoFill="0" autoLine="0" autoPict="0">
                <anchor moveWithCells="1">
                  <from>
                    <xdr:col>1</xdr:col>
                    <xdr:colOff>47625</xdr:colOff>
                    <xdr:row>14</xdr:row>
                    <xdr:rowOff>0</xdr:rowOff>
                  </from>
                  <to>
                    <xdr:col>2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Check Box 5">
              <controlPr defaultSize="0" autoFill="0" autoLine="0" autoPict="0">
                <anchor moveWithCells="1">
                  <from>
                    <xdr:col>1</xdr:col>
                    <xdr:colOff>38100</xdr:colOff>
                    <xdr:row>20</xdr:row>
                    <xdr:rowOff>0</xdr:rowOff>
                  </from>
                  <to>
                    <xdr:col>2</xdr:col>
                    <xdr:colOff>619125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Check Box 6">
              <controlPr defaultSize="0" autoFill="0" autoLine="0" autoPict="0">
                <anchor moveWithCells="1">
                  <from>
                    <xdr:col>1</xdr:col>
                    <xdr:colOff>47625</xdr:colOff>
                    <xdr:row>19</xdr:row>
                    <xdr:rowOff>0</xdr:rowOff>
                  </from>
                  <to>
                    <xdr:col>2</xdr:col>
                    <xdr:colOff>628650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Check Box 7">
              <controlPr defaultSize="0" autoFill="0" autoLine="0" autoPict="0">
                <anchor moveWithCells="1">
                  <from>
                    <xdr:col>1</xdr:col>
                    <xdr:colOff>47625</xdr:colOff>
                    <xdr:row>36</xdr:row>
                    <xdr:rowOff>0</xdr:rowOff>
                  </from>
                  <to>
                    <xdr:col>2</xdr:col>
                    <xdr:colOff>628650</xdr:colOff>
                    <xdr:row>36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Check Box 8">
              <controlPr defaultSize="0" autoFill="0" autoLine="0" autoPict="0">
                <anchor moveWithCells="1">
                  <from>
                    <xdr:col>1</xdr:col>
                    <xdr:colOff>47625</xdr:colOff>
                    <xdr:row>22</xdr:row>
                    <xdr:rowOff>0</xdr:rowOff>
                  </from>
                  <to>
                    <xdr:col>2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Check Box 9">
              <controlPr defaultSize="0" autoFill="0" autoLine="0" autoPict="0">
                <anchor moveWithCells="1">
                  <from>
                    <xdr:col>1</xdr:col>
                    <xdr:colOff>47625</xdr:colOff>
                    <xdr:row>25</xdr:row>
                    <xdr:rowOff>0</xdr:rowOff>
                  </from>
                  <to>
                    <xdr:col>2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Check Box 10">
              <controlPr defaultSize="0" autoFill="0" autoLine="0" autoPict="0">
                <anchor moveWithCells="1">
                  <from>
                    <xdr:col>1</xdr:col>
                    <xdr:colOff>47625</xdr:colOff>
                    <xdr:row>26</xdr:row>
                    <xdr:rowOff>0</xdr:rowOff>
                  </from>
                  <to>
                    <xdr:col>2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Check Box 11">
              <controlPr defaultSize="0" autoFill="0" autoLine="0" autoPict="0">
                <anchor moveWithCells="1">
                  <from>
                    <xdr:col>1</xdr:col>
                    <xdr:colOff>47625</xdr:colOff>
                    <xdr:row>27</xdr:row>
                    <xdr:rowOff>0</xdr:rowOff>
                  </from>
                  <to>
                    <xdr:col>2</xdr:col>
                    <xdr:colOff>628650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Check Box 12">
              <controlPr defaultSize="0" autoFill="0" autoLine="0" autoPict="0">
                <anchor moveWithCells="1">
                  <from>
                    <xdr:col>1</xdr:col>
                    <xdr:colOff>38100</xdr:colOff>
                    <xdr:row>18</xdr:row>
                    <xdr:rowOff>0</xdr:rowOff>
                  </from>
                  <to>
                    <xdr:col>2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Check Box 13">
              <controlPr defaultSize="0" autoFill="0" autoLine="0" autoPict="0">
                <anchor moveWithCells="1">
                  <from>
                    <xdr:col>1</xdr:col>
                    <xdr:colOff>47625</xdr:colOff>
                    <xdr:row>34</xdr:row>
                    <xdr:rowOff>19050</xdr:rowOff>
                  </from>
                  <to>
                    <xdr:col>2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Check Box 14">
              <controlPr defaultSize="0" autoFill="0" autoLine="0" autoPict="0">
                <anchor moveWithCells="1">
                  <from>
                    <xdr:col>5</xdr:col>
                    <xdr:colOff>47625</xdr:colOff>
                    <xdr:row>10</xdr:row>
                    <xdr:rowOff>0</xdr:rowOff>
                  </from>
                  <to>
                    <xdr:col>6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Check Box 15">
              <controlPr defaultSize="0" autoFill="0" autoLine="0" autoPict="0">
                <anchor moveWithCells="1">
                  <from>
                    <xdr:col>5</xdr:col>
                    <xdr:colOff>47625</xdr:colOff>
                    <xdr:row>11</xdr:row>
                    <xdr:rowOff>0</xdr:rowOff>
                  </from>
                  <to>
                    <xdr:col>6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Check Box 16">
              <controlPr defaultSize="0" autoFill="0" autoLine="0" autoPict="0">
                <anchor moveWithCells="1">
                  <from>
                    <xdr:col>5</xdr:col>
                    <xdr:colOff>47625</xdr:colOff>
                    <xdr:row>13</xdr:row>
                    <xdr:rowOff>0</xdr:rowOff>
                  </from>
                  <to>
                    <xdr:col>6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Check Box 17">
              <controlPr defaultSize="0" autoFill="0" autoLine="0" autoPict="0">
                <anchor moveWithCells="1">
                  <from>
                    <xdr:col>5</xdr:col>
                    <xdr:colOff>47625</xdr:colOff>
                    <xdr:row>14</xdr:row>
                    <xdr:rowOff>0</xdr:rowOff>
                  </from>
                  <to>
                    <xdr:col>6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Check Box 18">
              <controlPr defaultSize="0" autoFill="0" autoLine="0" autoPict="0">
                <anchor moveWithCells="1">
                  <from>
                    <xdr:col>5</xdr:col>
                    <xdr:colOff>38100</xdr:colOff>
                    <xdr:row>20</xdr:row>
                    <xdr:rowOff>0</xdr:rowOff>
                  </from>
                  <to>
                    <xdr:col>6</xdr:col>
                    <xdr:colOff>619125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Check Box 19">
              <controlPr defaultSize="0" autoFill="0" autoLine="0" autoPict="0">
                <anchor moveWithCells="1">
                  <from>
                    <xdr:col>5</xdr:col>
                    <xdr:colOff>47625</xdr:colOff>
                    <xdr:row>19</xdr:row>
                    <xdr:rowOff>0</xdr:rowOff>
                  </from>
                  <to>
                    <xdr:col>6</xdr:col>
                    <xdr:colOff>628650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Check Box 20">
              <controlPr defaultSize="0" autoFill="0" autoLine="0" autoPict="0">
                <anchor moveWithCells="1">
                  <from>
                    <xdr:col>5</xdr:col>
                    <xdr:colOff>47625</xdr:colOff>
                    <xdr:row>36</xdr:row>
                    <xdr:rowOff>0</xdr:rowOff>
                  </from>
                  <to>
                    <xdr:col>6</xdr:col>
                    <xdr:colOff>628650</xdr:colOff>
                    <xdr:row>36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Check Box 21">
              <controlPr defaultSize="0" autoFill="0" autoLine="0" autoPict="0">
                <anchor moveWithCells="1">
                  <from>
                    <xdr:col>5</xdr:col>
                    <xdr:colOff>47625</xdr:colOff>
                    <xdr:row>22</xdr:row>
                    <xdr:rowOff>0</xdr:rowOff>
                  </from>
                  <to>
                    <xdr:col>6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Check Box 22">
              <controlPr defaultSize="0" autoFill="0" autoLine="0" autoPict="0">
                <anchor moveWithCells="1">
                  <from>
                    <xdr:col>5</xdr:col>
                    <xdr:colOff>47625</xdr:colOff>
                    <xdr:row>25</xdr:row>
                    <xdr:rowOff>0</xdr:rowOff>
                  </from>
                  <to>
                    <xdr:col>6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Check Box 23">
              <controlPr defaultSize="0" autoFill="0" autoLine="0" autoPict="0">
                <anchor moveWithCells="1">
                  <from>
                    <xdr:col>5</xdr:col>
                    <xdr:colOff>47625</xdr:colOff>
                    <xdr:row>26</xdr:row>
                    <xdr:rowOff>0</xdr:rowOff>
                  </from>
                  <to>
                    <xdr:col>6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Check Box 24">
              <controlPr defaultSize="0" autoFill="0" autoLine="0" autoPict="0">
                <anchor moveWithCells="1">
                  <from>
                    <xdr:col>5</xdr:col>
                    <xdr:colOff>47625</xdr:colOff>
                    <xdr:row>27</xdr:row>
                    <xdr:rowOff>0</xdr:rowOff>
                  </from>
                  <to>
                    <xdr:col>6</xdr:col>
                    <xdr:colOff>628650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Check Box 25">
              <controlPr defaultSize="0" autoFill="0" autoLine="0" autoPict="0">
                <anchor moveWithCells="1">
                  <from>
                    <xdr:col>5</xdr:col>
                    <xdr:colOff>38100</xdr:colOff>
                    <xdr:row>18</xdr:row>
                    <xdr:rowOff>0</xdr:rowOff>
                  </from>
                  <to>
                    <xdr:col>6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Check Box 26">
              <controlPr defaultSize="0" autoFill="0" autoLine="0" autoPict="0">
                <anchor moveWithCells="1">
                  <from>
                    <xdr:col>5</xdr:col>
                    <xdr:colOff>47625</xdr:colOff>
                    <xdr:row>34</xdr:row>
                    <xdr:rowOff>19050</xdr:rowOff>
                  </from>
                  <to>
                    <xdr:col>6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0</xdr:rowOff>
                  </from>
                  <to>
                    <xdr:col>8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0</xdr:rowOff>
                  </from>
                  <to>
                    <xdr:col>8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0</xdr:rowOff>
                  </from>
                  <to>
                    <xdr:col>8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0</xdr:rowOff>
                  </from>
                  <to>
                    <xdr:col>8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Check Box 31">
              <controlPr defaultSize="0" autoFill="0" autoLine="0" autoPict="0">
                <anchor moveWithCells="1">
                  <from>
                    <xdr:col>7</xdr:col>
                    <xdr:colOff>38100</xdr:colOff>
                    <xdr:row>20</xdr:row>
                    <xdr:rowOff>0</xdr:rowOff>
                  </from>
                  <to>
                    <xdr:col>8</xdr:col>
                    <xdr:colOff>619125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19</xdr:row>
                    <xdr:rowOff>0</xdr:rowOff>
                  </from>
                  <to>
                    <xdr:col>8</xdr:col>
                    <xdr:colOff>628650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36</xdr:row>
                    <xdr:rowOff>0</xdr:rowOff>
                  </from>
                  <to>
                    <xdr:col>8</xdr:col>
                    <xdr:colOff>628650</xdr:colOff>
                    <xdr:row>36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22</xdr:row>
                    <xdr:rowOff>0</xdr:rowOff>
                  </from>
                  <to>
                    <xdr:col>8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0</xdr:rowOff>
                  </from>
                  <to>
                    <xdr:col>8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0</xdr:rowOff>
                  </from>
                  <to>
                    <xdr:col>8</xdr:col>
                    <xdr:colOff>628650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Check Box 38">
              <controlPr defaultSize="0" autoFill="0" autoLine="0" autoPict="0">
                <anchor moveWithCells="1">
                  <from>
                    <xdr:col>7</xdr:col>
                    <xdr:colOff>38100</xdr:colOff>
                    <xdr:row>18</xdr:row>
                    <xdr:rowOff>0</xdr:rowOff>
                  </from>
                  <to>
                    <xdr:col>8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19050</xdr:rowOff>
                  </from>
                  <to>
                    <xdr:col>8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Check Box 40">
              <controlPr defaultSize="0" autoFill="0" autoLine="0" autoPict="0">
                <anchor moveWithCells="1">
                  <from>
                    <xdr:col>15</xdr:col>
                    <xdr:colOff>47625</xdr:colOff>
                    <xdr:row>10</xdr:row>
                    <xdr:rowOff>0</xdr:rowOff>
                  </from>
                  <to>
                    <xdr:col>16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Check Box 41">
              <controlPr defaultSize="0" autoFill="0" autoLine="0" autoPict="0">
                <anchor moveWithCells="1">
                  <from>
                    <xdr:col>15</xdr:col>
                    <xdr:colOff>47625</xdr:colOff>
                    <xdr:row>11</xdr:row>
                    <xdr:rowOff>0</xdr:rowOff>
                  </from>
                  <to>
                    <xdr:col>16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Check Box 42">
              <controlPr defaultSize="0" autoFill="0" autoLine="0" autoPict="0">
                <anchor moveWithCells="1">
                  <from>
                    <xdr:col>15</xdr:col>
                    <xdr:colOff>47625</xdr:colOff>
                    <xdr:row>13</xdr:row>
                    <xdr:rowOff>0</xdr:rowOff>
                  </from>
                  <to>
                    <xdr:col>16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Check Box 43">
              <controlPr defaultSize="0" autoFill="0" autoLine="0" autoPict="0">
                <anchor moveWithCells="1">
                  <from>
                    <xdr:col>15</xdr:col>
                    <xdr:colOff>47625</xdr:colOff>
                    <xdr:row>14</xdr:row>
                    <xdr:rowOff>0</xdr:rowOff>
                  </from>
                  <to>
                    <xdr:col>16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Check Box 44">
              <controlPr defaultSize="0" autoFill="0" autoLine="0" autoPict="0">
                <anchor moveWithCells="1">
                  <from>
                    <xdr:col>15</xdr:col>
                    <xdr:colOff>38100</xdr:colOff>
                    <xdr:row>20</xdr:row>
                    <xdr:rowOff>0</xdr:rowOff>
                  </from>
                  <to>
                    <xdr:col>16</xdr:col>
                    <xdr:colOff>619125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Check Box 45">
              <controlPr defaultSize="0" autoFill="0" autoLine="0" autoPict="0">
                <anchor moveWithCells="1">
                  <from>
                    <xdr:col>15</xdr:col>
                    <xdr:colOff>47625</xdr:colOff>
                    <xdr:row>19</xdr:row>
                    <xdr:rowOff>0</xdr:rowOff>
                  </from>
                  <to>
                    <xdr:col>16</xdr:col>
                    <xdr:colOff>628650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Check Box 46">
              <controlPr defaultSize="0" autoFill="0" autoLine="0" autoPict="0">
                <anchor moveWithCells="1">
                  <from>
                    <xdr:col>15</xdr:col>
                    <xdr:colOff>47625</xdr:colOff>
                    <xdr:row>36</xdr:row>
                    <xdr:rowOff>0</xdr:rowOff>
                  </from>
                  <to>
                    <xdr:col>16</xdr:col>
                    <xdr:colOff>628650</xdr:colOff>
                    <xdr:row>36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Check Box 47">
              <controlPr defaultSize="0" autoFill="0" autoLine="0" autoPict="0">
                <anchor moveWithCells="1">
                  <from>
                    <xdr:col>15</xdr:col>
                    <xdr:colOff>47625</xdr:colOff>
                    <xdr:row>22</xdr:row>
                    <xdr:rowOff>0</xdr:rowOff>
                  </from>
                  <to>
                    <xdr:col>16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Check Box 48">
              <controlPr defaultSize="0" autoFill="0" autoLine="0" autoPict="0">
                <anchor moveWithCells="1">
                  <from>
                    <xdr:col>15</xdr:col>
                    <xdr:colOff>47625</xdr:colOff>
                    <xdr:row>25</xdr:row>
                    <xdr:rowOff>0</xdr:rowOff>
                  </from>
                  <to>
                    <xdr:col>16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Check Box 49">
              <controlPr defaultSize="0" autoFill="0" autoLine="0" autoPict="0">
                <anchor moveWithCells="1">
                  <from>
                    <xdr:col>15</xdr:col>
                    <xdr:colOff>47625</xdr:colOff>
                    <xdr:row>26</xdr:row>
                    <xdr:rowOff>0</xdr:rowOff>
                  </from>
                  <to>
                    <xdr:col>16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Check Box 50">
              <controlPr defaultSize="0" autoFill="0" autoLine="0" autoPict="0">
                <anchor moveWithCells="1">
                  <from>
                    <xdr:col>15</xdr:col>
                    <xdr:colOff>47625</xdr:colOff>
                    <xdr:row>27</xdr:row>
                    <xdr:rowOff>0</xdr:rowOff>
                  </from>
                  <to>
                    <xdr:col>16</xdr:col>
                    <xdr:colOff>628650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Check Box 51">
              <controlPr defaultSize="0" autoFill="0" autoLine="0" autoPict="0">
                <anchor moveWithCells="1">
                  <from>
                    <xdr:col>15</xdr:col>
                    <xdr:colOff>38100</xdr:colOff>
                    <xdr:row>18</xdr:row>
                    <xdr:rowOff>0</xdr:rowOff>
                  </from>
                  <to>
                    <xdr:col>16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Check Box 52">
              <controlPr defaultSize="0" autoFill="0" autoLine="0" autoPict="0">
                <anchor moveWithCells="1">
                  <from>
                    <xdr:col>15</xdr:col>
                    <xdr:colOff>47625</xdr:colOff>
                    <xdr:row>34</xdr:row>
                    <xdr:rowOff>19050</xdr:rowOff>
                  </from>
                  <to>
                    <xdr:col>16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Check Box 53">
              <controlPr defaultSize="0" autoFill="0" autoLine="0" autoPict="0">
                <anchor moveWithCells="1">
                  <from>
                    <xdr:col>1</xdr:col>
                    <xdr:colOff>47625</xdr:colOff>
                    <xdr:row>38</xdr:row>
                    <xdr:rowOff>19050</xdr:rowOff>
                  </from>
                  <to>
                    <xdr:col>2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Check Box 54">
              <controlPr defaultSize="0" autoFill="0" autoLine="0" autoPict="0">
                <anchor moveWithCells="1">
                  <from>
                    <xdr:col>5</xdr:col>
                    <xdr:colOff>47625</xdr:colOff>
                    <xdr:row>38</xdr:row>
                    <xdr:rowOff>19050</xdr:rowOff>
                  </from>
                  <to>
                    <xdr:col>6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38</xdr:row>
                    <xdr:rowOff>19050</xdr:rowOff>
                  </from>
                  <to>
                    <xdr:col>8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Check Box 56">
              <controlPr defaultSize="0" autoFill="0" autoLine="0" autoPict="0">
                <anchor moveWithCells="1">
                  <from>
                    <xdr:col>15</xdr:col>
                    <xdr:colOff>47625</xdr:colOff>
                    <xdr:row>38</xdr:row>
                    <xdr:rowOff>19050</xdr:rowOff>
                  </from>
                  <to>
                    <xdr:col>16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Check Box 57">
              <controlPr defaultSize="0" autoFill="0" autoLine="0" autoPict="0">
                <anchor moveWithCells="1">
                  <from>
                    <xdr:col>1</xdr:col>
                    <xdr:colOff>47625</xdr:colOff>
                    <xdr:row>12</xdr:row>
                    <xdr:rowOff>0</xdr:rowOff>
                  </from>
                  <to>
                    <xdr:col>2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Check Box 58">
              <controlPr defaultSize="0" autoFill="0" autoLine="0" autoPict="0">
                <anchor moveWithCells="1">
                  <from>
                    <xdr:col>5</xdr:col>
                    <xdr:colOff>47625</xdr:colOff>
                    <xdr:row>12</xdr:row>
                    <xdr:rowOff>0</xdr:rowOff>
                  </from>
                  <to>
                    <xdr:col>6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0</xdr:rowOff>
                  </from>
                  <to>
                    <xdr:col>8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Check Box 60">
              <controlPr defaultSize="0" autoFill="0" autoLine="0" autoPict="0">
                <anchor moveWithCells="1">
                  <from>
                    <xdr:col>15</xdr:col>
                    <xdr:colOff>47625</xdr:colOff>
                    <xdr:row>12</xdr:row>
                    <xdr:rowOff>0</xdr:rowOff>
                  </from>
                  <to>
                    <xdr:col>16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Check Box 61">
              <controlPr defaultSize="0" autoFill="0" autoLine="0" autoPict="0">
                <anchor moveWithCells="1">
                  <from>
                    <xdr:col>1</xdr:col>
                    <xdr:colOff>47625</xdr:colOff>
                    <xdr:row>23</xdr:row>
                    <xdr:rowOff>0</xdr:rowOff>
                  </from>
                  <to>
                    <xdr:col>2</xdr:col>
                    <xdr:colOff>628650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Check Box 62">
              <controlPr defaultSize="0" autoFill="0" autoLine="0" autoPict="0">
                <anchor moveWithCells="1">
                  <from>
                    <xdr:col>5</xdr:col>
                    <xdr:colOff>47625</xdr:colOff>
                    <xdr:row>23</xdr:row>
                    <xdr:rowOff>0</xdr:rowOff>
                  </from>
                  <to>
                    <xdr:col>6</xdr:col>
                    <xdr:colOff>628650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0</xdr:rowOff>
                  </from>
                  <to>
                    <xdr:col>8</xdr:col>
                    <xdr:colOff>628650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Check Box 64">
              <controlPr defaultSize="0" autoFill="0" autoLine="0" autoPict="0">
                <anchor moveWithCells="1">
                  <from>
                    <xdr:col>15</xdr:col>
                    <xdr:colOff>47625</xdr:colOff>
                    <xdr:row>23</xdr:row>
                    <xdr:rowOff>0</xdr:rowOff>
                  </from>
                  <to>
                    <xdr:col>16</xdr:col>
                    <xdr:colOff>628650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Check Box 65">
              <controlPr defaultSize="0" autoFill="0" autoLine="0" autoPict="0">
                <anchor moveWithCells="1">
                  <from>
                    <xdr:col>3</xdr:col>
                    <xdr:colOff>47625</xdr:colOff>
                    <xdr:row>10</xdr:row>
                    <xdr:rowOff>0</xdr:rowOff>
                  </from>
                  <to>
                    <xdr:col>4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Check Box 66">
              <controlPr defaultSize="0" autoFill="0" autoLine="0" autoPict="0">
                <anchor moveWithCells="1">
                  <from>
                    <xdr:col>3</xdr:col>
                    <xdr:colOff>47625</xdr:colOff>
                    <xdr:row>11</xdr:row>
                    <xdr:rowOff>0</xdr:rowOff>
                  </from>
                  <to>
                    <xdr:col>4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Check Box 67">
              <controlPr defaultSize="0" autoFill="0" autoLine="0" autoPict="0">
                <anchor moveWithCells="1">
                  <from>
                    <xdr:col>3</xdr:col>
                    <xdr:colOff>47625</xdr:colOff>
                    <xdr:row>13</xdr:row>
                    <xdr:rowOff>0</xdr:rowOff>
                  </from>
                  <to>
                    <xdr:col>4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Check Box 68">
              <controlPr defaultSize="0" autoFill="0" autoLine="0" autoPict="0">
                <anchor moveWithCells="1">
                  <from>
                    <xdr:col>3</xdr:col>
                    <xdr:colOff>47625</xdr:colOff>
                    <xdr:row>14</xdr:row>
                    <xdr:rowOff>0</xdr:rowOff>
                  </from>
                  <to>
                    <xdr:col>4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Check Box 69">
              <controlPr defaultSize="0" autoFill="0" autoLine="0" autoPict="0">
                <anchor moveWithCells="1">
                  <from>
                    <xdr:col>3</xdr:col>
                    <xdr:colOff>38100</xdr:colOff>
                    <xdr:row>20</xdr:row>
                    <xdr:rowOff>0</xdr:rowOff>
                  </from>
                  <to>
                    <xdr:col>4</xdr:col>
                    <xdr:colOff>619125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Check Box 70">
              <controlPr defaultSize="0" autoFill="0" autoLine="0" autoPict="0">
                <anchor moveWithCells="1">
                  <from>
                    <xdr:col>3</xdr:col>
                    <xdr:colOff>47625</xdr:colOff>
                    <xdr:row>19</xdr:row>
                    <xdr:rowOff>0</xdr:rowOff>
                  </from>
                  <to>
                    <xdr:col>4</xdr:col>
                    <xdr:colOff>628650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Check Box 71">
              <controlPr defaultSize="0" autoFill="0" autoLine="0" autoPict="0">
                <anchor moveWithCells="1">
                  <from>
                    <xdr:col>3</xdr:col>
                    <xdr:colOff>47625</xdr:colOff>
                    <xdr:row>36</xdr:row>
                    <xdr:rowOff>0</xdr:rowOff>
                  </from>
                  <to>
                    <xdr:col>4</xdr:col>
                    <xdr:colOff>628650</xdr:colOff>
                    <xdr:row>36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Check Box 72">
              <controlPr defaultSize="0" autoFill="0" autoLine="0" autoPict="0">
                <anchor moveWithCells="1">
                  <from>
                    <xdr:col>3</xdr:col>
                    <xdr:colOff>47625</xdr:colOff>
                    <xdr:row>22</xdr:row>
                    <xdr:rowOff>0</xdr:rowOff>
                  </from>
                  <to>
                    <xdr:col>4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Check Box 73">
              <controlPr defaultSize="0" autoFill="0" autoLine="0" autoPict="0">
                <anchor moveWithCells="1">
                  <from>
                    <xdr:col>3</xdr:col>
                    <xdr:colOff>47625</xdr:colOff>
                    <xdr:row>25</xdr:row>
                    <xdr:rowOff>0</xdr:rowOff>
                  </from>
                  <to>
                    <xdr:col>4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Check Box 74">
              <controlPr defaultSize="0" autoFill="0" autoLine="0" autoPict="0">
                <anchor moveWithCells="1">
                  <from>
                    <xdr:col>3</xdr:col>
                    <xdr:colOff>47625</xdr:colOff>
                    <xdr:row>26</xdr:row>
                    <xdr:rowOff>0</xdr:rowOff>
                  </from>
                  <to>
                    <xdr:col>4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Check Box 75">
              <controlPr defaultSize="0" autoFill="0" autoLine="0" autoPict="0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4</xdr:col>
                    <xdr:colOff>628650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Check Box 76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0</xdr:rowOff>
                  </from>
                  <to>
                    <xdr:col>4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Check Box 77">
              <controlPr defaultSize="0" autoFill="0" autoLine="0" autoPict="0">
                <anchor moveWithCells="1">
                  <from>
                    <xdr:col>3</xdr:col>
                    <xdr:colOff>47625</xdr:colOff>
                    <xdr:row>34</xdr:row>
                    <xdr:rowOff>19050</xdr:rowOff>
                  </from>
                  <to>
                    <xdr:col>4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Check Box 78">
              <controlPr defaultSize="0" autoFill="0" autoLine="0" autoPict="0">
                <anchor moveWithCells="1">
                  <from>
                    <xdr:col>3</xdr:col>
                    <xdr:colOff>47625</xdr:colOff>
                    <xdr:row>38</xdr:row>
                    <xdr:rowOff>19050</xdr:rowOff>
                  </from>
                  <to>
                    <xdr:col>4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Check Box 79">
              <controlPr defaultSize="0" autoFill="0" autoLine="0" autoPict="0">
                <anchor moveWithCells="1">
                  <from>
                    <xdr:col>3</xdr:col>
                    <xdr:colOff>47625</xdr:colOff>
                    <xdr:row>12</xdr:row>
                    <xdr:rowOff>0</xdr:rowOff>
                  </from>
                  <to>
                    <xdr:col>4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Check Box 80">
              <controlPr defaultSize="0" autoFill="0" autoLine="0" autoPict="0">
                <anchor moveWithCells="1">
                  <from>
                    <xdr:col>3</xdr:col>
                    <xdr:colOff>47625</xdr:colOff>
                    <xdr:row>23</xdr:row>
                    <xdr:rowOff>0</xdr:rowOff>
                  </from>
                  <to>
                    <xdr:col>4</xdr:col>
                    <xdr:colOff>628650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84" name="Check Box 113">
              <controlPr defaultSize="0" autoFill="0" autoLine="0" autoPict="0">
                <anchor moveWithCells="1">
                  <from>
                    <xdr:col>1</xdr:col>
                    <xdr:colOff>47625</xdr:colOff>
                    <xdr:row>39</xdr:row>
                    <xdr:rowOff>19050</xdr:rowOff>
                  </from>
                  <to>
                    <xdr:col>2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85" name="Check Box 114">
              <controlPr defaultSize="0" autoFill="0" autoLine="0" autoPict="0">
                <anchor moveWithCells="1">
                  <from>
                    <xdr:col>5</xdr:col>
                    <xdr:colOff>47625</xdr:colOff>
                    <xdr:row>39</xdr:row>
                    <xdr:rowOff>19050</xdr:rowOff>
                  </from>
                  <to>
                    <xdr:col>6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39</xdr:row>
                    <xdr:rowOff>19050</xdr:rowOff>
                  </from>
                  <to>
                    <xdr:col>8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87" name="Check Box 116">
              <controlPr defaultSize="0" autoFill="0" autoLine="0" autoPict="0">
                <anchor moveWithCells="1">
                  <from>
                    <xdr:col>15</xdr:col>
                    <xdr:colOff>47625</xdr:colOff>
                    <xdr:row>39</xdr:row>
                    <xdr:rowOff>19050</xdr:rowOff>
                  </from>
                  <to>
                    <xdr:col>16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88" name="Check Box 117">
              <controlPr defaultSize="0" autoFill="0" autoLine="0" autoPict="0">
                <anchor moveWithCells="1">
                  <from>
                    <xdr:col>3</xdr:col>
                    <xdr:colOff>47625</xdr:colOff>
                    <xdr:row>39</xdr:row>
                    <xdr:rowOff>19050</xdr:rowOff>
                  </from>
                  <to>
                    <xdr:col>4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89" name="Check Box 120">
              <controlPr defaultSize="0" autoFill="0" autoLine="0" autoPict="0">
                <anchor moveWithCells="1">
                  <from>
                    <xdr:col>1</xdr:col>
                    <xdr:colOff>47625</xdr:colOff>
                    <xdr:row>40</xdr:row>
                    <xdr:rowOff>19050</xdr:rowOff>
                  </from>
                  <to>
                    <xdr:col>2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90" name="Check Box 121">
              <controlPr defaultSize="0" autoFill="0" autoLine="0" autoPict="0">
                <anchor moveWithCells="1">
                  <from>
                    <xdr:col>5</xdr:col>
                    <xdr:colOff>47625</xdr:colOff>
                    <xdr:row>40</xdr:row>
                    <xdr:rowOff>19050</xdr:rowOff>
                  </from>
                  <to>
                    <xdr:col>6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40</xdr:row>
                    <xdr:rowOff>19050</xdr:rowOff>
                  </from>
                  <to>
                    <xdr:col>8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92" name="Check Box 123">
              <controlPr defaultSize="0" autoFill="0" autoLine="0" autoPict="0">
                <anchor moveWithCells="1">
                  <from>
                    <xdr:col>15</xdr:col>
                    <xdr:colOff>47625</xdr:colOff>
                    <xdr:row>40</xdr:row>
                    <xdr:rowOff>19050</xdr:rowOff>
                  </from>
                  <to>
                    <xdr:col>16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93" name="Check Box 124">
              <controlPr defaultSize="0" autoFill="0" autoLine="0" autoPict="0">
                <anchor moveWithCells="1">
                  <from>
                    <xdr:col>3</xdr:col>
                    <xdr:colOff>47625</xdr:colOff>
                    <xdr:row>40</xdr:row>
                    <xdr:rowOff>19050</xdr:rowOff>
                  </from>
                  <to>
                    <xdr:col>4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94" name="Check Box 127">
              <controlPr defaultSize="0" autoFill="0" autoLine="0" autoPict="0">
                <anchor moveWithCells="1">
                  <from>
                    <xdr:col>1</xdr:col>
                    <xdr:colOff>47625</xdr:colOff>
                    <xdr:row>15</xdr:row>
                    <xdr:rowOff>0</xdr:rowOff>
                  </from>
                  <to>
                    <xdr:col>2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95" name="Check Box 128">
              <controlPr defaultSize="0" autoFill="0" autoLine="0" autoPict="0">
                <anchor moveWithCells="1">
                  <from>
                    <xdr:col>5</xdr:col>
                    <xdr:colOff>47625</xdr:colOff>
                    <xdr:row>15</xdr:row>
                    <xdr:rowOff>0</xdr:rowOff>
                  </from>
                  <to>
                    <xdr:col>6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0</xdr:rowOff>
                  </from>
                  <to>
                    <xdr:col>8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97" name="Check Box 130">
              <controlPr defaultSize="0" autoFill="0" autoLine="0" autoPict="0">
                <anchor moveWithCells="1">
                  <from>
                    <xdr:col>15</xdr:col>
                    <xdr:colOff>47625</xdr:colOff>
                    <xdr:row>15</xdr:row>
                    <xdr:rowOff>0</xdr:rowOff>
                  </from>
                  <to>
                    <xdr:col>16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98" name="Check Box 131">
              <controlPr defaultSize="0" autoFill="0" autoLine="0" autoPict="0">
                <anchor moveWithCells="1">
                  <from>
                    <xdr:col>3</xdr:col>
                    <xdr:colOff>47625</xdr:colOff>
                    <xdr:row>15</xdr:row>
                    <xdr:rowOff>0</xdr:rowOff>
                  </from>
                  <to>
                    <xdr:col>4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99" name="Check Box 134">
              <controlPr defaultSize="0" autoFill="0" autoLine="0" autoPict="0">
                <anchor moveWithCells="1">
                  <from>
                    <xdr:col>1</xdr:col>
                    <xdr:colOff>47625</xdr:colOff>
                    <xdr:row>17</xdr:row>
                    <xdr:rowOff>0</xdr:rowOff>
                  </from>
                  <to>
                    <xdr:col>2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00" name="Check Box 135">
              <controlPr defaultSize="0" autoFill="0" autoLine="0" autoPict="0">
                <anchor moveWithCells="1">
                  <from>
                    <xdr:col>5</xdr:col>
                    <xdr:colOff>47625</xdr:colOff>
                    <xdr:row>17</xdr:row>
                    <xdr:rowOff>0</xdr:rowOff>
                  </from>
                  <to>
                    <xdr:col>6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0</xdr:rowOff>
                  </from>
                  <to>
                    <xdr:col>8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02" name="Check Box 137">
              <controlPr defaultSize="0" autoFill="0" autoLine="0" autoPict="0">
                <anchor moveWithCells="1">
                  <from>
                    <xdr:col>15</xdr:col>
                    <xdr:colOff>47625</xdr:colOff>
                    <xdr:row>17</xdr:row>
                    <xdr:rowOff>0</xdr:rowOff>
                  </from>
                  <to>
                    <xdr:col>16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03" name="Check Box 138">
              <controlPr defaultSize="0" autoFill="0" autoLine="0" autoPict="0">
                <anchor moveWithCells="1">
                  <from>
                    <xdr:col>3</xdr:col>
                    <xdr:colOff>47625</xdr:colOff>
                    <xdr:row>17</xdr:row>
                    <xdr:rowOff>0</xdr:rowOff>
                  </from>
                  <to>
                    <xdr:col>4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04" name="Check Box 141">
              <controlPr defaultSize="0" autoFill="0" autoLine="0" autoPict="0">
                <anchor moveWithCells="1">
                  <from>
                    <xdr:col>1</xdr:col>
                    <xdr:colOff>38100</xdr:colOff>
                    <xdr:row>21</xdr:row>
                    <xdr:rowOff>0</xdr:rowOff>
                  </from>
                  <to>
                    <xdr:col>2</xdr:col>
                    <xdr:colOff>619125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05" name="Check Box 142">
              <controlPr defaultSize="0" autoFill="0" autoLine="0" autoPict="0">
                <anchor moveWithCells="1">
                  <from>
                    <xdr:col>5</xdr:col>
                    <xdr:colOff>38100</xdr:colOff>
                    <xdr:row>21</xdr:row>
                    <xdr:rowOff>0</xdr:rowOff>
                  </from>
                  <to>
                    <xdr:col>6</xdr:col>
                    <xdr:colOff>619125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06" name="Check Box 143">
              <controlPr defaultSize="0" autoFill="0" autoLine="0" autoPict="0">
                <anchor moveWithCells="1">
                  <from>
                    <xdr:col>7</xdr:col>
                    <xdr:colOff>38100</xdr:colOff>
                    <xdr:row>21</xdr:row>
                    <xdr:rowOff>0</xdr:rowOff>
                  </from>
                  <to>
                    <xdr:col>8</xdr:col>
                    <xdr:colOff>619125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07" name="Check Box 144">
              <controlPr defaultSize="0" autoFill="0" autoLine="0" autoPict="0">
                <anchor moveWithCells="1">
                  <from>
                    <xdr:col>15</xdr:col>
                    <xdr:colOff>38100</xdr:colOff>
                    <xdr:row>21</xdr:row>
                    <xdr:rowOff>0</xdr:rowOff>
                  </from>
                  <to>
                    <xdr:col>16</xdr:col>
                    <xdr:colOff>619125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08" name="Check Box 145">
              <controlPr defaultSize="0" autoFill="0" autoLine="0" autoPict="0">
                <anchor moveWithCells="1">
                  <from>
                    <xdr:col>3</xdr:col>
                    <xdr:colOff>38100</xdr:colOff>
                    <xdr:row>21</xdr:row>
                    <xdr:rowOff>0</xdr:rowOff>
                  </from>
                  <to>
                    <xdr:col>4</xdr:col>
                    <xdr:colOff>619125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09" name="Check Box 148">
              <controlPr defaultSize="0" autoFill="0" autoLine="0" autoPict="0">
                <anchor moveWithCells="1">
                  <from>
                    <xdr:col>1</xdr:col>
                    <xdr:colOff>47625</xdr:colOff>
                    <xdr:row>28</xdr:row>
                    <xdr:rowOff>0</xdr:rowOff>
                  </from>
                  <to>
                    <xdr:col>2</xdr:col>
                    <xdr:colOff>628650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10" name="Check Box 149">
              <controlPr defaultSize="0" autoFill="0" autoLine="0" autoPict="0">
                <anchor moveWithCells="1">
                  <from>
                    <xdr:col>5</xdr:col>
                    <xdr:colOff>47625</xdr:colOff>
                    <xdr:row>28</xdr:row>
                    <xdr:rowOff>0</xdr:rowOff>
                  </from>
                  <to>
                    <xdr:col>6</xdr:col>
                    <xdr:colOff>628650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0</xdr:rowOff>
                  </from>
                  <to>
                    <xdr:col>8</xdr:col>
                    <xdr:colOff>628650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12" name="Check Box 151">
              <controlPr defaultSize="0" autoFill="0" autoLine="0" autoPict="0">
                <anchor moveWithCells="1">
                  <from>
                    <xdr:col>15</xdr:col>
                    <xdr:colOff>47625</xdr:colOff>
                    <xdr:row>28</xdr:row>
                    <xdr:rowOff>0</xdr:rowOff>
                  </from>
                  <to>
                    <xdr:col>16</xdr:col>
                    <xdr:colOff>628650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13" name="Check Box 152">
              <controlPr defaultSize="0" autoFill="0" autoLine="0" autoPict="0">
                <anchor moveWithCells="1">
                  <from>
                    <xdr:col>3</xdr:col>
                    <xdr:colOff>47625</xdr:colOff>
                    <xdr:row>28</xdr:row>
                    <xdr:rowOff>0</xdr:rowOff>
                  </from>
                  <to>
                    <xdr:col>4</xdr:col>
                    <xdr:colOff>628650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14" name="Check Box 155">
              <controlPr defaultSize="0" autoFill="0" autoLine="0" autoPict="0">
                <anchor moveWithCells="1">
                  <from>
                    <xdr:col>1</xdr:col>
                    <xdr:colOff>47625</xdr:colOff>
                    <xdr:row>29</xdr:row>
                    <xdr:rowOff>0</xdr:rowOff>
                  </from>
                  <to>
                    <xdr:col>2</xdr:col>
                    <xdr:colOff>628650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15" name="Check Box 156">
              <controlPr defaultSize="0" autoFill="0" autoLine="0" autoPict="0">
                <anchor moveWithCells="1">
                  <from>
                    <xdr:col>5</xdr:col>
                    <xdr:colOff>47625</xdr:colOff>
                    <xdr:row>29</xdr:row>
                    <xdr:rowOff>0</xdr:rowOff>
                  </from>
                  <to>
                    <xdr:col>6</xdr:col>
                    <xdr:colOff>628650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0</xdr:rowOff>
                  </from>
                  <to>
                    <xdr:col>8</xdr:col>
                    <xdr:colOff>628650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17" name="Check Box 158">
              <controlPr defaultSize="0" autoFill="0" autoLine="0" autoPict="0">
                <anchor moveWithCells="1">
                  <from>
                    <xdr:col>15</xdr:col>
                    <xdr:colOff>47625</xdr:colOff>
                    <xdr:row>29</xdr:row>
                    <xdr:rowOff>0</xdr:rowOff>
                  </from>
                  <to>
                    <xdr:col>16</xdr:col>
                    <xdr:colOff>628650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18" name="Check Box 159">
              <controlPr defaultSize="0" autoFill="0" autoLine="0" autoPict="0">
                <anchor moveWithCells="1">
                  <from>
                    <xdr:col>3</xdr:col>
                    <xdr:colOff>47625</xdr:colOff>
                    <xdr:row>29</xdr:row>
                    <xdr:rowOff>0</xdr:rowOff>
                  </from>
                  <to>
                    <xdr:col>4</xdr:col>
                    <xdr:colOff>628650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19" name="Check Box 162">
              <controlPr defaultSize="0" autoFill="0" autoLine="0" autoPict="0">
                <anchor moveWithCells="1">
                  <from>
                    <xdr:col>1</xdr:col>
                    <xdr:colOff>47625</xdr:colOff>
                    <xdr:row>30</xdr:row>
                    <xdr:rowOff>0</xdr:rowOff>
                  </from>
                  <to>
                    <xdr:col>2</xdr:col>
                    <xdr:colOff>628650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20" name="Check Box 163">
              <controlPr defaultSize="0" autoFill="0" autoLine="0" autoPict="0">
                <anchor moveWithCells="1">
                  <from>
                    <xdr:col>5</xdr:col>
                    <xdr:colOff>47625</xdr:colOff>
                    <xdr:row>30</xdr:row>
                    <xdr:rowOff>0</xdr:rowOff>
                  </from>
                  <to>
                    <xdr:col>6</xdr:col>
                    <xdr:colOff>628650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30</xdr:row>
                    <xdr:rowOff>0</xdr:rowOff>
                  </from>
                  <to>
                    <xdr:col>8</xdr:col>
                    <xdr:colOff>628650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22" name="Check Box 165">
              <controlPr defaultSize="0" autoFill="0" autoLine="0" autoPict="0">
                <anchor moveWithCells="1">
                  <from>
                    <xdr:col>15</xdr:col>
                    <xdr:colOff>47625</xdr:colOff>
                    <xdr:row>30</xdr:row>
                    <xdr:rowOff>0</xdr:rowOff>
                  </from>
                  <to>
                    <xdr:col>16</xdr:col>
                    <xdr:colOff>628650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23" name="Check Box 166">
              <controlPr defaultSize="0" autoFill="0" autoLine="0" autoPict="0">
                <anchor moveWithCells="1">
                  <from>
                    <xdr:col>3</xdr:col>
                    <xdr:colOff>47625</xdr:colOff>
                    <xdr:row>30</xdr:row>
                    <xdr:rowOff>0</xdr:rowOff>
                  </from>
                  <to>
                    <xdr:col>4</xdr:col>
                    <xdr:colOff>628650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24" name="Check Box 169">
              <controlPr defaultSize="0" autoFill="0" autoLine="0" autoPict="0">
                <anchor moveWithCells="1">
                  <from>
                    <xdr:col>1</xdr:col>
                    <xdr:colOff>47625</xdr:colOff>
                    <xdr:row>31</xdr:row>
                    <xdr:rowOff>0</xdr:rowOff>
                  </from>
                  <to>
                    <xdr:col>2</xdr:col>
                    <xdr:colOff>628650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25" name="Check Box 170">
              <controlPr defaultSize="0" autoFill="0" autoLine="0" autoPict="0">
                <anchor moveWithCells="1">
                  <from>
                    <xdr:col>5</xdr:col>
                    <xdr:colOff>47625</xdr:colOff>
                    <xdr:row>31</xdr:row>
                    <xdr:rowOff>0</xdr:rowOff>
                  </from>
                  <to>
                    <xdr:col>6</xdr:col>
                    <xdr:colOff>628650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0</xdr:rowOff>
                  </from>
                  <to>
                    <xdr:col>8</xdr:col>
                    <xdr:colOff>628650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27" name="Check Box 172">
              <controlPr defaultSize="0" autoFill="0" autoLine="0" autoPict="0">
                <anchor moveWithCells="1">
                  <from>
                    <xdr:col>15</xdr:col>
                    <xdr:colOff>47625</xdr:colOff>
                    <xdr:row>31</xdr:row>
                    <xdr:rowOff>0</xdr:rowOff>
                  </from>
                  <to>
                    <xdr:col>16</xdr:col>
                    <xdr:colOff>628650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28" name="Check Box 173">
              <controlPr defaultSize="0" autoFill="0" autoLine="0" autoPict="0">
                <anchor moveWithCells="1">
                  <from>
                    <xdr:col>3</xdr:col>
                    <xdr:colOff>47625</xdr:colOff>
                    <xdr:row>31</xdr:row>
                    <xdr:rowOff>0</xdr:rowOff>
                  </from>
                  <to>
                    <xdr:col>4</xdr:col>
                    <xdr:colOff>628650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29" name="Check Box 176">
              <controlPr defaultSize="0" autoFill="0" autoLine="0" autoPict="0">
                <anchor moveWithCells="1">
                  <from>
                    <xdr:col>1</xdr:col>
                    <xdr:colOff>47625</xdr:colOff>
                    <xdr:row>32</xdr:row>
                    <xdr:rowOff>0</xdr:rowOff>
                  </from>
                  <to>
                    <xdr:col>2</xdr:col>
                    <xdr:colOff>628650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30" name="Check Box 177">
              <controlPr defaultSize="0" autoFill="0" autoLine="0" autoPict="0">
                <anchor moveWithCells="1">
                  <from>
                    <xdr:col>5</xdr:col>
                    <xdr:colOff>47625</xdr:colOff>
                    <xdr:row>32</xdr:row>
                    <xdr:rowOff>0</xdr:rowOff>
                  </from>
                  <to>
                    <xdr:col>6</xdr:col>
                    <xdr:colOff>628650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0</xdr:rowOff>
                  </from>
                  <to>
                    <xdr:col>8</xdr:col>
                    <xdr:colOff>628650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32" name="Check Box 179">
              <controlPr defaultSize="0" autoFill="0" autoLine="0" autoPict="0">
                <anchor moveWithCells="1">
                  <from>
                    <xdr:col>15</xdr:col>
                    <xdr:colOff>47625</xdr:colOff>
                    <xdr:row>32</xdr:row>
                    <xdr:rowOff>0</xdr:rowOff>
                  </from>
                  <to>
                    <xdr:col>16</xdr:col>
                    <xdr:colOff>628650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33" name="Check Box 180">
              <controlPr defaultSize="0" autoFill="0" autoLine="0" autoPict="0">
                <anchor moveWithCells="1">
                  <from>
                    <xdr:col>3</xdr:col>
                    <xdr:colOff>47625</xdr:colOff>
                    <xdr:row>32</xdr:row>
                    <xdr:rowOff>0</xdr:rowOff>
                  </from>
                  <to>
                    <xdr:col>4</xdr:col>
                    <xdr:colOff>628650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34" name="Check Box 183">
              <controlPr defaultSize="0" autoFill="0" autoLine="0" autoPict="0">
                <anchor moveWithCells="1">
                  <from>
                    <xdr:col>1</xdr:col>
                    <xdr:colOff>47625</xdr:colOff>
                    <xdr:row>35</xdr:row>
                    <xdr:rowOff>0</xdr:rowOff>
                  </from>
                  <to>
                    <xdr:col>2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35" name="Check Box 184">
              <controlPr defaultSize="0" autoFill="0" autoLine="0" autoPict="0">
                <anchor moveWithCells="1">
                  <from>
                    <xdr:col>5</xdr:col>
                    <xdr:colOff>47625</xdr:colOff>
                    <xdr:row>35</xdr:row>
                    <xdr:rowOff>0</xdr:rowOff>
                  </from>
                  <to>
                    <xdr:col>6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0</xdr:rowOff>
                  </from>
                  <to>
                    <xdr:col>8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37" name="Check Box 186">
              <controlPr defaultSize="0" autoFill="0" autoLine="0" autoPict="0">
                <anchor moveWithCells="1">
                  <from>
                    <xdr:col>15</xdr:col>
                    <xdr:colOff>47625</xdr:colOff>
                    <xdr:row>35</xdr:row>
                    <xdr:rowOff>0</xdr:rowOff>
                  </from>
                  <to>
                    <xdr:col>16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38" name="Check Box 187">
              <controlPr defaultSize="0" autoFill="0" autoLine="0" autoPict="0">
                <anchor moveWithCells="1">
                  <from>
                    <xdr:col>3</xdr:col>
                    <xdr:colOff>47625</xdr:colOff>
                    <xdr:row>35</xdr:row>
                    <xdr:rowOff>0</xdr:rowOff>
                  </from>
                  <to>
                    <xdr:col>4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47625</xdr:colOff>
                    <xdr:row>24</xdr:row>
                    <xdr:rowOff>19050</xdr:rowOff>
                  </from>
                  <to>
                    <xdr:col>2</xdr:col>
                    <xdr:colOff>628650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47625</xdr:colOff>
                    <xdr:row>24</xdr:row>
                    <xdr:rowOff>19050</xdr:rowOff>
                  </from>
                  <to>
                    <xdr:col>6</xdr:col>
                    <xdr:colOff>628650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24</xdr:row>
                    <xdr:rowOff>19050</xdr:rowOff>
                  </from>
                  <to>
                    <xdr:col>8</xdr:col>
                    <xdr:colOff>628650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42" name="Check Box 193">
              <controlPr defaultSize="0" autoFill="0" autoLine="0" autoPict="0" altText="Fosfaat">
                <anchor moveWithCells="1">
                  <from>
                    <xdr:col>15</xdr:col>
                    <xdr:colOff>47625</xdr:colOff>
                    <xdr:row>24</xdr:row>
                    <xdr:rowOff>19050</xdr:rowOff>
                  </from>
                  <to>
                    <xdr:col>16</xdr:col>
                    <xdr:colOff>628650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47625</xdr:colOff>
                    <xdr:row>24</xdr:row>
                    <xdr:rowOff>19050</xdr:rowOff>
                  </from>
                  <to>
                    <xdr:col>4</xdr:col>
                    <xdr:colOff>628650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144" name="Check Box 197">
              <controlPr defaultSize="0" autoFill="0" autoLine="0" autoPict="0">
                <anchor moveWithCells="1">
                  <from>
                    <xdr:col>9</xdr:col>
                    <xdr:colOff>47625</xdr:colOff>
                    <xdr:row>10</xdr:row>
                    <xdr:rowOff>0</xdr:rowOff>
                  </from>
                  <to>
                    <xdr:col>10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145" name="Check Box 198">
              <controlPr defaultSize="0" autoFill="0" autoLine="0" autoPict="0">
                <anchor moveWithCells="1">
                  <from>
                    <xdr:col>9</xdr:col>
                    <xdr:colOff>47625</xdr:colOff>
                    <xdr:row>11</xdr:row>
                    <xdr:rowOff>0</xdr:rowOff>
                  </from>
                  <to>
                    <xdr:col>10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146" name="Check Box 199">
              <controlPr defaultSize="0" autoFill="0" autoLine="0" autoPict="0">
                <anchor moveWithCells="1">
                  <from>
                    <xdr:col>9</xdr:col>
                    <xdr:colOff>47625</xdr:colOff>
                    <xdr:row>13</xdr:row>
                    <xdr:rowOff>0</xdr:rowOff>
                  </from>
                  <to>
                    <xdr:col>10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147" name="Check Box 200">
              <controlPr defaultSize="0" autoFill="0" autoLine="0" autoPict="0">
                <anchor moveWithCells="1">
                  <from>
                    <xdr:col>9</xdr:col>
                    <xdr:colOff>47625</xdr:colOff>
                    <xdr:row>14</xdr:row>
                    <xdr:rowOff>0</xdr:rowOff>
                  </from>
                  <to>
                    <xdr:col>10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148" name="Check Box 201">
              <controlPr defaultSize="0" autoFill="0" autoLine="0" autoPict="0">
                <anchor moveWithCells="1">
                  <from>
                    <xdr:col>9</xdr:col>
                    <xdr:colOff>38100</xdr:colOff>
                    <xdr:row>20</xdr:row>
                    <xdr:rowOff>0</xdr:rowOff>
                  </from>
                  <to>
                    <xdr:col>10</xdr:col>
                    <xdr:colOff>619125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149" name="Check Box 202">
              <controlPr defaultSize="0" autoFill="0" autoLine="0" autoPict="0">
                <anchor moveWithCells="1">
                  <from>
                    <xdr:col>9</xdr:col>
                    <xdr:colOff>47625</xdr:colOff>
                    <xdr:row>19</xdr:row>
                    <xdr:rowOff>0</xdr:rowOff>
                  </from>
                  <to>
                    <xdr:col>10</xdr:col>
                    <xdr:colOff>628650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150" name="Check Box 203">
              <controlPr defaultSize="0" autoFill="0" autoLine="0" autoPict="0">
                <anchor moveWithCells="1">
                  <from>
                    <xdr:col>9</xdr:col>
                    <xdr:colOff>47625</xdr:colOff>
                    <xdr:row>36</xdr:row>
                    <xdr:rowOff>0</xdr:rowOff>
                  </from>
                  <to>
                    <xdr:col>10</xdr:col>
                    <xdr:colOff>628650</xdr:colOff>
                    <xdr:row>36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151" name="Check Box 204">
              <controlPr defaultSize="0" autoFill="0" autoLine="0" autoPict="0">
                <anchor moveWithCells="1">
                  <from>
                    <xdr:col>9</xdr:col>
                    <xdr:colOff>47625</xdr:colOff>
                    <xdr:row>22</xdr:row>
                    <xdr:rowOff>0</xdr:rowOff>
                  </from>
                  <to>
                    <xdr:col>10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152" name="Check Box 205">
              <controlPr defaultSize="0" autoFill="0" autoLine="0" autoPict="0">
                <anchor moveWithCells="1">
                  <from>
                    <xdr:col>9</xdr:col>
                    <xdr:colOff>47625</xdr:colOff>
                    <xdr:row>25</xdr:row>
                    <xdr:rowOff>0</xdr:rowOff>
                  </from>
                  <to>
                    <xdr:col>10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153" name="Check Box 206">
              <controlPr defaultSize="0" autoFill="0" autoLine="0" autoPict="0">
                <anchor moveWithCells="1">
                  <from>
                    <xdr:col>9</xdr:col>
                    <xdr:colOff>47625</xdr:colOff>
                    <xdr:row>26</xdr:row>
                    <xdr:rowOff>0</xdr:rowOff>
                  </from>
                  <to>
                    <xdr:col>10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154" name="Check Box 207">
              <controlPr defaultSize="0" autoFill="0" autoLine="0" autoPict="0">
                <anchor moveWithCells="1">
                  <from>
                    <xdr:col>9</xdr:col>
                    <xdr:colOff>47625</xdr:colOff>
                    <xdr:row>27</xdr:row>
                    <xdr:rowOff>0</xdr:rowOff>
                  </from>
                  <to>
                    <xdr:col>10</xdr:col>
                    <xdr:colOff>628650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155" name="Check Box 208">
              <controlPr defaultSize="0" autoFill="0" autoLine="0" autoPict="0">
                <anchor moveWithCells="1">
                  <from>
                    <xdr:col>9</xdr:col>
                    <xdr:colOff>38100</xdr:colOff>
                    <xdr:row>18</xdr:row>
                    <xdr:rowOff>0</xdr:rowOff>
                  </from>
                  <to>
                    <xdr:col>10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156" name="Check Box 209">
              <controlPr defaultSize="0" autoFill="0" autoLine="0" autoPict="0">
                <anchor moveWithCells="1">
                  <from>
                    <xdr:col>9</xdr:col>
                    <xdr:colOff>47625</xdr:colOff>
                    <xdr:row>34</xdr:row>
                    <xdr:rowOff>19050</xdr:rowOff>
                  </from>
                  <to>
                    <xdr:col>10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157" name="Check Box 210">
              <controlPr defaultSize="0" autoFill="0" autoLine="0" autoPict="0">
                <anchor moveWithCells="1">
                  <from>
                    <xdr:col>11</xdr:col>
                    <xdr:colOff>47625</xdr:colOff>
                    <xdr:row>10</xdr:row>
                    <xdr:rowOff>0</xdr:rowOff>
                  </from>
                  <to>
                    <xdr:col>12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158" name="Check Box 211">
              <controlPr defaultSize="0" autoFill="0" autoLine="0" autoPict="0">
                <anchor moveWithCells="1">
                  <from>
                    <xdr:col>11</xdr:col>
                    <xdr:colOff>47625</xdr:colOff>
                    <xdr:row>11</xdr:row>
                    <xdr:rowOff>0</xdr:rowOff>
                  </from>
                  <to>
                    <xdr:col>12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159" name="Check Box 212">
              <controlPr defaultSize="0" autoFill="0" autoLine="0" autoPict="0">
                <anchor moveWithCells="1">
                  <from>
                    <xdr:col>11</xdr:col>
                    <xdr:colOff>47625</xdr:colOff>
                    <xdr:row>13</xdr:row>
                    <xdr:rowOff>0</xdr:rowOff>
                  </from>
                  <to>
                    <xdr:col>12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160" name="Check Box 213">
              <controlPr defaultSize="0" autoFill="0" autoLine="0" autoPict="0">
                <anchor moveWithCells="1">
                  <from>
                    <xdr:col>11</xdr:col>
                    <xdr:colOff>47625</xdr:colOff>
                    <xdr:row>14</xdr:row>
                    <xdr:rowOff>0</xdr:rowOff>
                  </from>
                  <to>
                    <xdr:col>12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161" name="Check Box 214">
              <controlPr defaultSize="0" autoFill="0" autoLine="0" autoPict="0">
                <anchor moveWithCells="1">
                  <from>
                    <xdr:col>11</xdr:col>
                    <xdr:colOff>38100</xdr:colOff>
                    <xdr:row>20</xdr:row>
                    <xdr:rowOff>0</xdr:rowOff>
                  </from>
                  <to>
                    <xdr:col>12</xdr:col>
                    <xdr:colOff>619125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162" name="Check Box 215">
              <controlPr defaultSize="0" autoFill="0" autoLine="0" autoPict="0">
                <anchor moveWithCells="1">
                  <from>
                    <xdr:col>11</xdr:col>
                    <xdr:colOff>47625</xdr:colOff>
                    <xdr:row>19</xdr:row>
                    <xdr:rowOff>0</xdr:rowOff>
                  </from>
                  <to>
                    <xdr:col>12</xdr:col>
                    <xdr:colOff>628650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6" r:id="rId163" name="Check Box 216">
              <controlPr defaultSize="0" autoFill="0" autoLine="0" autoPict="0">
                <anchor moveWithCells="1">
                  <from>
                    <xdr:col>11</xdr:col>
                    <xdr:colOff>47625</xdr:colOff>
                    <xdr:row>36</xdr:row>
                    <xdr:rowOff>0</xdr:rowOff>
                  </from>
                  <to>
                    <xdr:col>12</xdr:col>
                    <xdr:colOff>628650</xdr:colOff>
                    <xdr:row>36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7" r:id="rId164" name="Check Box 217">
              <controlPr defaultSize="0" autoFill="0" autoLine="0" autoPict="0">
                <anchor moveWithCells="1">
                  <from>
                    <xdr:col>11</xdr:col>
                    <xdr:colOff>47625</xdr:colOff>
                    <xdr:row>22</xdr:row>
                    <xdr:rowOff>0</xdr:rowOff>
                  </from>
                  <to>
                    <xdr:col>12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8" r:id="rId165" name="Check Box 218">
              <controlPr defaultSize="0" autoFill="0" autoLine="0" autoPict="0">
                <anchor moveWithCells="1">
                  <from>
                    <xdr:col>11</xdr:col>
                    <xdr:colOff>47625</xdr:colOff>
                    <xdr:row>25</xdr:row>
                    <xdr:rowOff>0</xdr:rowOff>
                  </from>
                  <to>
                    <xdr:col>12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9" r:id="rId166" name="Check Box 219">
              <controlPr defaultSize="0" autoFill="0" autoLine="0" autoPict="0">
                <anchor moveWithCells="1">
                  <from>
                    <xdr:col>11</xdr:col>
                    <xdr:colOff>47625</xdr:colOff>
                    <xdr:row>26</xdr:row>
                    <xdr:rowOff>0</xdr:rowOff>
                  </from>
                  <to>
                    <xdr:col>12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0" r:id="rId167" name="Check Box 220">
              <controlPr defaultSize="0" autoFill="0" autoLine="0" autoPict="0">
                <anchor moveWithCells="1">
                  <from>
                    <xdr:col>11</xdr:col>
                    <xdr:colOff>47625</xdr:colOff>
                    <xdr:row>27</xdr:row>
                    <xdr:rowOff>0</xdr:rowOff>
                  </from>
                  <to>
                    <xdr:col>12</xdr:col>
                    <xdr:colOff>628650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1" r:id="rId168" name="Check Box 221">
              <controlPr defaultSize="0" autoFill="0" autoLine="0" autoPict="0">
                <anchor moveWithCells="1">
                  <from>
                    <xdr:col>11</xdr:col>
                    <xdr:colOff>38100</xdr:colOff>
                    <xdr:row>18</xdr:row>
                    <xdr:rowOff>0</xdr:rowOff>
                  </from>
                  <to>
                    <xdr:col>12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2" r:id="rId169" name="Check Box 222">
              <controlPr defaultSize="0" autoFill="0" autoLine="0" autoPict="0">
                <anchor moveWithCells="1">
                  <from>
                    <xdr:col>11</xdr:col>
                    <xdr:colOff>47625</xdr:colOff>
                    <xdr:row>34</xdr:row>
                    <xdr:rowOff>19050</xdr:rowOff>
                  </from>
                  <to>
                    <xdr:col>12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3" r:id="rId170" name="Check Box 223">
              <controlPr defaultSize="0" autoFill="0" autoLine="0" autoPict="0">
                <anchor moveWithCells="1">
                  <from>
                    <xdr:col>9</xdr:col>
                    <xdr:colOff>47625</xdr:colOff>
                    <xdr:row>38</xdr:row>
                    <xdr:rowOff>19050</xdr:rowOff>
                  </from>
                  <to>
                    <xdr:col>10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4" r:id="rId171" name="Check Box 224">
              <controlPr defaultSize="0" autoFill="0" autoLine="0" autoPict="0">
                <anchor moveWithCells="1">
                  <from>
                    <xdr:col>11</xdr:col>
                    <xdr:colOff>47625</xdr:colOff>
                    <xdr:row>38</xdr:row>
                    <xdr:rowOff>19050</xdr:rowOff>
                  </from>
                  <to>
                    <xdr:col>12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5" r:id="rId172" name="Check Box 225">
              <controlPr defaultSize="0" autoFill="0" autoLine="0" autoPict="0">
                <anchor moveWithCells="1">
                  <from>
                    <xdr:col>9</xdr:col>
                    <xdr:colOff>47625</xdr:colOff>
                    <xdr:row>12</xdr:row>
                    <xdr:rowOff>0</xdr:rowOff>
                  </from>
                  <to>
                    <xdr:col>10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6" r:id="rId173" name="Check Box 226">
              <controlPr defaultSize="0" autoFill="0" autoLine="0" autoPict="0">
                <anchor moveWithCells="1">
                  <from>
                    <xdr:col>11</xdr:col>
                    <xdr:colOff>47625</xdr:colOff>
                    <xdr:row>12</xdr:row>
                    <xdr:rowOff>0</xdr:rowOff>
                  </from>
                  <to>
                    <xdr:col>12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7" r:id="rId174" name="Check Box 227">
              <controlPr defaultSize="0" autoFill="0" autoLine="0" autoPict="0">
                <anchor moveWithCells="1">
                  <from>
                    <xdr:col>9</xdr:col>
                    <xdr:colOff>47625</xdr:colOff>
                    <xdr:row>23</xdr:row>
                    <xdr:rowOff>0</xdr:rowOff>
                  </from>
                  <to>
                    <xdr:col>10</xdr:col>
                    <xdr:colOff>628650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8" r:id="rId175" name="Check Box 228">
              <controlPr defaultSize="0" autoFill="0" autoLine="0" autoPict="0">
                <anchor moveWithCells="1">
                  <from>
                    <xdr:col>11</xdr:col>
                    <xdr:colOff>47625</xdr:colOff>
                    <xdr:row>23</xdr:row>
                    <xdr:rowOff>0</xdr:rowOff>
                  </from>
                  <to>
                    <xdr:col>12</xdr:col>
                    <xdr:colOff>628650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9" r:id="rId176" name="Check Box 229">
              <controlPr defaultSize="0" autoFill="0" autoLine="0" autoPict="0">
                <anchor moveWithCells="1">
                  <from>
                    <xdr:col>9</xdr:col>
                    <xdr:colOff>47625</xdr:colOff>
                    <xdr:row>39</xdr:row>
                    <xdr:rowOff>19050</xdr:rowOff>
                  </from>
                  <to>
                    <xdr:col>10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0" r:id="rId177" name="Check Box 230">
              <controlPr defaultSize="0" autoFill="0" autoLine="0" autoPict="0">
                <anchor moveWithCells="1">
                  <from>
                    <xdr:col>11</xdr:col>
                    <xdr:colOff>47625</xdr:colOff>
                    <xdr:row>39</xdr:row>
                    <xdr:rowOff>19050</xdr:rowOff>
                  </from>
                  <to>
                    <xdr:col>12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1" r:id="rId178" name="Check Box 231">
              <controlPr defaultSize="0" autoFill="0" autoLine="0" autoPict="0">
                <anchor moveWithCells="1">
                  <from>
                    <xdr:col>9</xdr:col>
                    <xdr:colOff>47625</xdr:colOff>
                    <xdr:row>40</xdr:row>
                    <xdr:rowOff>19050</xdr:rowOff>
                  </from>
                  <to>
                    <xdr:col>10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2" r:id="rId179" name="Check Box 232">
              <controlPr defaultSize="0" autoFill="0" autoLine="0" autoPict="0">
                <anchor moveWithCells="1">
                  <from>
                    <xdr:col>11</xdr:col>
                    <xdr:colOff>47625</xdr:colOff>
                    <xdr:row>40</xdr:row>
                    <xdr:rowOff>19050</xdr:rowOff>
                  </from>
                  <to>
                    <xdr:col>12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3" r:id="rId180" name="Check Box 233">
              <controlPr defaultSize="0" autoFill="0" autoLine="0" autoPict="0">
                <anchor moveWithCells="1">
                  <from>
                    <xdr:col>9</xdr:col>
                    <xdr:colOff>47625</xdr:colOff>
                    <xdr:row>15</xdr:row>
                    <xdr:rowOff>0</xdr:rowOff>
                  </from>
                  <to>
                    <xdr:col>10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4" r:id="rId181" name="Check Box 234">
              <controlPr defaultSize="0" autoFill="0" autoLine="0" autoPict="0">
                <anchor moveWithCells="1">
                  <from>
                    <xdr:col>11</xdr:col>
                    <xdr:colOff>47625</xdr:colOff>
                    <xdr:row>15</xdr:row>
                    <xdr:rowOff>0</xdr:rowOff>
                  </from>
                  <to>
                    <xdr:col>12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5" r:id="rId182" name="Check Box 235">
              <controlPr defaultSize="0" autoFill="0" autoLine="0" autoPict="0">
                <anchor moveWithCells="1">
                  <from>
                    <xdr:col>9</xdr:col>
                    <xdr:colOff>47625</xdr:colOff>
                    <xdr:row>17</xdr:row>
                    <xdr:rowOff>0</xdr:rowOff>
                  </from>
                  <to>
                    <xdr:col>10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6" r:id="rId183" name="Check Box 236">
              <controlPr defaultSize="0" autoFill="0" autoLine="0" autoPict="0">
                <anchor moveWithCells="1">
                  <from>
                    <xdr:col>11</xdr:col>
                    <xdr:colOff>47625</xdr:colOff>
                    <xdr:row>17</xdr:row>
                    <xdr:rowOff>0</xdr:rowOff>
                  </from>
                  <to>
                    <xdr:col>12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7" r:id="rId184" name="Check Box 237">
              <controlPr defaultSize="0" autoFill="0" autoLine="0" autoPict="0">
                <anchor moveWithCells="1">
                  <from>
                    <xdr:col>9</xdr:col>
                    <xdr:colOff>38100</xdr:colOff>
                    <xdr:row>21</xdr:row>
                    <xdr:rowOff>0</xdr:rowOff>
                  </from>
                  <to>
                    <xdr:col>10</xdr:col>
                    <xdr:colOff>619125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8" r:id="rId185" name="Check Box 238">
              <controlPr defaultSize="0" autoFill="0" autoLine="0" autoPict="0">
                <anchor moveWithCells="1">
                  <from>
                    <xdr:col>11</xdr:col>
                    <xdr:colOff>38100</xdr:colOff>
                    <xdr:row>21</xdr:row>
                    <xdr:rowOff>0</xdr:rowOff>
                  </from>
                  <to>
                    <xdr:col>12</xdr:col>
                    <xdr:colOff>619125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9" r:id="rId186" name="Check Box 239">
              <controlPr defaultSize="0" autoFill="0" autoLine="0" autoPict="0">
                <anchor moveWithCells="1">
                  <from>
                    <xdr:col>9</xdr:col>
                    <xdr:colOff>47625</xdr:colOff>
                    <xdr:row>28</xdr:row>
                    <xdr:rowOff>0</xdr:rowOff>
                  </from>
                  <to>
                    <xdr:col>10</xdr:col>
                    <xdr:colOff>628650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0" r:id="rId187" name="Check Box 240">
              <controlPr defaultSize="0" autoFill="0" autoLine="0" autoPict="0">
                <anchor moveWithCells="1">
                  <from>
                    <xdr:col>11</xdr:col>
                    <xdr:colOff>47625</xdr:colOff>
                    <xdr:row>28</xdr:row>
                    <xdr:rowOff>0</xdr:rowOff>
                  </from>
                  <to>
                    <xdr:col>12</xdr:col>
                    <xdr:colOff>628650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1" r:id="rId188" name="Check Box 241">
              <controlPr defaultSize="0" autoFill="0" autoLine="0" autoPict="0">
                <anchor moveWithCells="1">
                  <from>
                    <xdr:col>9</xdr:col>
                    <xdr:colOff>47625</xdr:colOff>
                    <xdr:row>29</xdr:row>
                    <xdr:rowOff>0</xdr:rowOff>
                  </from>
                  <to>
                    <xdr:col>10</xdr:col>
                    <xdr:colOff>628650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2" r:id="rId189" name="Check Box 242">
              <controlPr defaultSize="0" autoFill="0" autoLine="0" autoPict="0">
                <anchor moveWithCells="1">
                  <from>
                    <xdr:col>11</xdr:col>
                    <xdr:colOff>47625</xdr:colOff>
                    <xdr:row>29</xdr:row>
                    <xdr:rowOff>0</xdr:rowOff>
                  </from>
                  <to>
                    <xdr:col>12</xdr:col>
                    <xdr:colOff>628650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3" r:id="rId190" name="Check Box 243">
              <controlPr defaultSize="0" autoFill="0" autoLine="0" autoPict="0">
                <anchor moveWithCells="1">
                  <from>
                    <xdr:col>9</xdr:col>
                    <xdr:colOff>47625</xdr:colOff>
                    <xdr:row>30</xdr:row>
                    <xdr:rowOff>0</xdr:rowOff>
                  </from>
                  <to>
                    <xdr:col>10</xdr:col>
                    <xdr:colOff>628650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4" r:id="rId191" name="Check Box 244">
              <controlPr defaultSize="0" autoFill="0" autoLine="0" autoPict="0">
                <anchor moveWithCells="1">
                  <from>
                    <xdr:col>11</xdr:col>
                    <xdr:colOff>47625</xdr:colOff>
                    <xdr:row>30</xdr:row>
                    <xdr:rowOff>0</xdr:rowOff>
                  </from>
                  <to>
                    <xdr:col>12</xdr:col>
                    <xdr:colOff>628650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5" r:id="rId192" name="Check Box 245">
              <controlPr defaultSize="0" autoFill="0" autoLine="0" autoPict="0">
                <anchor moveWithCells="1">
                  <from>
                    <xdr:col>9</xdr:col>
                    <xdr:colOff>47625</xdr:colOff>
                    <xdr:row>31</xdr:row>
                    <xdr:rowOff>0</xdr:rowOff>
                  </from>
                  <to>
                    <xdr:col>10</xdr:col>
                    <xdr:colOff>628650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6" r:id="rId193" name="Check Box 246">
              <controlPr defaultSize="0" autoFill="0" autoLine="0" autoPict="0">
                <anchor moveWithCells="1">
                  <from>
                    <xdr:col>11</xdr:col>
                    <xdr:colOff>47625</xdr:colOff>
                    <xdr:row>31</xdr:row>
                    <xdr:rowOff>0</xdr:rowOff>
                  </from>
                  <to>
                    <xdr:col>12</xdr:col>
                    <xdr:colOff>628650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7" r:id="rId194" name="Check Box 247">
              <controlPr defaultSize="0" autoFill="0" autoLine="0" autoPict="0">
                <anchor moveWithCells="1">
                  <from>
                    <xdr:col>9</xdr:col>
                    <xdr:colOff>47625</xdr:colOff>
                    <xdr:row>32</xdr:row>
                    <xdr:rowOff>0</xdr:rowOff>
                  </from>
                  <to>
                    <xdr:col>10</xdr:col>
                    <xdr:colOff>628650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8" r:id="rId195" name="Check Box 248">
              <controlPr defaultSize="0" autoFill="0" autoLine="0" autoPict="0">
                <anchor moveWithCells="1">
                  <from>
                    <xdr:col>11</xdr:col>
                    <xdr:colOff>47625</xdr:colOff>
                    <xdr:row>32</xdr:row>
                    <xdr:rowOff>0</xdr:rowOff>
                  </from>
                  <to>
                    <xdr:col>12</xdr:col>
                    <xdr:colOff>628650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9" r:id="rId196" name="Check Box 249">
              <controlPr defaultSize="0" autoFill="0" autoLine="0" autoPict="0">
                <anchor moveWithCells="1">
                  <from>
                    <xdr:col>9</xdr:col>
                    <xdr:colOff>47625</xdr:colOff>
                    <xdr:row>35</xdr:row>
                    <xdr:rowOff>0</xdr:rowOff>
                  </from>
                  <to>
                    <xdr:col>10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0" r:id="rId197" name="Check Box 250">
              <controlPr defaultSize="0" autoFill="0" autoLine="0" autoPict="0">
                <anchor moveWithCells="1">
                  <from>
                    <xdr:col>11</xdr:col>
                    <xdr:colOff>47625</xdr:colOff>
                    <xdr:row>35</xdr:row>
                    <xdr:rowOff>0</xdr:rowOff>
                  </from>
                  <to>
                    <xdr:col>12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1" r:id="rId198" name="Check Box 251">
              <controlPr defaultSize="0" autoFill="0" autoLine="0" autoPict="0" altText="Fosfaat">
                <anchor moveWithCells="1">
                  <from>
                    <xdr:col>9</xdr:col>
                    <xdr:colOff>47625</xdr:colOff>
                    <xdr:row>24</xdr:row>
                    <xdr:rowOff>19050</xdr:rowOff>
                  </from>
                  <to>
                    <xdr:col>10</xdr:col>
                    <xdr:colOff>628650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2" r:id="rId199" name="Check Box 252">
              <controlPr defaultSize="0" autoFill="0" autoLine="0" autoPict="0" altText="Fosfaat">
                <anchor moveWithCells="1">
                  <from>
                    <xdr:col>11</xdr:col>
                    <xdr:colOff>47625</xdr:colOff>
                    <xdr:row>24</xdr:row>
                    <xdr:rowOff>19050</xdr:rowOff>
                  </from>
                  <to>
                    <xdr:col>12</xdr:col>
                    <xdr:colOff>628650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3" r:id="rId200" name="Check Box 253">
              <controlPr defaultSize="0" autoFill="0" autoLine="0" autoPict="0" altText="Leuko's + diff">
                <anchor moveWithCells="1">
                  <from>
                    <xdr:col>1</xdr:col>
                    <xdr:colOff>47625</xdr:colOff>
                    <xdr:row>16</xdr:row>
                    <xdr:rowOff>0</xdr:rowOff>
                  </from>
                  <to>
                    <xdr:col>2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4" r:id="rId201" name="Check Box 254">
              <controlPr defaultSize="0" autoFill="0" autoLine="0" autoPict="0">
                <anchor moveWithCells="1">
                  <from>
                    <xdr:col>5</xdr:col>
                    <xdr:colOff>47625</xdr:colOff>
                    <xdr:row>16</xdr:row>
                    <xdr:rowOff>0</xdr:rowOff>
                  </from>
                  <to>
                    <xdr:col>6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5" r:id="rId202" name="Check Box 255">
              <controlPr defaultSize="0" autoFill="0" autoLine="0" autoPict="0">
                <anchor moveWithCells="1">
                  <from>
                    <xdr:col>7</xdr:col>
                    <xdr:colOff>47625</xdr:colOff>
                    <xdr:row>16</xdr:row>
                    <xdr:rowOff>0</xdr:rowOff>
                  </from>
                  <to>
                    <xdr:col>8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6" r:id="rId203" name="Check Box 256">
              <controlPr defaultSize="0" autoFill="0" autoLine="0" autoPict="0">
                <anchor moveWithCells="1">
                  <from>
                    <xdr:col>15</xdr:col>
                    <xdr:colOff>47625</xdr:colOff>
                    <xdr:row>16</xdr:row>
                    <xdr:rowOff>0</xdr:rowOff>
                  </from>
                  <to>
                    <xdr:col>16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7" r:id="rId204" name="Check Box 257">
              <controlPr defaultSize="0" autoFill="0" autoLine="0" autoPict="0">
                <anchor moveWithCells="1">
                  <from>
                    <xdr:col>3</xdr:col>
                    <xdr:colOff>47625</xdr:colOff>
                    <xdr:row>16</xdr:row>
                    <xdr:rowOff>0</xdr:rowOff>
                  </from>
                  <to>
                    <xdr:col>4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0" r:id="rId205" name="Check Box 260">
              <controlPr defaultSize="0" autoFill="0" autoLine="0" autoPict="0">
                <anchor moveWithCells="1">
                  <from>
                    <xdr:col>9</xdr:col>
                    <xdr:colOff>47625</xdr:colOff>
                    <xdr:row>16</xdr:row>
                    <xdr:rowOff>0</xdr:rowOff>
                  </from>
                  <to>
                    <xdr:col>10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1" r:id="rId206" name="Check Box 261">
              <controlPr defaultSize="0" autoFill="0" autoLine="0" autoPict="0">
                <anchor moveWithCells="1">
                  <from>
                    <xdr:col>11</xdr:col>
                    <xdr:colOff>47625</xdr:colOff>
                    <xdr:row>16</xdr:row>
                    <xdr:rowOff>0</xdr:rowOff>
                  </from>
                  <to>
                    <xdr:col>12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2" r:id="rId207" name="Check Box 262">
              <controlPr defaultSize="0" autoFill="0" autoLine="0" autoPict="0" altText="NICU APTT ">
                <anchor moveWithCells="1">
                  <from>
                    <xdr:col>1</xdr:col>
                    <xdr:colOff>47625</xdr:colOff>
                    <xdr:row>37</xdr:row>
                    <xdr:rowOff>0</xdr:rowOff>
                  </from>
                  <to>
                    <xdr:col>2</xdr:col>
                    <xdr:colOff>628650</xdr:colOff>
                    <xdr:row>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3" r:id="rId208" name="Check Box 263">
              <controlPr defaultSize="0" autoFill="0" autoLine="0" autoPict="0">
                <anchor moveWithCells="1">
                  <from>
                    <xdr:col>5</xdr:col>
                    <xdr:colOff>47625</xdr:colOff>
                    <xdr:row>37</xdr:row>
                    <xdr:rowOff>0</xdr:rowOff>
                  </from>
                  <to>
                    <xdr:col>6</xdr:col>
                    <xdr:colOff>628650</xdr:colOff>
                    <xdr:row>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4" r:id="rId209" name="Check Box 264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0</xdr:rowOff>
                  </from>
                  <to>
                    <xdr:col>8</xdr:col>
                    <xdr:colOff>628650</xdr:colOff>
                    <xdr:row>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5" r:id="rId210" name="Check Box 265">
              <controlPr defaultSize="0" autoFill="0" autoLine="0" autoPict="0">
                <anchor moveWithCells="1">
                  <from>
                    <xdr:col>15</xdr:col>
                    <xdr:colOff>47625</xdr:colOff>
                    <xdr:row>37</xdr:row>
                    <xdr:rowOff>0</xdr:rowOff>
                  </from>
                  <to>
                    <xdr:col>16</xdr:col>
                    <xdr:colOff>628650</xdr:colOff>
                    <xdr:row>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6" r:id="rId211" name="Check Box 266">
              <controlPr defaultSize="0" autoFill="0" autoLine="0" autoPict="0">
                <anchor moveWithCells="1">
                  <from>
                    <xdr:col>3</xdr:col>
                    <xdr:colOff>47625</xdr:colOff>
                    <xdr:row>37</xdr:row>
                    <xdr:rowOff>0</xdr:rowOff>
                  </from>
                  <to>
                    <xdr:col>4</xdr:col>
                    <xdr:colOff>628650</xdr:colOff>
                    <xdr:row>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9" r:id="rId212" name="Check Box 269">
              <controlPr defaultSize="0" autoFill="0" autoLine="0" autoPict="0">
                <anchor moveWithCells="1">
                  <from>
                    <xdr:col>9</xdr:col>
                    <xdr:colOff>47625</xdr:colOff>
                    <xdr:row>37</xdr:row>
                    <xdr:rowOff>0</xdr:rowOff>
                  </from>
                  <to>
                    <xdr:col>10</xdr:col>
                    <xdr:colOff>628650</xdr:colOff>
                    <xdr:row>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0" r:id="rId213" name="Check Box 270">
              <controlPr defaultSize="0" autoFill="0" autoLine="0" autoPict="0">
                <anchor moveWithCells="1">
                  <from>
                    <xdr:col>11</xdr:col>
                    <xdr:colOff>47625</xdr:colOff>
                    <xdr:row>37</xdr:row>
                    <xdr:rowOff>0</xdr:rowOff>
                  </from>
                  <to>
                    <xdr:col>12</xdr:col>
                    <xdr:colOff>628650</xdr:colOff>
                    <xdr:row>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1" r:id="rId214" name="Check Box 271">
              <controlPr defaultSize="0" autoFill="0" autoLine="0" autoPict="0" altText="Triglyceriden">
                <anchor moveWithCells="1">
                  <from>
                    <xdr:col>1</xdr:col>
                    <xdr:colOff>47625</xdr:colOff>
                    <xdr:row>33</xdr:row>
                    <xdr:rowOff>19050</xdr:rowOff>
                  </from>
                  <to>
                    <xdr:col>2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2" r:id="rId215" name="Check Box 272">
              <controlPr defaultSize="0" autoFill="0" autoLine="0" autoPict="0" altText="Fosfaat">
                <anchor moveWithCells="1">
                  <from>
                    <xdr:col>5</xdr:col>
                    <xdr:colOff>47625</xdr:colOff>
                    <xdr:row>33</xdr:row>
                    <xdr:rowOff>19050</xdr:rowOff>
                  </from>
                  <to>
                    <xdr:col>6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3" r:id="rId216" name="Check Box 273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33</xdr:row>
                    <xdr:rowOff>19050</xdr:rowOff>
                  </from>
                  <to>
                    <xdr:col>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4" r:id="rId217" name="Check Box 274">
              <controlPr defaultSize="0" autoFill="0" autoLine="0" autoPict="0" altText="Fosfaat">
                <anchor moveWithCells="1">
                  <from>
                    <xdr:col>15</xdr:col>
                    <xdr:colOff>47625</xdr:colOff>
                    <xdr:row>33</xdr:row>
                    <xdr:rowOff>19050</xdr:rowOff>
                  </from>
                  <to>
                    <xdr:col>16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5" r:id="rId218" name="Check Box 275">
              <controlPr defaultSize="0" autoFill="0" autoLine="0" autoPict="0" altText="Fosfaat">
                <anchor moveWithCells="1">
                  <from>
                    <xdr:col>3</xdr:col>
                    <xdr:colOff>47625</xdr:colOff>
                    <xdr:row>33</xdr:row>
                    <xdr:rowOff>19050</xdr:rowOff>
                  </from>
                  <to>
                    <xdr:col>4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8" r:id="rId219" name="Check Box 278">
              <controlPr defaultSize="0" autoFill="0" autoLine="0" autoPict="0" altText="Fosfaat">
                <anchor moveWithCells="1">
                  <from>
                    <xdr:col>9</xdr:col>
                    <xdr:colOff>47625</xdr:colOff>
                    <xdr:row>33</xdr:row>
                    <xdr:rowOff>19050</xdr:rowOff>
                  </from>
                  <to>
                    <xdr:col>10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9" r:id="rId220" name="Check Box 279">
              <controlPr defaultSize="0" autoFill="0" autoLine="0" autoPict="0" altText="Fosfaat">
                <anchor moveWithCells="1">
                  <from>
                    <xdr:col>11</xdr:col>
                    <xdr:colOff>47625</xdr:colOff>
                    <xdr:row>33</xdr:row>
                    <xdr:rowOff>19050</xdr:rowOff>
                  </from>
                  <to>
                    <xdr:col>12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0" r:id="rId221" name="Check Box 280">
              <controlPr defaultSize="0" autoFill="0" autoLine="0" autoPict="0" altText="Triglyceriden">
                <anchor moveWithCells="1">
                  <from>
                    <xdr:col>1</xdr:col>
                    <xdr:colOff>47625</xdr:colOff>
                    <xdr:row>41</xdr:row>
                    <xdr:rowOff>19050</xdr:rowOff>
                  </from>
                  <to>
                    <xdr:col>2</xdr:col>
                    <xdr:colOff>628650</xdr:colOff>
                    <xdr:row>41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1" r:id="rId222" name="Check Box 281">
              <controlPr defaultSize="0" autoFill="0" autoLine="0" autoPict="0">
                <anchor moveWithCells="1">
                  <from>
                    <xdr:col>17</xdr:col>
                    <xdr:colOff>47625</xdr:colOff>
                    <xdr:row>10</xdr:row>
                    <xdr:rowOff>0</xdr:rowOff>
                  </from>
                  <to>
                    <xdr:col>18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2" r:id="rId223" name="Check Box 282">
              <controlPr defaultSize="0" autoFill="0" autoLine="0" autoPict="0">
                <anchor moveWithCells="1">
                  <from>
                    <xdr:col>17</xdr:col>
                    <xdr:colOff>47625</xdr:colOff>
                    <xdr:row>11</xdr:row>
                    <xdr:rowOff>0</xdr:rowOff>
                  </from>
                  <to>
                    <xdr:col>18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3" r:id="rId224" name="Check Box 283">
              <controlPr defaultSize="0" autoFill="0" autoLine="0" autoPict="0">
                <anchor moveWithCells="1">
                  <from>
                    <xdr:col>17</xdr:col>
                    <xdr:colOff>47625</xdr:colOff>
                    <xdr:row>13</xdr:row>
                    <xdr:rowOff>0</xdr:rowOff>
                  </from>
                  <to>
                    <xdr:col>18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4" r:id="rId225" name="Check Box 284">
              <controlPr defaultSize="0" autoFill="0" autoLine="0" autoPict="0">
                <anchor moveWithCells="1">
                  <from>
                    <xdr:col>17</xdr:col>
                    <xdr:colOff>47625</xdr:colOff>
                    <xdr:row>14</xdr:row>
                    <xdr:rowOff>0</xdr:rowOff>
                  </from>
                  <to>
                    <xdr:col>18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5" r:id="rId226" name="Check Box 285">
              <controlPr defaultSize="0" autoFill="0" autoLine="0" autoPict="0">
                <anchor moveWithCells="1">
                  <from>
                    <xdr:col>17</xdr:col>
                    <xdr:colOff>38100</xdr:colOff>
                    <xdr:row>20</xdr:row>
                    <xdr:rowOff>0</xdr:rowOff>
                  </from>
                  <to>
                    <xdr:col>18</xdr:col>
                    <xdr:colOff>619125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6" r:id="rId227" name="Check Box 286">
              <controlPr defaultSize="0" autoFill="0" autoLine="0" autoPict="0">
                <anchor moveWithCells="1">
                  <from>
                    <xdr:col>17</xdr:col>
                    <xdr:colOff>47625</xdr:colOff>
                    <xdr:row>19</xdr:row>
                    <xdr:rowOff>0</xdr:rowOff>
                  </from>
                  <to>
                    <xdr:col>18</xdr:col>
                    <xdr:colOff>628650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7" r:id="rId228" name="Check Box 287">
              <controlPr defaultSize="0" autoFill="0" autoLine="0" autoPict="0">
                <anchor moveWithCells="1">
                  <from>
                    <xdr:col>17</xdr:col>
                    <xdr:colOff>47625</xdr:colOff>
                    <xdr:row>36</xdr:row>
                    <xdr:rowOff>0</xdr:rowOff>
                  </from>
                  <to>
                    <xdr:col>18</xdr:col>
                    <xdr:colOff>628650</xdr:colOff>
                    <xdr:row>36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8" r:id="rId229" name="Check Box 288">
              <controlPr defaultSize="0" autoFill="0" autoLine="0" autoPict="0">
                <anchor moveWithCells="1">
                  <from>
                    <xdr:col>17</xdr:col>
                    <xdr:colOff>47625</xdr:colOff>
                    <xdr:row>22</xdr:row>
                    <xdr:rowOff>0</xdr:rowOff>
                  </from>
                  <to>
                    <xdr:col>18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9" r:id="rId230" name="Check Box 289">
              <controlPr defaultSize="0" autoFill="0" autoLine="0" autoPict="0">
                <anchor moveWithCells="1">
                  <from>
                    <xdr:col>17</xdr:col>
                    <xdr:colOff>47625</xdr:colOff>
                    <xdr:row>25</xdr:row>
                    <xdr:rowOff>0</xdr:rowOff>
                  </from>
                  <to>
                    <xdr:col>18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0" r:id="rId231" name="Check Box 290">
              <controlPr defaultSize="0" autoFill="0" autoLine="0" autoPict="0">
                <anchor moveWithCells="1">
                  <from>
                    <xdr:col>17</xdr:col>
                    <xdr:colOff>47625</xdr:colOff>
                    <xdr:row>26</xdr:row>
                    <xdr:rowOff>0</xdr:rowOff>
                  </from>
                  <to>
                    <xdr:col>18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1" r:id="rId232" name="Check Box 291">
              <controlPr defaultSize="0" autoFill="0" autoLine="0" autoPict="0">
                <anchor moveWithCells="1">
                  <from>
                    <xdr:col>17</xdr:col>
                    <xdr:colOff>47625</xdr:colOff>
                    <xdr:row>27</xdr:row>
                    <xdr:rowOff>0</xdr:rowOff>
                  </from>
                  <to>
                    <xdr:col>18</xdr:col>
                    <xdr:colOff>628650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2" r:id="rId233" name="Check Box 292">
              <controlPr defaultSize="0" autoFill="0" autoLine="0" autoPict="0">
                <anchor moveWithCells="1">
                  <from>
                    <xdr:col>17</xdr:col>
                    <xdr:colOff>38100</xdr:colOff>
                    <xdr:row>18</xdr:row>
                    <xdr:rowOff>0</xdr:rowOff>
                  </from>
                  <to>
                    <xdr:col>18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3" r:id="rId234" name="Check Box 293">
              <controlPr defaultSize="0" autoFill="0" autoLine="0" autoPict="0">
                <anchor moveWithCells="1">
                  <from>
                    <xdr:col>17</xdr:col>
                    <xdr:colOff>47625</xdr:colOff>
                    <xdr:row>34</xdr:row>
                    <xdr:rowOff>19050</xdr:rowOff>
                  </from>
                  <to>
                    <xdr:col>18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4" r:id="rId235" name="Check Box 294">
              <controlPr defaultSize="0" autoFill="0" autoLine="0" autoPict="0">
                <anchor moveWithCells="1">
                  <from>
                    <xdr:col>17</xdr:col>
                    <xdr:colOff>47625</xdr:colOff>
                    <xdr:row>38</xdr:row>
                    <xdr:rowOff>19050</xdr:rowOff>
                  </from>
                  <to>
                    <xdr:col>18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5" r:id="rId236" name="Check Box 295">
              <controlPr defaultSize="0" autoFill="0" autoLine="0" autoPict="0">
                <anchor moveWithCells="1">
                  <from>
                    <xdr:col>17</xdr:col>
                    <xdr:colOff>47625</xdr:colOff>
                    <xdr:row>12</xdr:row>
                    <xdr:rowOff>0</xdr:rowOff>
                  </from>
                  <to>
                    <xdr:col>18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6" r:id="rId237" name="Check Box 296">
              <controlPr defaultSize="0" autoFill="0" autoLine="0" autoPict="0">
                <anchor moveWithCells="1">
                  <from>
                    <xdr:col>17</xdr:col>
                    <xdr:colOff>47625</xdr:colOff>
                    <xdr:row>23</xdr:row>
                    <xdr:rowOff>0</xdr:rowOff>
                  </from>
                  <to>
                    <xdr:col>18</xdr:col>
                    <xdr:colOff>628650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7" r:id="rId238" name="Check Box 297">
              <controlPr defaultSize="0" autoFill="0" autoLine="0" autoPict="0">
                <anchor moveWithCells="1">
                  <from>
                    <xdr:col>17</xdr:col>
                    <xdr:colOff>47625</xdr:colOff>
                    <xdr:row>39</xdr:row>
                    <xdr:rowOff>19050</xdr:rowOff>
                  </from>
                  <to>
                    <xdr:col>18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8" r:id="rId239" name="Check Box 298">
              <controlPr defaultSize="0" autoFill="0" autoLine="0" autoPict="0">
                <anchor moveWithCells="1">
                  <from>
                    <xdr:col>17</xdr:col>
                    <xdr:colOff>47625</xdr:colOff>
                    <xdr:row>40</xdr:row>
                    <xdr:rowOff>19050</xdr:rowOff>
                  </from>
                  <to>
                    <xdr:col>18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9" r:id="rId240" name="Check Box 299">
              <controlPr defaultSize="0" autoFill="0" autoLine="0" autoPict="0">
                <anchor moveWithCells="1">
                  <from>
                    <xdr:col>17</xdr:col>
                    <xdr:colOff>47625</xdr:colOff>
                    <xdr:row>15</xdr:row>
                    <xdr:rowOff>0</xdr:rowOff>
                  </from>
                  <to>
                    <xdr:col>18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0" r:id="rId241" name="Check Box 300">
              <controlPr defaultSize="0" autoFill="0" autoLine="0" autoPict="0">
                <anchor moveWithCells="1">
                  <from>
                    <xdr:col>17</xdr:col>
                    <xdr:colOff>47625</xdr:colOff>
                    <xdr:row>17</xdr:row>
                    <xdr:rowOff>0</xdr:rowOff>
                  </from>
                  <to>
                    <xdr:col>18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1" r:id="rId242" name="Check Box 301">
              <controlPr defaultSize="0" autoFill="0" autoLine="0" autoPict="0">
                <anchor moveWithCells="1">
                  <from>
                    <xdr:col>17</xdr:col>
                    <xdr:colOff>38100</xdr:colOff>
                    <xdr:row>21</xdr:row>
                    <xdr:rowOff>0</xdr:rowOff>
                  </from>
                  <to>
                    <xdr:col>18</xdr:col>
                    <xdr:colOff>619125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2" r:id="rId243" name="Check Box 302">
              <controlPr defaultSize="0" autoFill="0" autoLine="0" autoPict="0">
                <anchor moveWithCells="1">
                  <from>
                    <xdr:col>17</xdr:col>
                    <xdr:colOff>47625</xdr:colOff>
                    <xdr:row>28</xdr:row>
                    <xdr:rowOff>0</xdr:rowOff>
                  </from>
                  <to>
                    <xdr:col>18</xdr:col>
                    <xdr:colOff>628650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3" r:id="rId244" name="Check Box 303">
              <controlPr defaultSize="0" autoFill="0" autoLine="0" autoPict="0">
                <anchor moveWithCells="1">
                  <from>
                    <xdr:col>17</xdr:col>
                    <xdr:colOff>47625</xdr:colOff>
                    <xdr:row>29</xdr:row>
                    <xdr:rowOff>0</xdr:rowOff>
                  </from>
                  <to>
                    <xdr:col>18</xdr:col>
                    <xdr:colOff>628650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4" r:id="rId245" name="Check Box 304">
              <controlPr defaultSize="0" autoFill="0" autoLine="0" autoPict="0">
                <anchor moveWithCells="1">
                  <from>
                    <xdr:col>17</xdr:col>
                    <xdr:colOff>47625</xdr:colOff>
                    <xdr:row>30</xdr:row>
                    <xdr:rowOff>0</xdr:rowOff>
                  </from>
                  <to>
                    <xdr:col>18</xdr:col>
                    <xdr:colOff>628650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5" r:id="rId246" name="Check Box 305">
              <controlPr defaultSize="0" autoFill="0" autoLine="0" autoPict="0">
                <anchor moveWithCells="1">
                  <from>
                    <xdr:col>17</xdr:col>
                    <xdr:colOff>47625</xdr:colOff>
                    <xdr:row>31</xdr:row>
                    <xdr:rowOff>0</xdr:rowOff>
                  </from>
                  <to>
                    <xdr:col>18</xdr:col>
                    <xdr:colOff>628650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6" r:id="rId247" name="Check Box 306">
              <controlPr defaultSize="0" autoFill="0" autoLine="0" autoPict="0">
                <anchor moveWithCells="1">
                  <from>
                    <xdr:col>17</xdr:col>
                    <xdr:colOff>47625</xdr:colOff>
                    <xdr:row>32</xdr:row>
                    <xdr:rowOff>0</xdr:rowOff>
                  </from>
                  <to>
                    <xdr:col>18</xdr:col>
                    <xdr:colOff>628650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7" r:id="rId248" name="Check Box 307">
              <controlPr defaultSize="0" autoFill="0" autoLine="0" autoPict="0">
                <anchor moveWithCells="1">
                  <from>
                    <xdr:col>17</xdr:col>
                    <xdr:colOff>47625</xdr:colOff>
                    <xdr:row>35</xdr:row>
                    <xdr:rowOff>0</xdr:rowOff>
                  </from>
                  <to>
                    <xdr:col>18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8" r:id="rId249" name="Check Box 308">
              <controlPr defaultSize="0" autoFill="0" autoLine="0" autoPict="0" altText="Fosfaat">
                <anchor moveWithCells="1">
                  <from>
                    <xdr:col>17</xdr:col>
                    <xdr:colOff>47625</xdr:colOff>
                    <xdr:row>24</xdr:row>
                    <xdr:rowOff>19050</xdr:rowOff>
                  </from>
                  <to>
                    <xdr:col>18</xdr:col>
                    <xdr:colOff>628650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9" r:id="rId250" name="Check Box 309">
              <controlPr defaultSize="0" autoFill="0" autoLine="0" autoPict="0">
                <anchor moveWithCells="1">
                  <from>
                    <xdr:col>17</xdr:col>
                    <xdr:colOff>47625</xdr:colOff>
                    <xdr:row>16</xdr:row>
                    <xdr:rowOff>0</xdr:rowOff>
                  </from>
                  <to>
                    <xdr:col>18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0" r:id="rId251" name="Check Box 310">
              <controlPr defaultSize="0" autoFill="0" autoLine="0" autoPict="0">
                <anchor moveWithCells="1">
                  <from>
                    <xdr:col>17</xdr:col>
                    <xdr:colOff>47625</xdr:colOff>
                    <xdr:row>37</xdr:row>
                    <xdr:rowOff>0</xdr:rowOff>
                  </from>
                  <to>
                    <xdr:col>18</xdr:col>
                    <xdr:colOff>628650</xdr:colOff>
                    <xdr:row>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1" r:id="rId252" name="Check Box 311">
              <controlPr defaultSize="0" autoFill="0" autoLine="0" autoPict="0" altText="Fosfaat">
                <anchor moveWithCells="1">
                  <from>
                    <xdr:col>17</xdr:col>
                    <xdr:colOff>47625</xdr:colOff>
                    <xdr:row>33</xdr:row>
                    <xdr:rowOff>19050</xdr:rowOff>
                  </from>
                  <to>
                    <xdr:col>18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2" r:id="rId253" name="Check Box 312">
              <controlPr defaultSize="0" autoFill="0" autoLine="0" autoPict="0">
                <anchor moveWithCells="1">
                  <from>
                    <xdr:col>19</xdr:col>
                    <xdr:colOff>47625</xdr:colOff>
                    <xdr:row>10</xdr:row>
                    <xdr:rowOff>0</xdr:rowOff>
                  </from>
                  <to>
                    <xdr:col>20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3" r:id="rId254" name="Check Box 313">
              <controlPr defaultSize="0" autoFill="0" autoLine="0" autoPict="0">
                <anchor moveWithCells="1">
                  <from>
                    <xdr:col>19</xdr:col>
                    <xdr:colOff>47625</xdr:colOff>
                    <xdr:row>11</xdr:row>
                    <xdr:rowOff>0</xdr:rowOff>
                  </from>
                  <to>
                    <xdr:col>20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4" r:id="rId255" name="Check Box 314">
              <controlPr defaultSize="0" autoFill="0" autoLine="0" autoPict="0">
                <anchor moveWithCells="1">
                  <from>
                    <xdr:col>19</xdr:col>
                    <xdr:colOff>47625</xdr:colOff>
                    <xdr:row>13</xdr:row>
                    <xdr:rowOff>0</xdr:rowOff>
                  </from>
                  <to>
                    <xdr:col>20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5" r:id="rId256" name="Check Box 315">
              <controlPr defaultSize="0" autoFill="0" autoLine="0" autoPict="0">
                <anchor moveWithCells="1">
                  <from>
                    <xdr:col>19</xdr:col>
                    <xdr:colOff>47625</xdr:colOff>
                    <xdr:row>14</xdr:row>
                    <xdr:rowOff>0</xdr:rowOff>
                  </from>
                  <to>
                    <xdr:col>20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6" r:id="rId257" name="Check Box 316">
              <controlPr defaultSize="0" autoFill="0" autoLine="0" autoPict="0">
                <anchor moveWithCells="1">
                  <from>
                    <xdr:col>19</xdr:col>
                    <xdr:colOff>38100</xdr:colOff>
                    <xdr:row>20</xdr:row>
                    <xdr:rowOff>0</xdr:rowOff>
                  </from>
                  <to>
                    <xdr:col>20</xdr:col>
                    <xdr:colOff>619125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7" r:id="rId258" name="Check Box 317">
              <controlPr defaultSize="0" autoFill="0" autoLine="0" autoPict="0">
                <anchor moveWithCells="1">
                  <from>
                    <xdr:col>19</xdr:col>
                    <xdr:colOff>47625</xdr:colOff>
                    <xdr:row>19</xdr:row>
                    <xdr:rowOff>0</xdr:rowOff>
                  </from>
                  <to>
                    <xdr:col>20</xdr:col>
                    <xdr:colOff>628650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8" r:id="rId259" name="Check Box 318">
              <controlPr defaultSize="0" autoFill="0" autoLine="0" autoPict="0">
                <anchor moveWithCells="1">
                  <from>
                    <xdr:col>19</xdr:col>
                    <xdr:colOff>47625</xdr:colOff>
                    <xdr:row>36</xdr:row>
                    <xdr:rowOff>0</xdr:rowOff>
                  </from>
                  <to>
                    <xdr:col>20</xdr:col>
                    <xdr:colOff>628650</xdr:colOff>
                    <xdr:row>36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9" r:id="rId260" name="Check Box 319">
              <controlPr defaultSize="0" autoFill="0" autoLine="0" autoPict="0">
                <anchor moveWithCells="1">
                  <from>
                    <xdr:col>19</xdr:col>
                    <xdr:colOff>47625</xdr:colOff>
                    <xdr:row>22</xdr:row>
                    <xdr:rowOff>0</xdr:rowOff>
                  </from>
                  <to>
                    <xdr:col>20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0" r:id="rId261" name="Check Box 320">
              <controlPr defaultSize="0" autoFill="0" autoLine="0" autoPict="0">
                <anchor moveWithCells="1">
                  <from>
                    <xdr:col>19</xdr:col>
                    <xdr:colOff>47625</xdr:colOff>
                    <xdr:row>25</xdr:row>
                    <xdr:rowOff>0</xdr:rowOff>
                  </from>
                  <to>
                    <xdr:col>20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1" r:id="rId262" name="Check Box 321">
              <controlPr defaultSize="0" autoFill="0" autoLine="0" autoPict="0">
                <anchor moveWithCells="1">
                  <from>
                    <xdr:col>19</xdr:col>
                    <xdr:colOff>47625</xdr:colOff>
                    <xdr:row>26</xdr:row>
                    <xdr:rowOff>0</xdr:rowOff>
                  </from>
                  <to>
                    <xdr:col>20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2" r:id="rId263" name="Check Box 322">
              <controlPr defaultSize="0" autoFill="0" autoLine="0" autoPict="0">
                <anchor moveWithCells="1">
                  <from>
                    <xdr:col>19</xdr:col>
                    <xdr:colOff>47625</xdr:colOff>
                    <xdr:row>27</xdr:row>
                    <xdr:rowOff>0</xdr:rowOff>
                  </from>
                  <to>
                    <xdr:col>20</xdr:col>
                    <xdr:colOff>628650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3" r:id="rId264" name="Check Box 323">
              <controlPr defaultSize="0" autoFill="0" autoLine="0" autoPict="0">
                <anchor moveWithCells="1">
                  <from>
                    <xdr:col>19</xdr:col>
                    <xdr:colOff>38100</xdr:colOff>
                    <xdr:row>18</xdr:row>
                    <xdr:rowOff>0</xdr:rowOff>
                  </from>
                  <to>
                    <xdr:col>20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4" r:id="rId265" name="Check Box 324">
              <controlPr defaultSize="0" autoFill="0" autoLine="0" autoPict="0">
                <anchor moveWithCells="1">
                  <from>
                    <xdr:col>19</xdr:col>
                    <xdr:colOff>47625</xdr:colOff>
                    <xdr:row>34</xdr:row>
                    <xdr:rowOff>19050</xdr:rowOff>
                  </from>
                  <to>
                    <xdr:col>20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5" r:id="rId266" name="Check Box 325">
              <controlPr defaultSize="0" autoFill="0" autoLine="0" autoPict="0">
                <anchor moveWithCells="1">
                  <from>
                    <xdr:col>19</xdr:col>
                    <xdr:colOff>47625</xdr:colOff>
                    <xdr:row>38</xdr:row>
                    <xdr:rowOff>19050</xdr:rowOff>
                  </from>
                  <to>
                    <xdr:col>20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6" r:id="rId267" name="Check Box 326">
              <controlPr defaultSize="0" autoFill="0" autoLine="0" autoPict="0">
                <anchor moveWithCells="1">
                  <from>
                    <xdr:col>19</xdr:col>
                    <xdr:colOff>47625</xdr:colOff>
                    <xdr:row>12</xdr:row>
                    <xdr:rowOff>0</xdr:rowOff>
                  </from>
                  <to>
                    <xdr:col>20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7" r:id="rId268" name="Check Box 327">
              <controlPr defaultSize="0" autoFill="0" autoLine="0" autoPict="0">
                <anchor moveWithCells="1">
                  <from>
                    <xdr:col>19</xdr:col>
                    <xdr:colOff>47625</xdr:colOff>
                    <xdr:row>23</xdr:row>
                    <xdr:rowOff>0</xdr:rowOff>
                  </from>
                  <to>
                    <xdr:col>20</xdr:col>
                    <xdr:colOff>628650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8" r:id="rId269" name="Check Box 328">
              <controlPr defaultSize="0" autoFill="0" autoLine="0" autoPict="0">
                <anchor moveWithCells="1">
                  <from>
                    <xdr:col>19</xdr:col>
                    <xdr:colOff>47625</xdr:colOff>
                    <xdr:row>39</xdr:row>
                    <xdr:rowOff>19050</xdr:rowOff>
                  </from>
                  <to>
                    <xdr:col>20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9" r:id="rId270" name="Check Box 329">
              <controlPr defaultSize="0" autoFill="0" autoLine="0" autoPict="0">
                <anchor moveWithCells="1">
                  <from>
                    <xdr:col>19</xdr:col>
                    <xdr:colOff>47625</xdr:colOff>
                    <xdr:row>40</xdr:row>
                    <xdr:rowOff>19050</xdr:rowOff>
                  </from>
                  <to>
                    <xdr:col>20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0" r:id="rId271" name="Check Box 330">
              <controlPr defaultSize="0" autoFill="0" autoLine="0" autoPict="0">
                <anchor moveWithCells="1">
                  <from>
                    <xdr:col>19</xdr:col>
                    <xdr:colOff>47625</xdr:colOff>
                    <xdr:row>15</xdr:row>
                    <xdr:rowOff>0</xdr:rowOff>
                  </from>
                  <to>
                    <xdr:col>20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1" r:id="rId272" name="Check Box 331">
              <controlPr defaultSize="0" autoFill="0" autoLine="0" autoPict="0">
                <anchor moveWithCells="1">
                  <from>
                    <xdr:col>19</xdr:col>
                    <xdr:colOff>47625</xdr:colOff>
                    <xdr:row>17</xdr:row>
                    <xdr:rowOff>0</xdr:rowOff>
                  </from>
                  <to>
                    <xdr:col>20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2" r:id="rId273" name="Check Box 332">
              <controlPr defaultSize="0" autoFill="0" autoLine="0" autoPict="0">
                <anchor moveWithCells="1">
                  <from>
                    <xdr:col>19</xdr:col>
                    <xdr:colOff>38100</xdr:colOff>
                    <xdr:row>21</xdr:row>
                    <xdr:rowOff>0</xdr:rowOff>
                  </from>
                  <to>
                    <xdr:col>20</xdr:col>
                    <xdr:colOff>619125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3" r:id="rId274" name="Check Box 333">
              <controlPr defaultSize="0" autoFill="0" autoLine="0" autoPict="0">
                <anchor moveWithCells="1">
                  <from>
                    <xdr:col>19</xdr:col>
                    <xdr:colOff>47625</xdr:colOff>
                    <xdr:row>28</xdr:row>
                    <xdr:rowOff>0</xdr:rowOff>
                  </from>
                  <to>
                    <xdr:col>20</xdr:col>
                    <xdr:colOff>628650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4" r:id="rId275" name="Check Box 334">
              <controlPr defaultSize="0" autoFill="0" autoLine="0" autoPict="0">
                <anchor moveWithCells="1">
                  <from>
                    <xdr:col>19</xdr:col>
                    <xdr:colOff>47625</xdr:colOff>
                    <xdr:row>29</xdr:row>
                    <xdr:rowOff>0</xdr:rowOff>
                  </from>
                  <to>
                    <xdr:col>20</xdr:col>
                    <xdr:colOff>628650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5" r:id="rId276" name="Check Box 335">
              <controlPr defaultSize="0" autoFill="0" autoLine="0" autoPict="0">
                <anchor moveWithCells="1">
                  <from>
                    <xdr:col>19</xdr:col>
                    <xdr:colOff>47625</xdr:colOff>
                    <xdr:row>30</xdr:row>
                    <xdr:rowOff>0</xdr:rowOff>
                  </from>
                  <to>
                    <xdr:col>20</xdr:col>
                    <xdr:colOff>628650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6" r:id="rId277" name="Check Box 336">
              <controlPr defaultSize="0" autoFill="0" autoLine="0" autoPict="0">
                <anchor moveWithCells="1">
                  <from>
                    <xdr:col>19</xdr:col>
                    <xdr:colOff>47625</xdr:colOff>
                    <xdr:row>31</xdr:row>
                    <xdr:rowOff>0</xdr:rowOff>
                  </from>
                  <to>
                    <xdr:col>20</xdr:col>
                    <xdr:colOff>628650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7" r:id="rId278" name="Check Box 337">
              <controlPr defaultSize="0" autoFill="0" autoLine="0" autoPict="0">
                <anchor moveWithCells="1">
                  <from>
                    <xdr:col>19</xdr:col>
                    <xdr:colOff>47625</xdr:colOff>
                    <xdr:row>32</xdr:row>
                    <xdr:rowOff>0</xdr:rowOff>
                  </from>
                  <to>
                    <xdr:col>20</xdr:col>
                    <xdr:colOff>628650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8" r:id="rId279" name="Check Box 338">
              <controlPr defaultSize="0" autoFill="0" autoLine="0" autoPict="0">
                <anchor moveWithCells="1">
                  <from>
                    <xdr:col>19</xdr:col>
                    <xdr:colOff>47625</xdr:colOff>
                    <xdr:row>35</xdr:row>
                    <xdr:rowOff>0</xdr:rowOff>
                  </from>
                  <to>
                    <xdr:col>20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9" r:id="rId280" name="Check Box 339">
              <controlPr defaultSize="0" autoFill="0" autoLine="0" autoPict="0" altText="Fosfaat">
                <anchor moveWithCells="1">
                  <from>
                    <xdr:col>19</xdr:col>
                    <xdr:colOff>47625</xdr:colOff>
                    <xdr:row>24</xdr:row>
                    <xdr:rowOff>19050</xdr:rowOff>
                  </from>
                  <to>
                    <xdr:col>20</xdr:col>
                    <xdr:colOff>628650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0" r:id="rId281" name="Check Box 340">
              <controlPr defaultSize="0" autoFill="0" autoLine="0" autoPict="0">
                <anchor moveWithCells="1">
                  <from>
                    <xdr:col>19</xdr:col>
                    <xdr:colOff>47625</xdr:colOff>
                    <xdr:row>16</xdr:row>
                    <xdr:rowOff>0</xdr:rowOff>
                  </from>
                  <to>
                    <xdr:col>20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1" r:id="rId282" name="Check Box 341">
              <controlPr defaultSize="0" autoFill="0" autoLine="0" autoPict="0">
                <anchor moveWithCells="1">
                  <from>
                    <xdr:col>19</xdr:col>
                    <xdr:colOff>47625</xdr:colOff>
                    <xdr:row>37</xdr:row>
                    <xdr:rowOff>0</xdr:rowOff>
                  </from>
                  <to>
                    <xdr:col>20</xdr:col>
                    <xdr:colOff>628650</xdr:colOff>
                    <xdr:row>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2" r:id="rId283" name="Check Box 342">
              <controlPr defaultSize="0" autoFill="0" autoLine="0" autoPict="0" altText="Fosfaat">
                <anchor moveWithCells="1">
                  <from>
                    <xdr:col>19</xdr:col>
                    <xdr:colOff>47625</xdr:colOff>
                    <xdr:row>33</xdr:row>
                    <xdr:rowOff>19050</xdr:rowOff>
                  </from>
                  <to>
                    <xdr:col>20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3" r:id="rId284" name="Spinner 343">
              <controlPr defaultSize="0" autoPict="0">
                <anchor moveWithCells="1" sizeWithCells="1">
                  <from>
                    <xdr:col>10</xdr:col>
                    <xdr:colOff>638175</xdr:colOff>
                    <xdr:row>2</xdr:row>
                    <xdr:rowOff>57150</xdr:rowOff>
                  </from>
                  <to>
                    <xdr:col>10</xdr:col>
                    <xdr:colOff>714375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Lab">
    <tabColor rgb="FF92D050"/>
  </sheetPr>
  <dimension ref="A1:U38"/>
  <sheetViews>
    <sheetView topLeftCell="A2" workbookViewId="0">
      <selection activeCell="D38" activeCellId="9" sqref="C4:C35 E4:E34 G4:G34 I4:I34 K4:K34 M4:M34 O4:O34 Q4:Q34 S4:S34 D38"/>
    </sheetView>
  </sheetViews>
  <sheetFormatPr defaultColWidth="9.140625" defaultRowHeight="12.75" x14ac:dyDescent="0.2"/>
  <cols>
    <col min="1" max="16384" width="9.140625" style="154"/>
  </cols>
  <sheetData>
    <row r="1" spans="1:21" x14ac:dyDescent="0.2">
      <c r="A1" s="368"/>
      <c r="D1" s="170"/>
      <c r="F1" s="170"/>
      <c r="H1" s="170"/>
      <c r="J1" s="170"/>
      <c r="L1" s="170"/>
      <c r="N1" s="170"/>
      <c r="P1" s="170"/>
      <c r="R1" s="170"/>
    </row>
    <row r="2" spans="1:21" x14ac:dyDescent="0.2">
      <c r="A2" s="170"/>
      <c r="D2" s="170"/>
      <c r="F2" s="170"/>
      <c r="H2" s="170"/>
      <c r="L2" s="170"/>
    </row>
    <row r="3" spans="1:21" x14ac:dyDescent="0.2">
      <c r="A3" s="170" t="s">
        <v>731</v>
      </c>
      <c r="B3" s="154" t="s">
        <v>732</v>
      </c>
      <c r="D3" s="154" t="s">
        <v>735</v>
      </c>
      <c r="F3" s="154" t="s">
        <v>736</v>
      </c>
      <c r="H3" s="154" t="s">
        <v>737</v>
      </c>
      <c r="J3" s="154" t="s">
        <v>148</v>
      </c>
      <c r="L3" s="170" t="s">
        <v>738</v>
      </c>
      <c r="N3" s="154" t="s">
        <v>739</v>
      </c>
      <c r="P3" s="154" t="s">
        <v>740</v>
      </c>
      <c r="R3" s="154" t="s">
        <v>741</v>
      </c>
    </row>
    <row r="4" spans="1:21" x14ac:dyDescent="0.2">
      <c r="B4" s="154" t="str">
        <f>IF(C4,"A","")</f>
        <v/>
      </c>
      <c r="C4" s="509" t="b">
        <v>0</v>
      </c>
      <c r="D4" s="154" t="str">
        <f>IF(E4,"A","")</f>
        <v/>
      </c>
      <c r="E4" s="509" t="b">
        <v>0</v>
      </c>
      <c r="F4" s="154" t="str">
        <f>IF(G4,"A","")</f>
        <v/>
      </c>
      <c r="G4" s="509" t="b">
        <v>0</v>
      </c>
      <c r="H4" s="154" t="str">
        <f>IF(I4,"A","")</f>
        <v/>
      </c>
      <c r="I4" s="509" t="b">
        <v>0</v>
      </c>
      <c r="J4" s="154" t="str">
        <f>IF(K4,"A","")</f>
        <v/>
      </c>
      <c r="K4" s="509" t="b">
        <v>0</v>
      </c>
      <c r="L4" s="154" t="str">
        <f>IF(M4,"A","")</f>
        <v/>
      </c>
      <c r="M4" s="509" t="b">
        <v>0</v>
      </c>
      <c r="N4" s="154" t="str">
        <f>IF(O4,"A","")</f>
        <v/>
      </c>
      <c r="O4" s="509" t="b">
        <v>0</v>
      </c>
      <c r="P4" s="154" t="str">
        <f>IF(Q4,"A","")</f>
        <v/>
      </c>
      <c r="Q4" s="509" t="b">
        <v>0</v>
      </c>
      <c r="R4" s="154" t="str">
        <f>IF(S4,"A","")</f>
        <v/>
      </c>
      <c r="S4" s="509" t="b">
        <v>0</v>
      </c>
      <c r="U4" s="204"/>
    </row>
    <row r="5" spans="1:21" x14ac:dyDescent="0.2">
      <c r="B5" s="154" t="str">
        <f>IF(C5,"Na K","")</f>
        <v/>
      </c>
      <c r="C5" s="509" t="b">
        <v>0</v>
      </c>
      <c r="D5" s="154" t="str">
        <f>IF(E5,"Na K","")</f>
        <v/>
      </c>
      <c r="E5" s="509" t="b">
        <v>0</v>
      </c>
      <c r="F5" s="154" t="str">
        <f>IF(G5,"Na K","")</f>
        <v/>
      </c>
      <c r="G5" s="509" t="b">
        <v>0</v>
      </c>
      <c r="H5" s="154" t="str">
        <f>IF(I5,"Na K","")</f>
        <v/>
      </c>
      <c r="I5" s="509" t="b">
        <v>0</v>
      </c>
      <c r="J5" s="154" t="str">
        <f>IF(K5,"Na K","")</f>
        <v/>
      </c>
      <c r="K5" s="509" t="b">
        <v>0</v>
      </c>
      <c r="L5" s="154" t="str">
        <f>IF(M5,"Na K","")</f>
        <v/>
      </c>
      <c r="M5" s="509" t="b">
        <v>0</v>
      </c>
      <c r="N5" s="154" t="str">
        <f>IF(O5,"Na K","")</f>
        <v/>
      </c>
      <c r="O5" s="509" t="b">
        <v>0</v>
      </c>
      <c r="P5" s="154" t="str">
        <f>IF(Q5,"Na K","")</f>
        <v/>
      </c>
      <c r="Q5" s="509" t="b">
        <v>0</v>
      </c>
      <c r="R5" s="154" t="str">
        <f>IF(S5,"Na K","")</f>
        <v/>
      </c>
      <c r="S5" s="509" t="b">
        <v>0</v>
      </c>
      <c r="U5" s="204"/>
    </row>
    <row r="6" spans="1:21" x14ac:dyDescent="0.2">
      <c r="A6" s="355"/>
      <c r="B6" s="154" t="str">
        <f>IF(C6,"Cl","")</f>
        <v/>
      </c>
      <c r="C6" s="509" t="b">
        <v>0</v>
      </c>
      <c r="D6" s="154" t="str">
        <f>IF(E6,"Cl","")</f>
        <v/>
      </c>
      <c r="E6" s="509" t="b">
        <v>0</v>
      </c>
      <c r="F6" s="154" t="str">
        <f>IF(G6,"Cl","")</f>
        <v/>
      </c>
      <c r="G6" s="509" t="b">
        <v>0</v>
      </c>
      <c r="H6" s="154" t="str">
        <f>IF(I6,"Cl","")</f>
        <v/>
      </c>
      <c r="I6" s="509" t="b">
        <v>0</v>
      </c>
      <c r="J6" s="154" t="str">
        <f>IF(K6,"Cl","")</f>
        <v/>
      </c>
      <c r="K6" s="509" t="b">
        <v>0</v>
      </c>
      <c r="L6" s="154" t="str">
        <f>IF(M6,"Cl","")</f>
        <v/>
      </c>
      <c r="M6" s="509" t="b">
        <v>0</v>
      </c>
      <c r="N6" s="154" t="str">
        <f>IF(O6,"Cl","")</f>
        <v/>
      </c>
      <c r="O6" s="509" t="b">
        <v>0</v>
      </c>
      <c r="P6" s="154" t="str">
        <f>IF(Q6,"Cl","")</f>
        <v/>
      </c>
      <c r="Q6" s="509" t="b">
        <v>0</v>
      </c>
      <c r="R6" s="154" t="str">
        <f>IF(S6,"Cl","")</f>
        <v/>
      </c>
      <c r="S6" s="509" t="b">
        <v>0</v>
      </c>
      <c r="U6" s="204"/>
    </row>
    <row r="7" spans="1:21" x14ac:dyDescent="0.2">
      <c r="B7" s="154" t="str">
        <f>IF(C7,"Gluc","")</f>
        <v/>
      </c>
      <c r="C7" s="509" t="b">
        <v>0</v>
      </c>
      <c r="D7" s="154" t="str">
        <f>IF(E7,"Gluc","")</f>
        <v/>
      </c>
      <c r="E7" s="509" t="b">
        <v>0</v>
      </c>
      <c r="F7" s="154" t="str">
        <f>IF(G7,"Gluc","")</f>
        <v/>
      </c>
      <c r="G7" s="509" t="b">
        <v>0</v>
      </c>
      <c r="H7" s="154" t="str">
        <f>IF(I7,"Gluc","")</f>
        <v/>
      </c>
      <c r="I7" s="509" t="b">
        <v>0</v>
      </c>
      <c r="J7" s="154" t="str">
        <f>IF(K7,"Gluc","")</f>
        <v/>
      </c>
      <c r="K7" s="509" t="b">
        <v>0</v>
      </c>
      <c r="L7" s="154" t="str">
        <f>IF(M7,"Gluc","")</f>
        <v/>
      </c>
      <c r="M7" s="509" t="b">
        <v>0</v>
      </c>
      <c r="N7" s="154" t="str">
        <f>IF(O7,"Gluc","")</f>
        <v/>
      </c>
      <c r="O7" s="509" t="b">
        <v>0</v>
      </c>
      <c r="P7" s="154" t="str">
        <f>IF(Q7,"Gluc","")</f>
        <v/>
      </c>
      <c r="Q7" s="509" t="b">
        <v>0</v>
      </c>
      <c r="R7" s="154" t="str">
        <f>IF(S7,"Gluc","")</f>
        <v/>
      </c>
      <c r="S7" s="509" t="b">
        <v>0</v>
      </c>
      <c r="U7" s="204"/>
    </row>
    <row r="8" spans="1:21" x14ac:dyDescent="0.2">
      <c r="B8" s="154" t="str">
        <f>IF(C8,"Hb Ht","")</f>
        <v/>
      </c>
      <c r="C8" s="509" t="b">
        <v>0</v>
      </c>
      <c r="D8" s="154" t="str">
        <f>IF(E8,"Hb Ht","")</f>
        <v/>
      </c>
      <c r="E8" s="509" t="b">
        <v>0</v>
      </c>
      <c r="F8" s="154" t="str">
        <f>IF(G8,"Hb Ht","")</f>
        <v/>
      </c>
      <c r="G8" s="509" t="b">
        <v>0</v>
      </c>
      <c r="H8" s="154" t="str">
        <f>IF(I8,"Hb Ht","")</f>
        <v/>
      </c>
      <c r="I8" s="509" t="b">
        <v>0</v>
      </c>
      <c r="J8" s="154" t="str">
        <f>IF(K8,"Hb Ht","")</f>
        <v/>
      </c>
      <c r="K8" s="509" t="b">
        <v>0</v>
      </c>
      <c r="L8" s="154" t="str">
        <f>IF(M8,"Hb Ht","")</f>
        <v/>
      </c>
      <c r="M8" s="509" t="b">
        <v>0</v>
      </c>
      <c r="N8" s="154" t="str">
        <f>IF(O8,"Hb Ht","")</f>
        <v/>
      </c>
      <c r="O8" s="509" t="b">
        <v>0</v>
      </c>
      <c r="P8" s="154" t="str">
        <f>IF(Q8,"Hb Ht","")</f>
        <v/>
      </c>
      <c r="Q8" s="509" t="b">
        <v>0</v>
      </c>
      <c r="R8" s="154" t="str">
        <f>IF(S8,"Hb Ht","")</f>
        <v/>
      </c>
      <c r="S8" s="509" t="b">
        <v>0</v>
      </c>
      <c r="U8" s="204"/>
    </row>
    <row r="9" spans="1:21" x14ac:dyDescent="0.2">
      <c r="B9" s="154" t="str">
        <f>IF(C9,"L","")</f>
        <v/>
      </c>
      <c r="C9" s="509" t="b">
        <v>0</v>
      </c>
      <c r="D9" s="154" t="str">
        <f>IF(E9,"L","")</f>
        <v/>
      </c>
      <c r="E9" s="509" t="b">
        <v>0</v>
      </c>
      <c r="F9" s="154" t="str">
        <f>IF(G9,"L","")</f>
        <v/>
      </c>
      <c r="G9" s="509" t="b">
        <v>0</v>
      </c>
      <c r="H9" s="154" t="str">
        <f>IF(I9,"L","")</f>
        <v/>
      </c>
      <c r="I9" s="509" t="b">
        <v>0</v>
      </c>
      <c r="J9" s="154" t="str">
        <f>IF(K9,"L","")</f>
        <v/>
      </c>
      <c r="K9" s="509" t="b">
        <v>0</v>
      </c>
      <c r="L9" s="154" t="str">
        <f>IF(M9,"L","")</f>
        <v/>
      </c>
      <c r="M9" s="509" t="b">
        <v>0</v>
      </c>
      <c r="N9" s="154" t="str">
        <f>IF(O9,"L","")</f>
        <v/>
      </c>
      <c r="O9" s="509" t="b">
        <v>0</v>
      </c>
      <c r="P9" s="154" t="str">
        <f>IF(Q9,"L","")</f>
        <v/>
      </c>
      <c r="Q9" s="509" t="b">
        <v>0</v>
      </c>
      <c r="R9" s="154" t="str">
        <f>IF(S9,"L","")</f>
        <v/>
      </c>
      <c r="S9" s="509" t="b">
        <v>0</v>
      </c>
      <c r="U9" s="204"/>
    </row>
    <row r="10" spans="1:21" x14ac:dyDescent="0.2">
      <c r="B10" s="154" t="str">
        <f>IF(C10,"L+diff","")</f>
        <v/>
      </c>
      <c r="C10" s="509" t="b">
        <v>0</v>
      </c>
      <c r="D10" s="154" t="str">
        <f>IF(E10,"L+diff","")</f>
        <v/>
      </c>
      <c r="E10" s="509" t="b">
        <v>0</v>
      </c>
      <c r="F10" s="154" t="str">
        <f>IF(G10,"L+diff","")</f>
        <v/>
      </c>
      <c r="G10" s="509" t="b">
        <v>0</v>
      </c>
      <c r="H10" s="154" t="str">
        <f>IF(I10,"L+diff","")</f>
        <v/>
      </c>
      <c r="I10" s="509" t="b">
        <v>0</v>
      </c>
      <c r="J10" s="154" t="str">
        <f>IF(K10,"L+diff","")</f>
        <v/>
      </c>
      <c r="K10" s="509" t="b">
        <v>0</v>
      </c>
      <c r="L10" s="154" t="str">
        <f>IF(M10,"L+diff","")</f>
        <v/>
      </c>
      <c r="M10" s="509" t="b">
        <v>0</v>
      </c>
      <c r="N10" s="154" t="str">
        <f>IF(O10,"L+diff","")</f>
        <v/>
      </c>
      <c r="O10" s="509" t="b">
        <v>0</v>
      </c>
      <c r="P10" s="154" t="str">
        <f>IF(Q10,"L+diff","")</f>
        <v/>
      </c>
      <c r="Q10" s="509" t="b">
        <v>0</v>
      </c>
      <c r="R10" s="154" t="str">
        <f>IF(S10,"L+diff","")</f>
        <v/>
      </c>
      <c r="S10" s="509" t="b">
        <v>0</v>
      </c>
      <c r="U10" s="204"/>
    </row>
    <row r="11" spans="1:21" x14ac:dyDescent="0.2">
      <c r="B11" s="154" t="str">
        <f>IF(C11,"T","")</f>
        <v/>
      </c>
      <c r="C11" s="509" t="b">
        <v>0</v>
      </c>
      <c r="D11" s="154" t="str">
        <f>IF(E11,"T","")</f>
        <v/>
      </c>
      <c r="E11" s="509" t="b">
        <v>0</v>
      </c>
      <c r="F11" s="154" t="str">
        <f>IF(G11,"T","")</f>
        <v/>
      </c>
      <c r="G11" s="509" t="b">
        <v>0</v>
      </c>
      <c r="H11" s="154" t="str">
        <f>IF(I11,"T","")</f>
        <v/>
      </c>
      <c r="I11" s="509" t="b">
        <v>0</v>
      </c>
      <c r="J11" s="154" t="str">
        <f>IF(K11,"T","")</f>
        <v/>
      </c>
      <c r="K11" s="509" t="b">
        <v>0</v>
      </c>
      <c r="L11" s="154" t="str">
        <f>IF(M11,"T","")</f>
        <v/>
      </c>
      <c r="M11" s="509" t="b">
        <v>0</v>
      </c>
      <c r="N11" s="154" t="str">
        <f>IF(O11,"T","")</f>
        <v/>
      </c>
      <c r="O11" s="509" t="b">
        <v>0</v>
      </c>
      <c r="P11" s="154" t="str">
        <f>IF(Q11,"T","")</f>
        <v/>
      </c>
      <c r="Q11" s="509" t="b">
        <v>0</v>
      </c>
      <c r="R11" s="154" t="str">
        <f>IF(S11,"T","")</f>
        <v/>
      </c>
      <c r="S11" s="509" t="b">
        <v>0</v>
      </c>
      <c r="U11" s="204"/>
    </row>
    <row r="12" spans="1:21" x14ac:dyDescent="0.2">
      <c r="B12" s="154" t="str">
        <f>IF(C12,"CRP","")</f>
        <v/>
      </c>
      <c r="C12" s="509" t="b">
        <v>0</v>
      </c>
      <c r="D12" s="154" t="str">
        <f>IF(E12,"CRP","")</f>
        <v/>
      </c>
      <c r="E12" s="509" t="b">
        <v>0</v>
      </c>
      <c r="F12" s="154" t="str">
        <f>IF(G12,"CRP","")</f>
        <v/>
      </c>
      <c r="G12" s="509" t="b">
        <v>0</v>
      </c>
      <c r="H12" s="154" t="str">
        <f>IF(I12,"CRP","")</f>
        <v/>
      </c>
      <c r="I12" s="509" t="b">
        <v>0</v>
      </c>
      <c r="J12" s="154" t="str">
        <f>IF(K12,"CRP","")</f>
        <v/>
      </c>
      <c r="K12" s="509" t="b">
        <v>0</v>
      </c>
      <c r="L12" s="154" t="str">
        <f>IF(M12,"CRP","")</f>
        <v/>
      </c>
      <c r="M12" s="509" t="b">
        <v>0</v>
      </c>
      <c r="N12" s="154" t="str">
        <f>IF(O12,"CRP","")</f>
        <v/>
      </c>
      <c r="O12" s="509" t="b">
        <v>0</v>
      </c>
      <c r="P12" s="154" t="str">
        <f>IF(Q12,"CRP","")</f>
        <v/>
      </c>
      <c r="Q12" s="509" t="b">
        <v>0</v>
      </c>
      <c r="R12" s="154" t="str">
        <f>IF(S12,"CRP","")</f>
        <v/>
      </c>
      <c r="S12" s="509" t="b">
        <v>0</v>
      </c>
      <c r="U12" s="204"/>
    </row>
    <row r="13" spans="1:21" x14ac:dyDescent="0.2">
      <c r="B13" s="154" t="str">
        <f>IF(C13,"Lac","")</f>
        <v/>
      </c>
      <c r="C13" s="509" t="b">
        <v>0</v>
      </c>
      <c r="D13" s="154" t="str">
        <f>IF(E13,"Lac","")</f>
        <v/>
      </c>
      <c r="E13" s="509" t="b">
        <v>0</v>
      </c>
      <c r="F13" s="154" t="str">
        <f>IF(G13,"Lac","")</f>
        <v/>
      </c>
      <c r="G13" s="509" t="b">
        <v>0</v>
      </c>
      <c r="H13" s="154" t="str">
        <f>IF(I13,"Lac","")</f>
        <v/>
      </c>
      <c r="I13" s="509" t="b">
        <v>0</v>
      </c>
      <c r="J13" s="154" t="str">
        <f>IF(K13,"Lac","")</f>
        <v/>
      </c>
      <c r="K13" s="509" t="b">
        <v>0</v>
      </c>
      <c r="L13" s="154" t="str">
        <f>IF(M13,"Lac","")</f>
        <v/>
      </c>
      <c r="M13" s="509" t="b">
        <v>0</v>
      </c>
      <c r="N13" s="154" t="str">
        <f>IF(O13,"Lac","")</f>
        <v/>
      </c>
      <c r="O13" s="509" t="b">
        <v>0</v>
      </c>
      <c r="P13" s="154" t="str">
        <f>IF(Q13,"Lac","")</f>
        <v/>
      </c>
      <c r="Q13" s="509" t="b">
        <v>0</v>
      </c>
      <c r="R13" s="154" t="str">
        <f>IF(S13,"Lac","")</f>
        <v/>
      </c>
      <c r="S13" s="509" t="b">
        <v>0</v>
      </c>
      <c r="U13" s="204"/>
    </row>
    <row r="14" spans="1:21" x14ac:dyDescent="0.2">
      <c r="B14" s="154" t="str">
        <f>IF(C14,"Ur","")</f>
        <v/>
      </c>
      <c r="C14" s="509" t="b">
        <v>0</v>
      </c>
      <c r="D14" s="154" t="str">
        <f>IF(E14,"Ur","")</f>
        <v/>
      </c>
      <c r="E14" s="509" t="b">
        <v>0</v>
      </c>
      <c r="F14" s="154" t="str">
        <f>IF(G14,"Ur","")</f>
        <v/>
      </c>
      <c r="G14" s="509" t="b">
        <v>0</v>
      </c>
      <c r="H14" s="154" t="str">
        <f>IF(I14,"Ur","")</f>
        <v/>
      </c>
      <c r="I14" s="509" t="b">
        <v>0</v>
      </c>
      <c r="J14" s="154" t="str">
        <f>IF(K14,"Ur","")</f>
        <v/>
      </c>
      <c r="K14" s="509" t="b">
        <v>0</v>
      </c>
      <c r="L14" s="154" t="str">
        <f>IF(M14,"Ur","")</f>
        <v/>
      </c>
      <c r="M14" s="509" t="b">
        <v>0</v>
      </c>
      <c r="N14" s="154" t="str">
        <f>IF(O14,"Ur","")</f>
        <v/>
      </c>
      <c r="O14" s="509" t="b">
        <v>0</v>
      </c>
      <c r="P14" s="154" t="str">
        <f>IF(Q14,"Ur","")</f>
        <v/>
      </c>
      <c r="Q14" s="509" t="b">
        <v>0</v>
      </c>
      <c r="R14" s="154" t="str">
        <f>IF(S14,"Ur","")</f>
        <v/>
      </c>
      <c r="S14" s="509" t="b">
        <v>0</v>
      </c>
      <c r="U14" s="204"/>
    </row>
    <row r="15" spans="1:21" x14ac:dyDescent="0.2">
      <c r="B15" s="154" t="str">
        <f>IF(C15,"Kr","")</f>
        <v/>
      </c>
      <c r="C15" s="509" t="b">
        <v>0</v>
      </c>
      <c r="D15" s="154" t="str">
        <f>IF(E15,"Kr++","")</f>
        <v/>
      </c>
      <c r="E15" s="509" t="b">
        <v>0</v>
      </c>
      <c r="F15" s="154" t="str">
        <f>IF(G15,"Kr","")</f>
        <v/>
      </c>
      <c r="G15" s="509" t="b">
        <v>0</v>
      </c>
      <c r="H15" s="154" t="str">
        <f>IF(I15,"Kr","")</f>
        <v/>
      </c>
      <c r="I15" s="509" t="b">
        <v>0</v>
      </c>
      <c r="J15" s="154" t="str">
        <f>IF(K15,"Kr","")</f>
        <v/>
      </c>
      <c r="K15" s="509" t="b">
        <v>0</v>
      </c>
      <c r="L15" s="154" t="str">
        <f>IF(M15,"Kr","")</f>
        <v/>
      </c>
      <c r="M15" s="509" t="b">
        <v>0</v>
      </c>
      <c r="N15" s="154" t="str">
        <f>IF(O15,"Kr","")</f>
        <v/>
      </c>
      <c r="O15" s="509" t="b">
        <v>0</v>
      </c>
      <c r="P15" s="154" t="str">
        <f>IF(Q15,"Kr","")</f>
        <v/>
      </c>
      <c r="Q15" s="509" t="b">
        <v>0</v>
      </c>
      <c r="R15" s="154" t="str">
        <f>IF(S15,"Kr","")</f>
        <v/>
      </c>
      <c r="S15" s="509" t="b">
        <v>0</v>
      </c>
      <c r="U15" s="204"/>
    </row>
    <row r="16" spans="1:21" x14ac:dyDescent="0.2">
      <c r="B16" s="154" t="str">
        <f>IF(C16,"Ca++","")</f>
        <v/>
      </c>
      <c r="C16" s="509" t="b">
        <v>0</v>
      </c>
      <c r="D16" s="154" t="str">
        <f>IF(E16,"Ca++","")</f>
        <v/>
      </c>
      <c r="E16" s="509" t="b">
        <v>0</v>
      </c>
      <c r="F16" s="154" t="str">
        <f>IF(G16,"Ca++","")</f>
        <v/>
      </c>
      <c r="G16" s="509" t="b">
        <v>0</v>
      </c>
      <c r="H16" s="154" t="str">
        <f>IF(I16,"Ca++","")</f>
        <v/>
      </c>
      <c r="I16" s="509" t="b">
        <v>0</v>
      </c>
      <c r="J16" s="154" t="str">
        <f>IF(K16,"Ca++","")</f>
        <v/>
      </c>
      <c r="K16" s="509" t="b">
        <v>0</v>
      </c>
      <c r="L16" s="154" t="str">
        <f>IF(M16,"Ca++","")</f>
        <v/>
      </c>
      <c r="M16" s="509" t="b">
        <v>0</v>
      </c>
      <c r="N16" s="154" t="str">
        <f>IF(O16,"Ca++","")</f>
        <v/>
      </c>
      <c r="O16" s="509" t="b">
        <v>0</v>
      </c>
      <c r="P16" s="154" t="str">
        <f>IF(Q16,"Ca++","")</f>
        <v/>
      </c>
      <c r="Q16" s="509" t="b">
        <v>0</v>
      </c>
      <c r="R16" s="154" t="str">
        <f>IF(S16,"Ca++","")</f>
        <v/>
      </c>
      <c r="S16" s="509" t="b">
        <v>0</v>
      </c>
      <c r="U16" s="204"/>
    </row>
    <row r="17" spans="2:21" x14ac:dyDescent="0.2">
      <c r="B17" s="154" t="str">
        <f>IF(C17,"Mg++","")</f>
        <v/>
      </c>
      <c r="C17" s="509" t="b">
        <v>0</v>
      </c>
      <c r="D17" s="154" t="str">
        <f>IF(E17,"Mg++","")</f>
        <v/>
      </c>
      <c r="E17" s="509" t="b">
        <v>0</v>
      </c>
      <c r="F17" s="154" t="str">
        <f>IF(G17,"Mg++","")</f>
        <v/>
      </c>
      <c r="G17" s="509" t="b">
        <v>0</v>
      </c>
      <c r="H17" s="154" t="str">
        <f>IF(I17,"Mg++","")</f>
        <v/>
      </c>
      <c r="I17" s="509" t="b">
        <v>0</v>
      </c>
      <c r="J17" s="154" t="str">
        <f>IF(K17,"Mg++","")</f>
        <v/>
      </c>
      <c r="K17" s="509" t="b">
        <v>0</v>
      </c>
      <c r="L17" s="154" t="str">
        <f>IF(M17,"Mg++","")</f>
        <v/>
      </c>
      <c r="M17" s="509" t="b">
        <v>0</v>
      </c>
      <c r="N17" s="154" t="str">
        <f>IF(O17,"Mg++","")</f>
        <v/>
      </c>
      <c r="O17" s="509" t="b">
        <v>0</v>
      </c>
      <c r="P17" s="154" t="str">
        <f>IF(Q17,"Mg++","")</f>
        <v/>
      </c>
      <c r="Q17" s="509" t="b">
        <v>0</v>
      </c>
      <c r="R17" s="154" t="str">
        <f>IF(S17,"Mg++","")</f>
        <v/>
      </c>
      <c r="S17" s="509" t="b">
        <v>0</v>
      </c>
      <c r="U17" s="204"/>
    </row>
    <row r="18" spans="2:21" x14ac:dyDescent="0.2">
      <c r="B18" s="154" t="str">
        <f>IF(C18,"Fosfaat","")</f>
        <v/>
      </c>
      <c r="C18" s="509" t="b">
        <v>0</v>
      </c>
      <c r="D18" s="154" t="str">
        <f>IF(E18,"Fosfaat","")</f>
        <v/>
      </c>
      <c r="E18" s="509" t="b">
        <v>0</v>
      </c>
      <c r="F18" s="154" t="str">
        <f>IF(G18,"Fosfaat","")</f>
        <v/>
      </c>
      <c r="G18" s="509" t="b">
        <v>0</v>
      </c>
      <c r="H18" s="154" t="str">
        <f>IF(I18,"Fosfaat","")</f>
        <v/>
      </c>
      <c r="I18" s="509" t="b">
        <v>0</v>
      </c>
      <c r="J18" s="154" t="str">
        <f>IF(K18,"Fosfaat","")</f>
        <v/>
      </c>
      <c r="K18" s="509" t="b">
        <v>0</v>
      </c>
      <c r="L18" s="154" t="str">
        <f>IF(M18,"Fosfaat","")</f>
        <v/>
      </c>
      <c r="M18" s="509" t="b">
        <v>0</v>
      </c>
      <c r="N18" s="154" t="str">
        <f>IF(O18,"Fosfaat","")</f>
        <v/>
      </c>
      <c r="O18" s="509" t="b">
        <v>0</v>
      </c>
      <c r="P18" s="154" t="str">
        <f>IF(Q18,"Fosfaat","")</f>
        <v/>
      </c>
      <c r="Q18" s="509" t="b">
        <v>0</v>
      </c>
      <c r="R18" s="154" t="str">
        <f>IF(S18,"Fosfaat","")</f>
        <v/>
      </c>
      <c r="S18" s="509" t="b">
        <v>0</v>
      </c>
      <c r="U18" s="204"/>
    </row>
    <row r="19" spans="2:21" x14ac:dyDescent="0.2">
      <c r="B19" s="154" t="str">
        <f>IF(C19,"Alb","")</f>
        <v/>
      </c>
      <c r="C19" s="509" t="b">
        <v>0</v>
      </c>
      <c r="D19" s="154" t="str">
        <f>IF(E19,"Alb","")</f>
        <v/>
      </c>
      <c r="E19" s="509" t="b">
        <v>0</v>
      </c>
      <c r="F19" s="154" t="str">
        <f>IF(G19,"Alb","")</f>
        <v/>
      </c>
      <c r="G19" s="509" t="b">
        <v>0</v>
      </c>
      <c r="H19" s="154" t="str">
        <f>IF(I19,"Alb","")</f>
        <v/>
      </c>
      <c r="I19" s="509" t="b">
        <v>0</v>
      </c>
      <c r="J19" s="154" t="str">
        <f>IF(K19,"Alb","")</f>
        <v/>
      </c>
      <c r="K19" s="509" t="b">
        <v>0</v>
      </c>
      <c r="L19" s="154" t="str">
        <f>IF(M19,"Alb","")</f>
        <v/>
      </c>
      <c r="M19" s="509" t="b">
        <v>0</v>
      </c>
      <c r="N19" s="154" t="str">
        <f>IF(O19,"Alb","")</f>
        <v/>
      </c>
      <c r="O19" s="509" t="b">
        <v>0</v>
      </c>
      <c r="P19" s="154" t="str">
        <f>IF(Q19,"Alb","")</f>
        <v/>
      </c>
      <c r="Q19" s="509" t="b">
        <v>0</v>
      </c>
      <c r="R19" s="154" t="str">
        <f>IF(S19,"Alb","")</f>
        <v/>
      </c>
      <c r="S19" s="509" t="b">
        <v>0</v>
      </c>
      <c r="U19" s="204"/>
    </row>
    <row r="20" spans="2:21" x14ac:dyDescent="0.2">
      <c r="B20" s="154" t="str">
        <f>IF(C20,"Ca","")</f>
        <v/>
      </c>
      <c r="C20" s="509" t="b">
        <v>0</v>
      </c>
      <c r="D20" s="154" t="str">
        <f>IF(E20,"Ca","")</f>
        <v/>
      </c>
      <c r="E20" s="509" t="b">
        <v>0</v>
      </c>
      <c r="F20" s="154" t="str">
        <f>IF(G20,"Ca","")</f>
        <v/>
      </c>
      <c r="G20" s="509" t="b">
        <v>0</v>
      </c>
      <c r="H20" s="154" t="str">
        <f>IF(I20,"Ca","")</f>
        <v/>
      </c>
      <c r="I20" s="509" t="b">
        <v>0</v>
      </c>
      <c r="J20" s="154" t="str">
        <f>IF(K20,"Ca","")</f>
        <v/>
      </c>
      <c r="K20" s="509" t="b">
        <v>0</v>
      </c>
      <c r="L20" s="154" t="str">
        <f>IF(M20,"Ca","")</f>
        <v/>
      </c>
      <c r="M20" s="509" t="b">
        <v>0</v>
      </c>
      <c r="N20" s="154" t="str">
        <f>IF(O20,"Ca","")</f>
        <v/>
      </c>
      <c r="O20" s="509" t="b">
        <v>0</v>
      </c>
      <c r="P20" s="154" t="str">
        <f>IF(Q20,"Ca","")</f>
        <v/>
      </c>
      <c r="Q20" s="509" t="b">
        <v>0</v>
      </c>
      <c r="R20" s="154" t="str">
        <f>IF(S20,"Ca","")</f>
        <v/>
      </c>
      <c r="S20" s="509" t="b">
        <v>0</v>
      </c>
      <c r="U20" s="204"/>
    </row>
    <row r="21" spans="2:21" x14ac:dyDescent="0.2">
      <c r="B21" s="154" t="str">
        <f>IF(C21,"ASAT","")</f>
        <v/>
      </c>
      <c r="C21" s="509" t="b">
        <v>0</v>
      </c>
      <c r="D21" s="154" t="str">
        <f>IF(E21,"ASAT","")</f>
        <v/>
      </c>
      <c r="E21" s="509" t="b">
        <v>0</v>
      </c>
      <c r="F21" s="154" t="str">
        <f>IF(G21,"ASAT","")</f>
        <v/>
      </c>
      <c r="G21" s="509" t="b">
        <v>0</v>
      </c>
      <c r="H21" s="154" t="str">
        <f>IF(I21,"ASAT","")</f>
        <v/>
      </c>
      <c r="I21" s="509" t="b">
        <v>0</v>
      </c>
      <c r="J21" s="154" t="str">
        <f>IF(K21,"ASAT","")</f>
        <v/>
      </c>
      <c r="K21" s="509" t="b">
        <v>0</v>
      </c>
      <c r="L21" s="154" t="str">
        <f>IF(M21,"ASAT","")</f>
        <v/>
      </c>
      <c r="M21" s="509" t="b">
        <v>0</v>
      </c>
      <c r="N21" s="154" t="str">
        <f>IF(O21,"ASAT","")</f>
        <v/>
      </c>
      <c r="O21" s="509" t="b">
        <v>0</v>
      </c>
      <c r="P21" s="154" t="str">
        <f>IF(Q21,"ASAT","")</f>
        <v/>
      </c>
      <c r="Q21" s="509" t="b">
        <v>0</v>
      </c>
      <c r="R21" s="154" t="str">
        <f>IF(S21,"ASAT","")</f>
        <v/>
      </c>
      <c r="S21" s="509" t="b">
        <v>0</v>
      </c>
      <c r="U21" s="204"/>
    </row>
    <row r="22" spans="2:21" x14ac:dyDescent="0.2">
      <c r="B22" s="154" t="str">
        <f>IF(C22,"ALAT","")</f>
        <v/>
      </c>
      <c r="C22" s="509" t="b">
        <v>0</v>
      </c>
      <c r="D22" s="154" t="str">
        <f>IF(E22,"ALAT","")</f>
        <v/>
      </c>
      <c r="E22" s="509" t="b">
        <v>0</v>
      </c>
      <c r="F22" s="154" t="str">
        <f>IF(G22,"ALAT","")</f>
        <v/>
      </c>
      <c r="G22" s="509" t="b">
        <v>0</v>
      </c>
      <c r="H22" s="154" t="str">
        <f>IF(I22,"ALAT","")</f>
        <v/>
      </c>
      <c r="I22" s="509" t="b">
        <v>0</v>
      </c>
      <c r="J22" s="154" t="str">
        <f>IF(K22,"ALAT","")</f>
        <v/>
      </c>
      <c r="K22" s="509" t="b">
        <v>0</v>
      </c>
      <c r="L22" s="154" t="str">
        <f>IF(M22,"ALAT","")</f>
        <v/>
      </c>
      <c r="M22" s="509" t="b">
        <v>0</v>
      </c>
      <c r="N22" s="154" t="str">
        <f>IF(O22,"ALAT","")</f>
        <v/>
      </c>
      <c r="O22" s="509" t="b">
        <v>0</v>
      </c>
      <c r="P22" s="154" t="str">
        <f>IF(Q22,"ALAT","")</f>
        <v/>
      </c>
      <c r="Q22" s="509" t="b">
        <v>0</v>
      </c>
      <c r="R22" s="154" t="str">
        <f>IF(S22,"ALAT","")</f>
        <v/>
      </c>
      <c r="S22" s="509" t="b">
        <v>0</v>
      </c>
      <c r="U22" s="204"/>
    </row>
    <row r="23" spans="2:21" x14ac:dyDescent="0.2">
      <c r="B23" s="154" t="str">
        <f>IF(C23,"GGT","")</f>
        <v/>
      </c>
      <c r="C23" s="509" t="b">
        <v>0</v>
      </c>
      <c r="D23" s="154" t="str">
        <f>IF(E23,"GGT","")</f>
        <v/>
      </c>
      <c r="E23" s="509" t="b">
        <v>0</v>
      </c>
      <c r="F23" s="154" t="str">
        <f>IF(G23,"GGT","")</f>
        <v/>
      </c>
      <c r="G23" s="509" t="b">
        <v>0</v>
      </c>
      <c r="H23" s="154" t="str">
        <f>IF(I23,"GGT","")</f>
        <v/>
      </c>
      <c r="I23" s="509" t="b">
        <v>0</v>
      </c>
      <c r="J23" s="154" t="str">
        <f>IF(K23,"GGT","")</f>
        <v/>
      </c>
      <c r="K23" s="509" t="b">
        <v>0</v>
      </c>
      <c r="L23" s="154" t="str">
        <f>IF(M23,"GGT","")</f>
        <v/>
      </c>
      <c r="M23" s="509" t="b">
        <v>0</v>
      </c>
      <c r="N23" s="154" t="str">
        <f>IF(O23,"GGT","")</f>
        <v/>
      </c>
      <c r="O23" s="509" t="b">
        <v>0</v>
      </c>
      <c r="P23" s="154" t="str">
        <f>IF(Q23,"GGT","")</f>
        <v/>
      </c>
      <c r="Q23" s="509" t="b">
        <v>0</v>
      </c>
      <c r="R23" s="154" t="str">
        <f>IF(S23,"GGT","")</f>
        <v/>
      </c>
      <c r="S23" s="509" t="b">
        <v>0</v>
      </c>
      <c r="U23" s="204"/>
    </row>
    <row r="24" spans="2:21" x14ac:dyDescent="0.2">
      <c r="B24" s="154" t="str">
        <f>IF(C24,"AF","")</f>
        <v/>
      </c>
      <c r="C24" s="509" t="b">
        <v>0</v>
      </c>
      <c r="D24" s="154" t="str">
        <f>IF(E24,"AF","")</f>
        <v/>
      </c>
      <c r="E24" s="509" t="b">
        <v>0</v>
      </c>
      <c r="F24" s="154" t="str">
        <f>IF(G24,"AF","")</f>
        <v/>
      </c>
      <c r="G24" s="509" t="b">
        <v>0</v>
      </c>
      <c r="H24" s="154" t="str">
        <f>IF(I24,"AF","")</f>
        <v/>
      </c>
      <c r="I24" s="509" t="b">
        <v>0</v>
      </c>
      <c r="J24" s="154" t="str">
        <f>IF(K24,"AF","")</f>
        <v/>
      </c>
      <c r="K24" s="509" t="b">
        <v>0</v>
      </c>
      <c r="L24" s="154" t="str">
        <f>IF(M24,"AF","")</f>
        <v/>
      </c>
      <c r="M24" s="509" t="b">
        <v>0</v>
      </c>
      <c r="N24" s="154" t="str">
        <f>IF(O24,"AF","")</f>
        <v/>
      </c>
      <c r="O24" s="509" t="b">
        <v>0</v>
      </c>
      <c r="P24" s="154" t="str">
        <f>IF(Q24,"AF","")</f>
        <v/>
      </c>
      <c r="Q24" s="509" t="b">
        <v>0</v>
      </c>
      <c r="R24" s="154" t="str">
        <f>IF(S24,"AF","")</f>
        <v/>
      </c>
      <c r="S24" s="509" t="b">
        <v>0</v>
      </c>
      <c r="U24" s="204"/>
    </row>
    <row r="25" spans="2:21" x14ac:dyDescent="0.2">
      <c r="B25" s="154" t="str">
        <f>IF(C25,"LDH","")</f>
        <v/>
      </c>
      <c r="C25" s="509" t="b">
        <v>0</v>
      </c>
      <c r="D25" s="154" t="str">
        <f>IF(E25,"LDH","")</f>
        <v/>
      </c>
      <c r="E25" s="509" t="b">
        <v>0</v>
      </c>
      <c r="F25" s="154" t="str">
        <f>IF(G25,"LDH","")</f>
        <v/>
      </c>
      <c r="G25" s="509" t="b">
        <v>0</v>
      </c>
      <c r="H25" s="154" t="str">
        <f>IF(I25,"LDH","")</f>
        <v/>
      </c>
      <c r="I25" s="509" t="b">
        <v>0</v>
      </c>
      <c r="J25" s="154" t="str">
        <f>IF(K25,"LDH","")</f>
        <v/>
      </c>
      <c r="K25" s="509" t="b">
        <v>0</v>
      </c>
      <c r="L25" s="154" t="str">
        <f>IF(M25,"LDH","")</f>
        <v/>
      </c>
      <c r="M25" s="509" t="b">
        <v>0</v>
      </c>
      <c r="N25" s="154" t="str">
        <f>IF(O25,"LDH","")</f>
        <v/>
      </c>
      <c r="O25" s="509" t="b">
        <v>0</v>
      </c>
      <c r="P25" s="154" t="str">
        <f>IF(Q25,"LDH","")</f>
        <v/>
      </c>
      <c r="Q25" s="509" t="b">
        <v>0</v>
      </c>
      <c r="R25" s="154" t="str">
        <f>IF(S25,"LDH","")</f>
        <v/>
      </c>
      <c r="S25" s="509" t="b">
        <v>0</v>
      </c>
      <c r="U25" s="204"/>
    </row>
    <row r="26" spans="2:21" x14ac:dyDescent="0.2">
      <c r="B26" s="154" t="str">
        <f>IF(C26,"Bili","")</f>
        <v/>
      </c>
      <c r="C26" s="509" t="b">
        <v>0</v>
      </c>
      <c r="D26" s="154" t="str">
        <f>IF(E26,"Bili","")</f>
        <v/>
      </c>
      <c r="E26" s="509" t="b">
        <v>0</v>
      </c>
      <c r="F26" s="154" t="str">
        <f>IF(G26,"Bili","")</f>
        <v/>
      </c>
      <c r="G26" s="509" t="b">
        <v>0</v>
      </c>
      <c r="H26" s="154" t="str">
        <f>IF(I26,"Bili","")</f>
        <v/>
      </c>
      <c r="I26" s="509" t="b">
        <v>0</v>
      </c>
      <c r="J26" s="154" t="str">
        <f>IF(K26,"Bili","")</f>
        <v/>
      </c>
      <c r="K26" s="509" t="b">
        <v>0</v>
      </c>
      <c r="L26" s="154" t="str">
        <f>IF(M26,"Bili","")</f>
        <v/>
      </c>
      <c r="M26" s="509" t="b">
        <v>0</v>
      </c>
      <c r="N26" s="154" t="str">
        <f>IF(O26,"Bili","")</f>
        <v/>
      </c>
      <c r="O26" s="509" t="b">
        <v>0</v>
      </c>
      <c r="P26" s="154" t="str">
        <f>IF(Q26,"Bili","")</f>
        <v/>
      </c>
      <c r="Q26" s="509" t="b">
        <v>0</v>
      </c>
      <c r="R26" s="154" t="str">
        <f>IF(S26,"Bili","")</f>
        <v/>
      </c>
      <c r="S26" s="509" t="b">
        <v>0</v>
      </c>
      <c r="U26" s="204"/>
    </row>
    <row r="27" spans="2:21" x14ac:dyDescent="0.2">
      <c r="B27" s="154" t="str">
        <f>IF(C27,"TG","")</f>
        <v/>
      </c>
      <c r="C27" s="509" t="b">
        <v>0</v>
      </c>
      <c r="D27" s="154" t="str">
        <f>IF(E27,"TG","")</f>
        <v/>
      </c>
      <c r="E27" s="509" t="b">
        <v>0</v>
      </c>
      <c r="F27" s="154" t="str">
        <f>IF(G27,"TG","")</f>
        <v/>
      </c>
      <c r="G27" s="509" t="b">
        <v>0</v>
      </c>
      <c r="H27" s="154" t="str">
        <f>IF(I27,"TG","")</f>
        <v/>
      </c>
      <c r="I27" s="509" t="b">
        <v>0</v>
      </c>
      <c r="J27" s="154" t="str">
        <f>IF(K27,"TG","")</f>
        <v/>
      </c>
      <c r="K27" s="509" t="b">
        <v>0</v>
      </c>
      <c r="L27" s="154" t="str">
        <f>IF(M27,"TG","")</f>
        <v/>
      </c>
      <c r="M27" s="509" t="b">
        <v>0</v>
      </c>
      <c r="N27" s="154" t="str">
        <f>IF(O27,"TG","")</f>
        <v/>
      </c>
      <c r="O27" s="509" t="b">
        <v>0</v>
      </c>
      <c r="P27" s="154" t="str">
        <f>IF(Q27,"TG","")</f>
        <v/>
      </c>
      <c r="Q27" s="509" t="b">
        <v>0</v>
      </c>
      <c r="R27" s="154" t="str">
        <f>IF(S27,"TG","")</f>
        <v/>
      </c>
      <c r="S27" s="509" t="b">
        <v>0</v>
      </c>
      <c r="U27" s="204"/>
    </row>
    <row r="28" spans="2:21" x14ac:dyDescent="0.2">
      <c r="B28" s="154" t="str">
        <f>IF(C28,"PT","")</f>
        <v/>
      </c>
      <c r="C28" s="509" t="b">
        <v>0</v>
      </c>
      <c r="D28" s="154" t="str">
        <f>IF(E28,"PT","")</f>
        <v/>
      </c>
      <c r="E28" s="509" t="b">
        <v>0</v>
      </c>
      <c r="F28" s="154" t="str">
        <f>IF(G28,"PT","")</f>
        <v/>
      </c>
      <c r="G28" s="509" t="b">
        <v>0</v>
      </c>
      <c r="H28" s="154" t="str">
        <f>IF(I28,"PT","")</f>
        <v/>
      </c>
      <c r="I28" s="509" t="b">
        <v>0</v>
      </c>
      <c r="J28" s="154" t="str">
        <f>IF(K28,"PT","")</f>
        <v/>
      </c>
      <c r="K28" s="509" t="b">
        <v>0</v>
      </c>
      <c r="L28" s="154" t="str">
        <f>IF(M28,"PT","")</f>
        <v/>
      </c>
      <c r="M28" s="509" t="b">
        <v>0</v>
      </c>
      <c r="N28" s="154" t="str">
        <f>IF(O28,"PT","")</f>
        <v/>
      </c>
      <c r="O28" s="509" t="b">
        <v>0</v>
      </c>
      <c r="P28" s="154" t="str">
        <f>IF(Q28,"PT","")</f>
        <v/>
      </c>
      <c r="Q28" s="509" t="b">
        <v>0</v>
      </c>
      <c r="R28" s="154" t="str">
        <f>IF(S28,"PT","")</f>
        <v/>
      </c>
      <c r="S28" s="509" t="b">
        <v>0</v>
      </c>
      <c r="U28" s="204"/>
    </row>
    <row r="29" spans="2:21" x14ac:dyDescent="0.2">
      <c r="B29" s="154" t="str">
        <f>IF(C29,"APPT","")</f>
        <v/>
      </c>
      <c r="C29" s="509" t="b">
        <v>0</v>
      </c>
      <c r="D29" s="154" t="str">
        <f>IF(E29,"APPT","")</f>
        <v/>
      </c>
      <c r="E29" s="509" t="b">
        <v>0</v>
      </c>
      <c r="F29" s="154" t="str">
        <f>IF(G29,"APPT","")</f>
        <v/>
      </c>
      <c r="G29" s="509" t="b">
        <v>0</v>
      </c>
      <c r="H29" s="154" t="str">
        <f>IF(I29,"APPT","")</f>
        <v/>
      </c>
      <c r="I29" s="509" t="b">
        <v>0</v>
      </c>
      <c r="J29" s="154" t="str">
        <f>IF(K29,"APPT","")</f>
        <v/>
      </c>
      <c r="K29" s="509" t="b">
        <v>0</v>
      </c>
      <c r="L29" s="154" t="str">
        <f>IF(M29,"APPT","")</f>
        <v/>
      </c>
      <c r="M29" s="509" t="b">
        <v>0</v>
      </c>
      <c r="N29" s="154" t="str">
        <f>IF(O29,"APPT","")</f>
        <v/>
      </c>
      <c r="O29" s="509" t="b">
        <v>0</v>
      </c>
      <c r="P29" s="154" t="str">
        <f>IF(Q29,"APPT","")</f>
        <v/>
      </c>
      <c r="Q29" s="509" t="b">
        <v>0</v>
      </c>
      <c r="R29" s="154" t="str">
        <f>IF(S29,"APPT","")</f>
        <v/>
      </c>
      <c r="S29" s="509" t="b">
        <v>0</v>
      </c>
      <c r="U29" s="204"/>
    </row>
    <row r="30" spans="2:21" x14ac:dyDescent="0.2">
      <c r="B30" s="154" t="str">
        <f>IF(C30,"NICU APPT","")</f>
        <v/>
      </c>
      <c r="C30" s="509" t="b">
        <v>0</v>
      </c>
      <c r="D30" s="154" t="str">
        <f>IF(E30,"NICU APPT","")</f>
        <v/>
      </c>
      <c r="E30" s="509" t="b">
        <v>0</v>
      </c>
      <c r="F30" s="154" t="str">
        <f>IF(G30,"NICU APPT","")</f>
        <v/>
      </c>
      <c r="G30" s="509" t="b">
        <v>0</v>
      </c>
      <c r="H30" s="154" t="str">
        <f>IF(I30,"NICU APPT","")</f>
        <v/>
      </c>
      <c r="I30" s="509" t="b">
        <v>0</v>
      </c>
      <c r="J30" s="154" t="str">
        <f>IF(K30,"NICU APPT","")</f>
        <v/>
      </c>
      <c r="K30" s="509" t="b">
        <v>0</v>
      </c>
      <c r="L30" s="154" t="str">
        <f>IF(M30,"NICU APPT","")</f>
        <v/>
      </c>
      <c r="M30" s="509" t="b">
        <v>0</v>
      </c>
      <c r="N30" s="154" t="str">
        <f>IF(O30,"NICU APPT","")</f>
        <v/>
      </c>
      <c r="O30" s="509" t="b">
        <v>0</v>
      </c>
      <c r="P30" s="154" t="str">
        <f>IF(Q30,"NICU APPT","")</f>
        <v/>
      </c>
      <c r="Q30" s="509" t="b">
        <v>0</v>
      </c>
      <c r="R30" s="154" t="str">
        <f>IF(S30,"NICU APPT","")</f>
        <v/>
      </c>
      <c r="S30" s="509" t="b">
        <v>0</v>
      </c>
      <c r="U30" s="204"/>
    </row>
    <row r="31" spans="2:21" x14ac:dyDescent="0.2">
      <c r="B31" s="154" t="str">
        <f>IF(C31,"BG","")</f>
        <v/>
      </c>
      <c r="C31" s="509" t="b">
        <v>0</v>
      </c>
      <c r="D31" s="154" t="str">
        <f>IF(E31,"BG","")</f>
        <v/>
      </c>
      <c r="E31" s="509" t="b">
        <v>0</v>
      </c>
      <c r="F31" s="154" t="str">
        <f>IF(G31,"BG","")</f>
        <v/>
      </c>
      <c r="G31" s="509" t="b">
        <v>0</v>
      </c>
      <c r="H31" s="154" t="str">
        <f>IF(I31,"BG","")</f>
        <v/>
      </c>
      <c r="I31" s="509" t="b">
        <v>0</v>
      </c>
      <c r="J31" s="154" t="str">
        <f>IF(K31,"BG","")</f>
        <v/>
      </c>
      <c r="K31" s="509" t="b">
        <v>0</v>
      </c>
      <c r="L31" s="154" t="str">
        <f>IF(M31,"BG","")</f>
        <v/>
      </c>
      <c r="M31" s="509" t="b">
        <v>0</v>
      </c>
      <c r="N31" s="154" t="str">
        <f>IF(O31,"BG","")</f>
        <v/>
      </c>
      <c r="O31" s="509" t="b">
        <v>0</v>
      </c>
      <c r="P31" s="154" t="str">
        <f>IF(Q31,"BG","")</f>
        <v/>
      </c>
      <c r="Q31" s="509" t="b">
        <v>0</v>
      </c>
      <c r="R31" s="154" t="str">
        <f>IF(S31,"BG","")</f>
        <v/>
      </c>
      <c r="S31" s="509" t="b">
        <v>0</v>
      </c>
      <c r="U31" s="204"/>
    </row>
    <row r="32" spans="2:21" x14ac:dyDescent="0.2">
      <c r="B32" s="154" t="str">
        <f>IF(C32,"antiAx","")</f>
        <v/>
      </c>
      <c r="C32" s="509" t="b">
        <v>0</v>
      </c>
      <c r="D32" s="154" t="str">
        <f>IF(E32,"antiAx","")</f>
        <v/>
      </c>
      <c r="E32" s="509" t="b">
        <v>0</v>
      </c>
      <c r="F32" s="154" t="str">
        <f>IF(G32,"antiAx","")</f>
        <v/>
      </c>
      <c r="G32" s="509" t="b">
        <v>0</v>
      </c>
      <c r="H32" s="154" t="str">
        <f>IF(I32,"antiAx","")</f>
        <v/>
      </c>
      <c r="I32" s="509" t="b">
        <v>0</v>
      </c>
      <c r="J32" s="154" t="str">
        <f>IF(K32,"antiAx","")</f>
        <v/>
      </c>
      <c r="K32" s="509" t="b">
        <v>0</v>
      </c>
      <c r="L32" s="154" t="str">
        <f>IF(M32,"antiAx","")</f>
        <v/>
      </c>
      <c r="M32" s="509" t="b">
        <v>0</v>
      </c>
      <c r="N32" s="154" t="str">
        <f>IF(O32,"antiAx","")</f>
        <v/>
      </c>
      <c r="O32" s="509" t="b">
        <v>0</v>
      </c>
      <c r="P32" s="154" t="str">
        <f>IF(Q32,"antiAx","")</f>
        <v/>
      </c>
      <c r="Q32" s="509" t="b">
        <v>0</v>
      </c>
      <c r="R32" s="154" t="str">
        <f>IF(S32,"antiAx","")</f>
        <v/>
      </c>
      <c r="S32" s="509" t="b">
        <v>0</v>
      </c>
      <c r="U32" s="204"/>
    </row>
    <row r="33" spans="2:21" x14ac:dyDescent="0.2">
      <c r="B33" s="154" t="str">
        <f>IF(C33,"BNP","")</f>
        <v/>
      </c>
      <c r="C33" s="509" t="b">
        <v>0</v>
      </c>
      <c r="D33" s="154" t="str">
        <f>IF(E33,"BNP","")</f>
        <v/>
      </c>
      <c r="E33" s="509" t="b">
        <v>0</v>
      </c>
      <c r="F33" s="154" t="str">
        <f>IF(G33,"BNP","")</f>
        <v/>
      </c>
      <c r="G33" s="509" t="b">
        <v>0</v>
      </c>
      <c r="H33" s="154" t="str">
        <f>IF(I33,"BNP","")</f>
        <v/>
      </c>
      <c r="I33" s="509" t="b">
        <v>0</v>
      </c>
      <c r="J33" s="154" t="str">
        <f>IF(K33,"BNP","")</f>
        <v/>
      </c>
      <c r="K33" s="509" t="b">
        <v>0</v>
      </c>
      <c r="L33" s="154" t="str">
        <f>IF(M33,"BNP","")</f>
        <v/>
      </c>
      <c r="M33" s="509" t="b">
        <v>0</v>
      </c>
      <c r="N33" s="154" t="str">
        <f>IF(O33,"BNP","")</f>
        <v/>
      </c>
      <c r="O33" s="509" t="b">
        <v>0</v>
      </c>
      <c r="P33" s="154" t="str">
        <f>IF(Q33,"BNP","")</f>
        <v/>
      </c>
      <c r="Q33" s="509" t="b">
        <v>0</v>
      </c>
      <c r="R33" s="154" t="str">
        <f>IF(S33,"BNP","")</f>
        <v/>
      </c>
      <c r="S33" s="509" t="b">
        <v>0</v>
      </c>
      <c r="U33" s="204"/>
    </row>
    <row r="34" spans="2:21" x14ac:dyDescent="0.2">
      <c r="B34" s="154" t="str">
        <f>IF(C34,"Troponine","")</f>
        <v/>
      </c>
      <c r="C34" s="509" t="b">
        <v>0</v>
      </c>
      <c r="D34" s="154" t="str">
        <f>IF(E34,"Troponine","")</f>
        <v/>
      </c>
      <c r="E34" s="509" t="b">
        <v>0</v>
      </c>
      <c r="F34" s="154" t="str">
        <f>IF(G34,"Troponine","")</f>
        <v/>
      </c>
      <c r="G34" s="509" t="b">
        <v>0</v>
      </c>
      <c r="H34" s="154" t="str">
        <f>IF(I34,"Troponine","")</f>
        <v/>
      </c>
      <c r="I34" s="509" t="b">
        <v>0</v>
      </c>
      <c r="J34" s="154" t="str">
        <f>IF(K34,"Troponine","")</f>
        <v/>
      </c>
      <c r="K34" s="509" t="b">
        <v>0</v>
      </c>
      <c r="L34" s="154" t="str">
        <f>IF(M34,"Troponine","")</f>
        <v/>
      </c>
      <c r="M34" s="509" t="b">
        <v>0</v>
      </c>
      <c r="N34" s="154" t="str">
        <f>IF(O34,"Troponine","")</f>
        <v/>
      </c>
      <c r="O34" s="509" t="b">
        <v>0</v>
      </c>
      <c r="P34" s="154" t="str">
        <f>IF(Q34,"Troponine","")</f>
        <v/>
      </c>
      <c r="Q34" s="509" t="b">
        <v>0</v>
      </c>
      <c r="R34" s="154" t="str">
        <f>IF(S34,"Troponine","")</f>
        <v/>
      </c>
      <c r="S34" s="509" t="b">
        <v>0</v>
      </c>
      <c r="U34" s="204"/>
    </row>
    <row r="35" spans="2:21" x14ac:dyDescent="0.2">
      <c r="B35" s="154" t="str">
        <f>IF(C35,"Coombs-test","")</f>
        <v/>
      </c>
      <c r="C35" s="509" t="b">
        <v>0</v>
      </c>
    </row>
    <row r="38" spans="2:21" x14ac:dyDescent="0.2">
      <c r="B38" s="154" t="s">
        <v>912</v>
      </c>
      <c r="D38" s="355"/>
    </row>
  </sheetData>
  <pageMargins left="0.75" right="0.75" top="1" bottom="1" header="0.5" footer="0.5"/>
  <headerFooter alignWithMargins="0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GuiAcuut">
    <tabColor rgb="FF7030A0"/>
    <pageSetUpPr autoPageBreaks="0"/>
  </sheetPr>
  <dimension ref="A1:FIO439"/>
  <sheetViews>
    <sheetView zoomScaleNormal="100" zoomScaleSheetLayoutView="100" workbookViewId="0"/>
  </sheetViews>
  <sheetFormatPr defaultColWidth="9.140625" defaultRowHeight="12.75" x14ac:dyDescent="0.2"/>
  <cols>
    <col min="1" max="1" width="9.140625" style="37"/>
    <col min="2" max="2" width="10.28515625" style="6" customWidth="1"/>
    <col min="3" max="3" width="19.7109375" style="37" customWidth="1"/>
    <col min="4" max="4" width="28.85546875" style="37" bestFit="1" customWidth="1"/>
    <col min="5" max="5" width="17.7109375" style="37" customWidth="1"/>
    <col min="6" max="7" width="18.7109375" style="37" customWidth="1"/>
    <col min="8" max="11" width="9.140625" style="37"/>
    <col min="12" max="21" width="9.140625" style="37" hidden="1" customWidth="1"/>
    <col min="22" max="22" width="0" style="37" hidden="1" customWidth="1"/>
    <col min="23" max="16384" width="9.140625" style="37"/>
  </cols>
  <sheetData>
    <row r="1" spans="1:25 4305:4305" x14ac:dyDescent="0.2">
      <c r="A1" s="362"/>
      <c r="J1" s="335"/>
      <c r="K1" s="335"/>
      <c r="L1" s="335" t="s">
        <v>792</v>
      </c>
      <c r="M1" s="335" t="s">
        <v>800</v>
      </c>
      <c r="N1" s="335" t="s">
        <v>793</v>
      </c>
      <c r="O1" s="335"/>
      <c r="P1" s="335"/>
      <c r="Q1" s="335"/>
      <c r="R1" s="335"/>
      <c r="S1" s="335" t="s">
        <v>801</v>
      </c>
      <c r="T1" s="335" t="s">
        <v>802</v>
      </c>
      <c r="U1" s="335"/>
      <c r="V1" s="335"/>
      <c r="W1" s="335"/>
      <c r="X1" s="335"/>
      <c r="Y1" s="121"/>
    </row>
    <row r="2" spans="1:25 4305:4305" ht="15" customHeight="1" x14ac:dyDescent="0.2">
      <c r="B2" s="113" t="str">
        <f>"Patient: "&amp;__2_AchterNaam&amp;", "&amp;__3_VoorNaam</f>
        <v xml:space="preserve">Patient: , </v>
      </c>
      <c r="C2" s="111"/>
      <c r="D2" s="95"/>
      <c r="E2" s="114"/>
      <c r="F2" s="95"/>
      <c r="G2" s="103"/>
      <c r="H2" s="38"/>
      <c r="I2" s="38"/>
      <c r="J2" s="335"/>
      <c r="K2" s="335"/>
      <c r="L2" s="335">
        <v>0</v>
      </c>
      <c r="M2" s="335">
        <v>40</v>
      </c>
      <c r="N2" s="335">
        <v>3.5</v>
      </c>
      <c r="O2" s="335">
        <v>0</v>
      </c>
      <c r="P2" s="335">
        <v>3.5</v>
      </c>
      <c r="Q2" s="335">
        <v>51</v>
      </c>
      <c r="R2" s="335"/>
      <c r="S2" s="335">
        <v>1</v>
      </c>
      <c r="T2" s="335">
        <v>1</v>
      </c>
      <c r="U2" s="335">
        <v>1</v>
      </c>
      <c r="V2" s="335"/>
      <c r="W2" s="335"/>
      <c r="X2" s="335"/>
      <c r="Y2" s="121"/>
      <c r="FIO2" s="37">
        <v>30</v>
      </c>
    </row>
    <row r="3" spans="1:25 4305:4305" ht="15" customHeight="1" x14ac:dyDescent="0.2">
      <c r="B3" s="113" t="str">
        <f>"Geb datum.: "</f>
        <v xml:space="preserve">Geb datum.: </v>
      </c>
      <c r="C3" s="124">
        <f>__4_GebDatum</f>
        <v>1462</v>
      </c>
      <c r="D3" s="95"/>
      <c r="E3" s="114"/>
      <c r="F3" s="108"/>
      <c r="G3" s="103"/>
      <c r="H3" s="38"/>
      <c r="I3" s="38"/>
      <c r="J3" s="335"/>
      <c r="K3" s="335"/>
      <c r="L3" s="335">
        <v>1</v>
      </c>
      <c r="M3" s="335">
        <v>30</v>
      </c>
      <c r="N3" s="335">
        <v>4.5</v>
      </c>
      <c r="O3" s="335">
        <v>1</v>
      </c>
      <c r="P3" s="335">
        <v>4.2</v>
      </c>
      <c r="Q3" s="335">
        <v>54</v>
      </c>
      <c r="R3" s="335"/>
      <c r="S3" s="335">
        <v>2</v>
      </c>
      <c r="T3" s="335">
        <v>2</v>
      </c>
      <c r="U3" s="335">
        <v>2</v>
      </c>
      <c r="V3" s="335"/>
      <c r="W3" s="335"/>
      <c r="X3" s="335"/>
      <c r="Y3" s="121"/>
    </row>
    <row r="4" spans="1:25 4305:4305" ht="15.75" customHeight="1" x14ac:dyDescent="0.2">
      <c r="B4" s="107"/>
      <c r="C4" s="110" t="s">
        <v>664</v>
      </c>
      <c r="D4" s="110" t="s">
        <v>665</v>
      </c>
      <c r="E4" s="110" t="s">
        <v>666</v>
      </c>
      <c r="F4" s="110"/>
      <c r="G4" s="110"/>
      <c r="H4" s="38"/>
      <c r="J4" s="336"/>
      <c r="K4" s="336"/>
      <c r="L4" s="335">
        <v>2</v>
      </c>
      <c r="M4" s="335">
        <v>25</v>
      </c>
      <c r="N4" s="335">
        <v>4.5</v>
      </c>
      <c r="O4" s="335">
        <v>2</v>
      </c>
      <c r="P4" s="335">
        <v>5</v>
      </c>
      <c r="Q4" s="335">
        <v>57</v>
      </c>
      <c r="R4" s="335"/>
      <c r="S4" s="335">
        <v>3</v>
      </c>
      <c r="T4" s="335">
        <v>3</v>
      </c>
      <c r="U4" s="335">
        <v>3</v>
      </c>
      <c r="V4" s="335"/>
      <c r="W4" s="335"/>
      <c r="X4" s="335"/>
      <c r="Y4" s="121"/>
    </row>
    <row r="5" spans="1:25 4305:4305" ht="15" customHeight="1" x14ac:dyDescent="0.2">
      <c r="B5" s="107"/>
      <c r="C5" s="110">
        <f>_Pat_Weken</f>
        <v>0</v>
      </c>
      <c r="D5" s="110">
        <f>_Pat_Dagen</f>
        <v>0</v>
      </c>
      <c r="E5" s="110">
        <f>(_Pat_Gewicht/10)</f>
        <v>0</v>
      </c>
      <c r="F5" s="110"/>
      <c r="G5" s="110"/>
      <c r="H5" s="38"/>
      <c r="J5" s="336"/>
      <c r="K5" s="336"/>
      <c r="L5" s="335">
        <v>3</v>
      </c>
      <c r="M5" s="335">
        <v>25</v>
      </c>
      <c r="N5" s="335">
        <v>5</v>
      </c>
      <c r="O5" s="335">
        <v>3</v>
      </c>
      <c r="P5" s="335">
        <v>5.7</v>
      </c>
      <c r="Q5" s="335">
        <v>60</v>
      </c>
      <c r="R5" s="335"/>
      <c r="S5" s="335">
        <v>4</v>
      </c>
      <c r="T5" s="335">
        <v>3</v>
      </c>
      <c r="U5" s="335"/>
      <c r="V5" s="335"/>
      <c r="W5" s="335"/>
      <c r="X5" s="335"/>
      <c r="Y5" s="121"/>
    </row>
    <row r="6" spans="1:25 4305:4305" ht="15" customHeight="1" thickBot="1" x14ac:dyDescent="0.25">
      <c r="A6" s="362"/>
      <c r="B6" s="18"/>
      <c r="C6" s="112"/>
      <c r="D6" s="112"/>
      <c r="E6" s="112"/>
      <c r="F6" s="112"/>
      <c r="G6" s="112"/>
      <c r="H6" s="38"/>
      <c r="J6" s="336"/>
      <c r="K6" s="336"/>
      <c r="L6" s="335">
        <v>4</v>
      </c>
      <c r="M6" s="335">
        <v>25</v>
      </c>
      <c r="N6" s="335">
        <v>5</v>
      </c>
      <c r="O6" s="335">
        <v>4</v>
      </c>
      <c r="P6" s="335">
        <v>6.5</v>
      </c>
      <c r="Q6" s="335">
        <v>63</v>
      </c>
      <c r="R6" s="335"/>
      <c r="S6" s="335">
        <v>5</v>
      </c>
      <c r="T6" s="335">
        <v>5</v>
      </c>
      <c r="U6" s="335">
        <v>5</v>
      </c>
      <c r="V6" s="335"/>
      <c r="W6" s="335"/>
      <c r="X6" s="335"/>
      <c r="Y6" s="121"/>
    </row>
    <row r="7" spans="1:25 4305:4305" ht="20.100000000000001" customHeight="1" x14ac:dyDescent="0.2">
      <c r="B7" s="107" t="s">
        <v>314</v>
      </c>
      <c r="C7" s="115" t="s">
        <v>53</v>
      </c>
      <c r="D7" s="116" t="str">
        <f>"Maat: "&amp;IF((_Pat_Gewicht/10)&lt;1,2.5,IF(AND((_Pat_Gewicht/10)&gt;=1,(_Pat_Gewicht/10)&lt;2),3,3.5))</f>
        <v>Maat: 2,5</v>
      </c>
      <c r="E7" s="117"/>
      <c r="F7" s="117"/>
      <c r="G7" s="131"/>
      <c r="H7" s="38"/>
      <c r="I7" s="38"/>
      <c r="J7" s="335"/>
      <c r="K7" s="335"/>
      <c r="L7" s="335">
        <v>5</v>
      </c>
      <c r="M7" s="335">
        <v>25</v>
      </c>
      <c r="N7" s="335">
        <v>5.5</v>
      </c>
      <c r="O7" s="335">
        <v>5</v>
      </c>
      <c r="P7" s="335">
        <v>7</v>
      </c>
      <c r="Q7" s="335">
        <v>65</v>
      </c>
      <c r="R7" s="335"/>
      <c r="S7" s="335">
        <v>6</v>
      </c>
      <c r="T7" s="335">
        <v>5</v>
      </c>
      <c r="U7" s="335"/>
      <c r="V7" s="335"/>
      <c r="W7" s="335"/>
      <c r="X7" s="335"/>
      <c r="Y7" s="121"/>
    </row>
    <row r="8" spans="1:25 4305:4305" ht="20.100000000000001" customHeight="1" x14ac:dyDescent="0.2">
      <c r="B8" s="107"/>
      <c r="C8" s="106"/>
      <c r="D8" s="39" t="str">
        <f>"Nasaal: "&amp;((_Pat_Gewicht/10)+6)*1.2</f>
        <v>Nasaal: 7,2</v>
      </c>
      <c r="E8" s="38"/>
      <c r="F8" s="38"/>
      <c r="G8" s="132"/>
      <c r="H8" s="38"/>
      <c r="I8" s="38"/>
      <c r="J8" s="335"/>
      <c r="K8" s="335"/>
      <c r="L8" s="335">
        <v>6</v>
      </c>
      <c r="M8" s="335">
        <v>20</v>
      </c>
      <c r="N8" s="335">
        <v>5.5</v>
      </c>
      <c r="O8" s="335">
        <v>6</v>
      </c>
      <c r="P8" s="335">
        <v>7.7</v>
      </c>
      <c r="Q8" s="335">
        <v>67</v>
      </c>
      <c r="R8" s="335"/>
      <c r="S8" s="335">
        <v>7</v>
      </c>
      <c r="T8" s="335">
        <v>7</v>
      </c>
      <c r="U8" s="335">
        <v>7</v>
      </c>
      <c r="V8" s="335"/>
      <c r="W8" s="335"/>
      <c r="X8" s="335"/>
      <c r="Y8" s="121"/>
    </row>
    <row r="9" spans="1:25 4305:4305" ht="20.100000000000001" customHeight="1" x14ac:dyDescent="0.2">
      <c r="B9" s="107"/>
      <c r="C9" s="106"/>
      <c r="D9" s="39" t="str">
        <f>"Oraal: "&amp;((_Pat_Gewicht/10)+6)</f>
        <v>Oraal: 6</v>
      </c>
      <c r="E9" s="38"/>
      <c r="F9" s="38"/>
      <c r="G9" s="132"/>
      <c r="H9" s="38"/>
      <c r="I9" s="38"/>
      <c r="J9" s="335"/>
      <c r="K9" s="335"/>
      <c r="L9" s="335">
        <v>7</v>
      </c>
      <c r="M9" s="335">
        <v>20</v>
      </c>
      <c r="N9" s="335">
        <v>6</v>
      </c>
      <c r="O9" s="335">
        <v>7</v>
      </c>
      <c r="P9" s="335">
        <v>8.1999999999999993</v>
      </c>
      <c r="Q9" s="335">
        <v>69</v>
      </c>
      <c r="R9" s="335"/>
      <c r="S9" s="335">
        <v>8</v>
      </c>
      <c r="T9" s="335">
        <v>7</v>
      </c>
      <c r="U9" s="335"/>
      <c r="V9" s="335"/>
      <c r="W9" s="335"/>
      <c r="X9" s="335"/>
      <c r="Y9" s="121"/>
    </row>
    <row r="10" spans="1:25 4305:4305" ht="20.100000000000001" customHeight="1" x14ac:dyDescent="0.2">
      <c r="B10" s="107"/>
      <c r="C10" s="106" t="s">
        <v>1119</v>
      </c>
      <c r="D10" s="472">
        <f>(1.5*(_Pat_Gewicht/10))+5.5</f>
        <v>5.5</v>
      </c>
      <c r="E10" s="38"/>
      <c r="F10" s="38"/>
      <c r="G10" s="132"/>
      <c r="H10" s="38"/>
      <c r="I10" s="38"/>
      <c r="J10" s="335"/>
      <c r="K10" s="335"/>
      <c r="L10" s="335"/>
      <c r="M10" s="335"/>
      <c r="N10" s="335"/>
      <c r="O10" s="335"/>
      <c r="P10" s="335"/>
      <c r="Q10" s="335"/>
      <c r="R10" s="335"/>
      <c r="S10" s="335"/>
      <c r="T10" s="335"/>
      <c r="U10" s="335"/>
      <c r="V10" s="335"/>
      <c r="W10" s="335"/>
      <c r="X10" s="335"/>
      <c r="Y10" s="121"/>
    </row>
    <row r="11" spans="1:25 4305:4305" ht="20.100000000000001" customHeight="1" x14ac:dyDescent="0.2">
      <c r="B11" s="107"/>
      <c r="C11" s="106" t="s">
        <v>1120</v>
      </c>
      <c r="D11" s="472">
        <f>(4*(_Pat_Gewicht/10))+7</f>
        <v>7</v>
      </c>
      <c r="E11" s="38"/>
      <c r="F11" s="38"/>
      <c r="G11" s="132"/>
      <c r="H11" s="38"/>
      <c r="I11" s="38"/>
      <c r="J11" s="335"/>
      <c r="K11" s="335"/>
      <c r="L11" s="335"/>
      <c r="M11" s="335"/>
      <c r="N11" s="335"/>
      <c r="O11" s="335"/>
      <c r="P11" s="335"/>
      <c r="Q11" s="335"/>
      <c r="R11" s="335"/>
      <c r="S11" s="335"/>
      <c r="T11" s="335"/>
      <c r="U11" s="335"/>
      <c r="V11" s="335"/>
      <c r="W11" s="335"/>
      <c r="X11" s="335"/>
      <c r="Y11" s="121"/>
    </row>
    <row r="12" spans="1:25 4305:4305" ht="20.100000000000001" customHeight="1" x14ac:dyDescent="0.2">
      <c r="B12" s="107"/>
      <c r="C12" s="106" t="s">
        <v>54</v>
      </c>
      <c r="D12" s="39" t="e">
        <f>IF(ROUND((E5)*4,0)&gt;150,150,VLOOKUP(ROUND(E5*4,0),S2:T347,2))&amp;" Joules Asynchroon"</f>
        <v>#N/A</v>
      </c>
      <c r="E12" s="38"/>
      <c r="F12" s="38"/>
      <c r="G12" s="132" t="s">
        <v>0</v>
      </c>
      <c r="H12" s="38"/>
      <c r="I12" s="38"/>
      <c r="J12" s="335"/>
      <c r="K12" s="335"/>
      <c r="L12" s="335">
        <v>9</v>
      </c>
      <c r="M12" s="335">
        <v>20</v>
      </c>
      <c r="N12" s="335">
        <v>6.5</v>
      </c>
      <c r="O12" s="335">
        <v>9</v>
      </c>
      <c r="P12" s="335">
        <v>9</v>
      </c>
      <c r="Q12" s="335">
        <v>72</v>
      </c>
      <c r="R12" s="335"/>
      <c r="S12" s="335">
        <v>10</v>
      </c>
      <c r="T12" s="335">
        <v>10</v>
      </c>
      <c r="U12" s="335">
        <v>10</v>
      </c>
      <c r="V12" s="335"/>
      <c r="W12" s="335"/>
      <c r="X12" s="335"/>
      <c r="Y12" s="121"/>
    </row>
    <row r="13" spans="1:25 4305:4305" ht="20.100000000000001" customHeight="1" x14ac:dyDescent="0.2">
      <c r="B13" s="107"/>
      <c r="C13" s="106" t="s">
        <v>120</v>
      </c>
      <c r="D13" s="39" t="str">
        <f>IF(OR(ROUND(0.01*(E5),2)&gt;1,C5&gt;=18),"1 mg iv",ROUND(0.01*(E5),2)&amp;" mg iv")</f>
        <v>0 mg iv</v>
      </c>
      <c r="E13" s="38" t="str">
        <f>"= "&amp;IF(ROUND(0.01*(E5),2)&gt;1,"1 ml van 1mg = 10 ml (1:10.000)",ROUND(0.1*(E5),2)&amp;" ml van 1mg = 10 ml (1:10.000)")</f>
        <v>= 0 ml van 1mg = 10 ml (1:10.000)</v>
      </c>
      <c r="F13" s="38"/>
      <c r="G13" s="132" t="s">
        <v>1</v>
      </c>
      <c r="H13" s="38"/>
      <c r="I13" s="38"/>
      <c r="J13" s="335"/>
      <c r="K13" s="335"/>
      <c r="L13" s="335">
        <v>10</v>
      </c>
      <c r="M13" s="335">
        <v>20</v>
      </c>
      <c r="N13" s="335">
        <v>6.5</v>
      </c>
      <c r="O13" s="335">
        <v>10</v>
      </c>
      <c r="P13" s="335">
        <v>9.3000000000000007</v>
      </c>
      <c r="Q13" s="335">
        <v>73</v>
      </c>
      <c r="R13" s="335"/>
      <c r="S13" s="335">
        <v>11</v>
      </c>
      <c r="T13" s="335">
        <v>10</v>
      </c>
      <c r="U13" s="335"/>
      <c r="V13" s="335"/>
      <c r="W13" s="335"/>
      <c r="X13" s="335"/>
      <c r="Y13" s="121"/>
    </row>
    <row r="14" spans="1:25 4305:4305" ht="20.100000000000001" customHeight="1" x14ac:dyDescent="0.2">
      <c r="B14" s="107"/>
      <c r="C14" s="106" t="s">
        <v>559</v>
      </c>
      <c r="D14" s="39" t="str">
        <f>IF(0.2*E5&lt;=25,0.2*E5&amp;" gram iv","25 gram iv")</f>
        <v>0 gram iv</v>
      </c>
      <c r="E14" s="38" t="str">
        <f>"="&amp;" "&amp;IF(2*E5&lt;=250,ROUND(2*E5,2)&amp;" ml Glucose 10%","250 ml Glucose 10%")</f>
        <v>= 0 ml Glucose 10%</v>
      </c>
      <c r="F14" s="38"/>
      <c r="G14" s="132" t="s">
        <v>3</v>
      </c>
      <c r="H14" s="38"/>
      <c r="I14" s="38"/>
      <c r="J14" s="335"/>
      <c r="K14" s="335"/>
      <c r="L14" s="335">
        <v>11</v>
      </c>
      <c r="M14" s="335">
        <v>20</v>
      </c>
      <c r="N14" s="335">
        <v>7</v>
      </c>
      <c r="O14" s="335">
        <v>11</v>
      </c>
      <c r="P14" s="335">
        <v>9.5</v>
      </c>
      <c r="Q14" s="335">
        <v>74</v>
      </c>
      <c r="R14" s="335"/>
      <c r="S14" s="335">
        <v>12</v>
      </c>
      <c r="T14" s="335">
        <v>10</v>
      </c>
      <c r="U14" s="335"/>
      <c r="V14" s="335"/>
      <c r="W14" s="335"/>
      <c r="X14" s="335"/>
      <c r="Y14" s="121"/>
    </row>
    <row r="15" spans="1:25 4305:4305" ht="20.100000000000001" customHeight="1" thickBot="1" x14ac:dyDescent="0.25">
      <c r="B15" s="107"/>
      <c r="C15" s="118" t="s">
        <v>794</v>
      </c>
      <c r="D15" s="119" t="str">
        <f>IF(ROUND(20*E5/10,0)*10&gt;500,500,ROUND(20*E5/10,0)*10)&amp;" ml NaCl 0,9% iv per bolus"</f>
        <v>0 ml NaCl 0,9% iv per bolus</v>
      </c>
      <c r="E15" s="120"/>
      <c r="F15" s="120"/>
      <c r="G15" s="133" t="s">
        <v>4</v>
      </c>
      <c r="H15" s="38"/>
      <c r="I15" s="38"/>
      <c r="J15" s="335"/>
      <c r="K15" s="335"/>
      <c r="L15" s="335">
        <v>12</v>
      </c>
      <c r="M15" s="335">
        <v>15</v>
      </c>
      <c r="N15" s="335">
        <v>7</v>
      </c>
      <c r="O15" s="335">
        <v>12</v>
      </c>
      <c r="P15" s="335">
        <v>10</v>
      </c>
      <c r="Q15" s="335">
        <v>76</v>
      </c>
      <c r="R15" s="335"/>
      <c r="S15" s="335">
        <v>13</v>
      </c>
      <c r="T15" s="335">
        <v>10</v>
      </c>
      <c r="U15" s="335"/>
      <c r="V15" s="335"/>
      <c r="W15" s="335"/>
      <c r="X15" s="335"/>
      <c r="Y15" s="121"/>
    </row>
    <row r="16" spans="1:25 4305:4305" ht="20.100000000000001" customHeight="1" thickBot="1" x14ac:dyDescent="0.25">
      <c r="B16" s="18"/>
      <c r="C16" s="38"/>
      <c r="D16" s="39"/>
      <c r="E16" s="38"/>
      <c r="F16" s="38"/>
      <c r="G16" s="132"/>
      <c r="H16" s="38"/>
      <c r="I16" s="38"/>
      <c r="J16" s="335"/>
      <c r="K16" s="335"/>
      <c r="L16" s="335">
        <v>16</v>
      </c>
      <c r="M16" s="335">
        <v>15</v>
      </c>
      <c r="N16" s="335">
        <v>7</v>
      </c>
      <c r="O16" s="335"/>
      <c r="P16" s="335"/>
      <c r="Q16" s="335"/>
      <c r="R16" s="335"/>
      <c r="S16" s="335">
        <v>17</v>
      </c>
      <c r="T16" s="335">
        <v>20</v>
      </c>
      <c r="U16" s="335"/>
      <c r="V16" s="335"/>
      <c r="W16" s="335"/>
      <c r="X16" s="335"/>
      <c r="Y16" s="121"/>
    </row>
    <row r="17" spans="2:26" ht="20.100000000000001" customHeight="1" x14ac:dyDescent="0.2">
      <c r="B17" s="107" t="s">
        <v>380</v>
      </c>
      <c r="C17" s="115" t="s">
        <v>795</v>
      </c>
      <c r="D17" s="116" t="str">
        <f>IF(0.1*E5&gt;2,"2 mg iv",0.1*E5&amp;" mg iv")</f>
        <v>0 mg iv</v>
      </c>
      <c r="E17" s="117" t="str">
        <f>"= "&amp;IF(0.1*E5&gt;2,"0,1 ml van een 10 mg/ml oplossing",ROUND(0.1*E5,2)&amp;" ml van een 10 mg/ml oplossing")</f>
        <v>= 0 ml van een 10 mg/ml oplossing</v>
      </c>
      <c r="F17" s="117"/>
      <c r="G17" s="131" t="s">
        <v>667</v>
      </c>
      <c r="H17" s="38"/>
      <c r="I17" s="38"/>
      <c r="J17" s="335"/>
      <c r="K17" s="335"/>
      <c r="L17" s="335">
        <v>17</v>
      </c>
      <c r="M17" s="335">
        <v>15</v>
      </c>
      <c r="N17" s="335">
        <v>7</v>
      </c>
      <c r="O17" s="335"/>
      <c r="P17" s="335"/>
      <c r="Q17" s="335"/>
      <c r="R17" s="335"/>
      <c r="S17" s="335">
        <v>18</v>
      </c>
      <c r="T17" s="335">
        <v>20</v>
      </c>
      <c r="U17" s="335"/>
      <c r="V17" s="335"/>
      <c r="W17" s="335"/>
      <c r="X17" s="335"/>
      <c r="Y17" s="121"/>
    </row>
    <row r="18" spans="2:26" ht="15.75" customHeight="1" thickBot="1" x14ac:dyDescent="0.25">
      <c r="B18" s="18"/>
      <c r="C18" s="105"/>
      <c r="D18" s="39"/>
      <c r="E18" s="473"/>
      <c r="F18" s="473"/>
      <c r="G18" s="132"/>
      <c r="H18" s="109"/>
      <c r="I18" s="109"/>
      <c r="J18" s="337"/>
      <c r="K18" s="335"/>
      <c r="L18" s="335">
        <v>18</v>
      </c>
      <c r="M18" s="335">
        <v>15</v>
      </c>
      <c r="N18" s="335">
        <v>7</v>
      </c>
      <c r="O18" s="335"/>
      <c r="P18" s="335"/>
      <c r="Q18" s="335"/>
      <c r="R18" s="335"/>
      <c r="S18" s="335">
        <v>19</v>
      </c>
      <c r="T18" s="335">
        <v>20</v>
      </c>
      <c r="U18" s="335"/>
      <c r="V18" s="335"/>
      <c r="W18" s="335"/>
      <c r="X18" s="335"/>
      <c r="Y18" s="121"/>
    </row>
    <row r="19" spans="2:26" ht="20.100000000000001" customHeight="1" x14ac:dyDescent="0.2">
      <c r="B19" s="107" t="s">
        <v>268</v>
      </c>
      <c r="C19" s="115" t="s">
        <v>796</v>
      </c>
      <c r="D19" s="116" t="str">
        <f>0.1*E5&amp;" mg iv"</f>
        <v>0 mg iv</v>
      </c>
      <c r="E19" s="117" t="str">
        <f>"= "&amp;ROUND((0.1*E5),2)&amp;" ml van Anexate 0,1 mg/ml"</f>
        <v>= 0 ml van Anexate 0,1 mg/ml</v>
      </c>
      <c r="F19" s="117"/>
      <c r="G19" s="131"/>
      <c r="H19" s="109"/>
      <c r="I19" s="109"/>
      <c r="J19" s="337"/>
      <c r="K19" s="335"/>
      <c r="L19" s="335"/>
      <c r="M19" s="335"/>
      <c r="N19" s="335"/>
      <c r="O19" s="335"/>
      <c r="P19" s="335"/>
      <c r="Q19" s="335"/>
      <c r="R19" s="335"/>
      <c r="S19" s="335">
        <v>20</v>
      </c>
      <c r="T19" s="335">
        <v>20</v>
      </c>
      <c r="U19" s="335">
        <v>20</v>
      </c>
      <c r="V19" s="335"/>
      <c r="W19" s="335"/>
      <c r="X19" s="335"/>
      <c r="Y19" s="121"/>
    </row>
    <row r="20" spans="2:26" ht="20.100000000000001" customHeight="1" x14ac:dyDescent="0.2">
      <c r="B20" s="107"/>
      <c r="C20" s="106" t="s">
        <v>797</v>
      </c>
      <c r="D20" s="39" t="str">
        <f>IF(0.01*E5&gt;0.4,"0,4 mg iv",0.01*E5&amp;" mg iv")</f>
        <v>0 mg iv</v>
      </c>
      <c r="E20" s="954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954"/>
      <c r="G20" s="132" t="s">
        <v>9</v>
      </c>
      <c r="H20" s="38"/>
      <c r="I20" s="38"/>
      <c r="J20" s="335"/>
      <c r="K20" s="335"/>
      <c r="L20" s="335"/>
      <c r="M20" s="335"/>
      <c r="N20" s="335"/>
      <c r="O20" s="335"/>
      <c r="P20" s="335"/>
      <c r="Q20" s="335"/>
      <c r="R20" s="335"/>
      <c r="S20" s="335">
        <v>21</v>
      </c>
      <c r="T20" s="335">
        <v>30</v>
      </c>
      <c r="U20" s="335"/>
      <c r="V20" s="335"/>
      <c r="W20" s="335"/>
      <c r="X20" s="335"/>
      <c r="Y20" s="121"/>
    </row>
    <row r="21" spans="2:26" ht="20.100000000000001" customHeight="1" thickBot="1" x14ac:dyDescent="0.25">
      <c r="B21" s="107"/>
      <c r="C21" s="118"/>
      <c r="D21" s="119"/>
      <c r="E21" s="955"/>
      <c r="F21" s="955"/>
      <c r="G21" s="133"/>
      <c r="H21" s="38"/>
      <c r="I21" s="38"/>
      <c r="J21" s="335"/>
      <c r="K21" s="335"/>
      <c r="L21" s="335" t="s">
        <v>1117</v>
      </c>
      <c r="M21" s="335" t="s">
        <v>1118</v>
      </c>
      <c r="N21" s="335" t="s">
        <v>793</v>
      </c>
      <c r="O21" s="335"/>
      <c r="P21" s="335"/>
      <c r="Q21" s="335"/>
      <c r="R21" s="335"/>
      <c r="S21" s="335">
        <v>22</v>
      </c>
      <c r="T21" s="335">
        <v>30</v>
      </c>
      <c r="U21" s="335"/>
      <c r="V21" s="335"/>
      <c r="W21" s="335"/>
      <c r="X21" s="335"/>
      <c r="Y21" s="121"/>
    </row>
    <row r="22" spans="2:26" ht="20.100000000000001" customHeight="1" thickBot="1" x14ac:dyDescent="0.25">
      <c r="B22" s="18"/>
      <c r="C22" s="105"/>
      <c r="D22" s="39"/>
      <c r="E22" s="473"/>
      <c r="F22" s="473"/>
      <c r="G22" s="132"/>
      <c r="H22" s="38"/>
      <c r="I22" s="38"/>
      <c r="J22" s="335"/>
      <c r="K22" s="335"/>
      <c r="L22" s="335">
        <v>0</v>
      </c>
      <c r="M22" s="335">
        <v>1</v>
      </c>
      <c r="N22" s="335">
        <v>2.5</v>
      </c>
      <c r="O22" s="335"/>
      <c r="P22" s="335"/>
      <c r="Q22" s="335"/>
      <c r="R22" s="335"/>
      <c r="S22" s="335">
        <v>23</v>
      </c>
      <c r="T22" s="335">
        <v>30</v>
      </c>
      <c r="U22" s="335"/>
      <c r="V22" s="335"/>
      <c r="W22" s="335"/>
      <c r="X22" s="335"/>
      <c r="Y22" s="121"/>
    </row>
    <row r="23" spans="2:26" ht="20.100000000000001" customHeight="1" x14ac:dyDescent="0.2">
      <c r="B23" s="107" t="s">
        <v>269</v>
      </c>
      <c r="C23" s="115" t="s">
        <v>763</v>
      </c>
      <c r="D23" s="474" t="str">
        <f>CONCATENATE(0.0144*(_Pat_Gewicht/10), " mg in 12 ml glucose 10%")</f>
        <v>0 mg in 12 ml glucose 10%</v>
      </c>
      <c r="E23" s="117" t="s">
        <v>1121</v>
      </c>
      <c r="F23" s="117"/>
      <c r="G23" s="131" t="s">
        <v>668</v>
      </c>
      <c r="H23" s="38"/>
      <c r="I23" s="38"/>
      <c r="J23" s="335"/>
      <c r="K23" s="335"/>
      <c r="L23" s="335">
        <v>1</v>
      </c>
      <c r="M23" s="335">
        <v>2</v>
      </c>
      <c r="N23" s="335">
        <v>3</v>
      </c>
      <c r="O23" s="335"/>
      <c r="P23" s="335"/>
      <c r="Q23" s="335"/>
      <c r="R23" s="335"/>
      <c r="S23" s="335">
        <v>24</v>
      </c>
      <c r="T23" s="335">
        <v>30</v>
      </c>
      <c r="U23" s="335"/>
      <c r="V23" s="335"/>
      <c r="W23" s="335"/>
      <c r="X23" s="335"/>
      <c r="Y23" s="121"/>
    </row>
    <row r="24" spans="2:26" ht="20.100000000000001" customHeight="1" x14ac:dyDescent="0.25">
      <c r="B24" s="107"/>
      <c r="C24" s="106" t="s">
        <v>798</v>
      </c>
      <c r="D24" s="39" t="str">
        <f>CONCATENATE(7.2*(_Pat_Gewicht/10), " mg in 12 ml glucose 10%")</f>
        <v>0 mg in 12 ml glucose 10%</v>
      </c>
      <c r="E24" s="38" t="s">
        <v>1122</v>
      </c>
      <c r="F24" s="38"/>
      <c r="G24" s="132" t="s">
        <v>329</v>
      </c>
      <c r="H24" s="38"/>
      <c r="I24" s="38"/>
      <c r="J24" s="340"/>
      <c r="K24" s="335"/>
      <c r="L24" s="335">
        <v>2</v>
      </c>
      <c r="M24" s="335">
        <v>150</v>
      </c>
      <c r="N24" s="335">
        <v>3.5</v>
      </c>
      <c r="O24" s="335"/>
      <c r="P24" s="335"/>
      <c r="Q24" s="335"/>
      <c r="R24" s="335"/>
      <c r="S24" s="335">
        <v>25</v>
      </c>
      <c r="T24" s="335">
        <v>30</v>
      </c>
      <c r="U24" s="335"/>
      <c r="V24" s="335"/>
      <c r="W24" s="335"/>
      <c r="X24" s="335"/>
      <c r="Y24" s="121"/>
    </row>
    <row r="25" spans="2:26" ht="20.100000000000001" customHeight="1" thickBot="1" x14ac:dyDescent="0.25">
      <c r="B25" s="107"/>
      <c r="C25" s="118" t="s">
        <v>799</v>
      </c>
      <c r="D25" s="119" t="str">
        <f>CONCATENATE(0.072*(_Pat_Gewicht/10), " mg in 12 ml glucose 10%")</f>
        <v>0 mg in 12 ml glucose 10%</v>
      </c>
      <c r="E25" s="475" t="s">
        <v>1123</v>
      </c>
      <c r="F25" s="120"/>
      <c r="G25" s="133" t="s">
        <v>389</v>
      </c>
      <c r="H25" s="38"/>
      <c r="I25" s="38"/>
      <c r="J25" s="335"/>
      <c r="K25" s="335"/>
      <c r="L25" s="335"/>
      <c r="M25" s="335"/>
      <c r="N25" s="335"/>
      <c r="O25" s="335"/>
      <c r="P25" s="335"/>
      <c r="Q25" s="335"/>
      <c r="R25" s="335"/>
      <c r="S25" s="335">
        <v>29</v>
      </c>
      <c r="T25" s="335">
        <v>30</v>
      </c>
      <c r="U25" s="335"/>
      <c r="V25" s="335"/>
      <c r="W25" s="335"/>
      <c r="X25" s="335"/>
      <c r="Y25" s="121"/>
    </row>
    <row r="26" spans="2:26" ht="20.100000000000001" customHeight="1" thickBot="1" x14ac:dyDescent="0.25">
      <c r="B26" s="18"/>
      <c r="C26" s="38"/>
      <c r="D26" s="39"/>
      <c r="E26" s="38"/>
      <c r="F26" s="38"/>
      <c r="G26" s="132"/>
      <c r="H26" s="38"/>
      <c r="I26" s="38"/>
      <c r="J26" s="335"/>
      <c r="K26" s="335"/>
      <c r="L26" s="335"/>
      <c r="M26" s="335"/>
      <c r="N26" s="335"/>
      <c r="O26" s="335"/>
      <c r="P26" s="335"/>
      <c r="Q26" s="335"/>
      <c r="R26" s="335"/>
      <c r="S26" s="335">
        <v>32</v>
      </c>
      <c r="T26" s="335">
        <v>50</v>
      </c>
      <c r="U26" s="335"/>
      <c r="V26" s="335"/>
      <c r="W26" s="335"/>
      <c r="X26" s="335"/>
      <c r="Y26" s="121"/>
    </row>
    <row r="27" spans="2:26" ht="26.25" thickBot="1" x14ac:dyDescent="0.25">
      <c r="B27" s="483" t="s">
        <v>86</v>
      </c>
      <c r="C27" s="479" t="s">
        <v>271</v>
      </c>
      <c r="D27" s="477" t="str">
        <f>CONCATENATE(0.1*(_Pat_Gewicht/10), " mg")</f>
        <v>0 mg</v>
      </c>
      <c r="E27" s="478" t="str">
        <f>"= "&amp;0.02*(_Pat_Gewicht/10)&amp;" ml van Midazolam 5mg/ml oplossing"</f>
        <v>= 0 ml van Midazolam 5mg/ml oplossing</v>
      </c>
      <c r="F27" s="478"/>
      <c r="G27" s="484"/>
      <c r="H27" s="38"/>
      <c r="I27" s="38"/>
      <c r="J27" s="335"/>
      <c r="K27" s="335"/>
      <c r="L27" s="335"/>
      <c r="M27" s="335"/>
      <c r="N27" s="335"/>
      <c r="O27" s="335"/>
      <c r="P27" s="335"/>
      <c r="Q27" s="335"/>
      <c r="R27" s="335"/>
      <c r="S27" s="335">
        <v>33</v>
      </c>
      <c r="T27" s="335">
        <v>50</v>
      </c>
      <c r="U27" s="335"/>
      <c r="V27" s="335"/>
      <c r="W27" s="335"/>
      <c r="X27" s="335"/>
      <c r="Y27" s="121"/>
    </row>
    <row r="28" spans="2:26" ht="20.100000000000001" customHeight="1" thickBot="1" x14ac:dyDescent="0.25">
      <c r="B28" s="476"/>
      <c r="C28" s="479" t="s">
        <v>1124</v>
      </c>
      <c r="D28" s="480" t="str">
        <f>CONCATENATE(20*(_Pat_Gewicht/10), " mg")</f>
        <v>0 mg</v>
      </c>
      <c r="E28" s="481" t="str">
        <f>"= "&amp;0.4*(_Pat_Gewicht/10)&amp;" ml van Fenobarbital 50mg/ml oplossing"</f>
        <v>= 0 ml van Fenobarbital 50mg/ml oplossing</v>
      </c>
      <c r="F28" s="481"/>
      <c r="G28" s="482"/>
      <c r="H28" s="38"/>
      <c r="I28" s="38"/>
      <c r="J28" s="335"/>
      <c r="K28" s="335"/>
      <c r="L28" s="335"/>
      <c r="M28" s="335"/>
      <c r="N28" s="335"/>
      <c r="O28" s="335"/>
      <c r="P28" s="335"/>
      <c r="Q28" s="335"/>
      <c r="R28" s="335"/>
      <c r="S28" s="335">
        <v>41</v>
      </c>
      <c r="T28" s="335">
        <v>50</v>
      </c>
      <c r="U28" s="335"/>
      <c r="V28" s="335"/>
      <c r="W28" s="335"/>
      <c r="X28" s="335"/>
      <c r="Y28" s="121"/>
    </row>
    <row r="29" spans="2:26" ht="13.5" customHeight="1" thickBot="1" x14ac:dyDescent="0.25">
      <c r="B29" s="18"/>
      <c r="C29" s="38"/>
      <c r="D29" s="39"/>
      <c r="E29" s="38"/>
      <c r="F29" s="38"/>
      <c r="G29" s="134"/>
      <c r="H29" s="38"/>
      <c r="I29" s="38"/>
      <c r="J29" s="335"/>
      <c r="K29" s="335"/>
      <c r="L29" s="335"/>
      <c r="M29" s="335"/>
      <c r="N29" s="335"/>
      <c r="O29" s="335"/>
      <c r="P29" s="335"/>
      <c r="Q29" s="335"/>
      <c r="R29" s="335"/>
      <c r="S29" s="335">
        <v>42</v>
      </c>
      <c r="T29" s="335">
        <v>50</v>
      </c>
      <c r="U29" s="335"/>
      <c r="V29" s="335"/>
      <c r="W29" s="335"/>
      <c r="X29" s="335"/>
      <c r="Y29" s="121"/>
    </row>
    <row r="30" spans="2:26" ht="19.5" customHeight="1" x14ac:dyDescent="0.2">
      <c r="B30" s="493" t="s">
        <v>729</v>
      </c>
      <c r="C30" s="494" t="s">
        <v>1125</v>
      </c>
      <c r="D30" s="506" t="str">
        <f>CONCATENATE(0.225*(_Pat_Gewicht/10)," (mmol IV)")</f>
        <v>0 (mmol IV)</v>
      </c>
      <c r="E30" s="495" t="str">
        <f>"= "&amp;1*(_Pat_Gewicht/10)&amp;" ml IV van Calcium gluconaat 10%"</f>
        <v>= 0 ml IV van Calcium gluconaat 10%</v>
      </c>
      <c r="F30" s="495"/>
      <c r="G30" s="500"/>
      <c r="H30" s="488"/>
      <c r="I30" s="488"/>
      <c r="J30" s="504"/>
      <c r="K30" s="504"/>
      <c r="L30" s="504"/>
      <c r="M30" s="504"/>
      <c r="N30" s="504"/>
      <c r="O30" s="504"/>
      <c r="P30" s="504"/>
      <c r="Q30" s="504"/>
      <c r="R30" s="504"/>
      <c r="S30" s="504">
        <v>45</v>
      </c>
      <c r="T30" s="504">
        <v>50</v>
      </c>
      <c r="U30" s="504"/>
      <c r="V30" s="504"/>
      <c r="W30" s="504"/>
      <c r="X30" s="504"/>
      <c r="Y30" s="499"/>
      <c r="Z30" s="121"/>
    </row>
    <row r="31" spans="2:26" ht="19.5" customHeight="1" x14ac:dyDescent="0.25">
      <c r="B31" s="493"/>
      <c r="C31" s="492" t="s">
        <v>125</v>
      </c>
      <c r="D31" s="489" t="str">
        <f>CONCATENATE(0.1*(_Pat_Gewicht/10)," mg")</f>
        <v>0 mg</v>
      </c>
      <c r="E31" s="488" t="str">
        <f>"= "&amp;0.1*(_Pat_Gewicht/10)&amp;" ml van Morfine 1mg/1ml oplossing"</f>
        <v>= 0 ml van Morfine 1mg/1ml oplossing</v>
      </c>
      <c r="F31" s="488"/>
      <c r="G31" s="501"/>
      <c r="H31" s="488"/>
      <c r="I31" s="488"/>
      <c r="J31" s="505"/>
      <c r="K31" s="504"/>
      <c r="L31" s="504"/>
      <c r="M31" s="504"/>
      <c r="N31" s="504"/>
      <c r="O31" s="504"/>
      <c r="P31" s="504"/>
      <c r="Q31" s="504"/>
      <c r="R31" s="504"/>
      <c r="S31" s="504">
        <v>46</v>
      </c>
      <c r="T31" s="504">
        <v>50</v>
      </c>
      <c r="U31" s="504"/>
      <c r="V31" s="504"/>
      <c r="W31" s="504"/>
      <c r="X31" s="504"/>
      <c r="Y31" s="499"/>
    </row>
    <row r="32" spans="2:26" ht="19.5" customHeight="1" thickBot="1" x14ac:dyDescent="0.25">
      <c r="B32" s="493"/>
      <c r="C32" s="496" t="s">
        <v>784</v>
      </c>
      <c r="D32" s="497" t="str">
        <f>CONCATENATE(0.6*(_Pat_Gewicht/10)," mg")</f>
        <v>0 mg</v>
      </c>
      <c r="E32" s="498" t="str">
        <f>"= "&amp;0.06*(_Pat_Gewicht/10)&amp;" ml van Rocorium 10mg/1ml oplossing"</f>
        <v>= 0 ml van Rocorium 10mg/1ml oplossing</v>
      </c>
      <c r="F32" s="498"/>
      <c r="G32" s="502"/>
      <c r="H32" s="488"/>
      <c r="I32" s="488"/>
      <c r="J32" s="504"/>
      <c r="K32" s="504"/>
      <c r="L32" s="504"/>
      <c r="M32" s="504"/>
      <c r="N32" s="504"/>
      <c r="O32" s="504"/>
      <c r="P32" s="504"/>
      <c r="Q32" s="504"/>
      <c r="R32" s="504"/>
      <c r="S32" s="504">
        <v>47</v>
      </c>
      <c r="T32" s="504">
        <v>50</v>
      </c>
      <c r="U32" s="504"/>
      <c r="V32" s="504"/>
      <c r="W32" s="504"/>
      <c r="X32" s="504"/>
      <c r="Y32" s="499"/>
    </row>
    <row r="33" spans="2:25" ht="19.5" customHeight="1" x14ac:dyDescent="0.2">
      <c r="B33" s="487"/>
      <c r="C33" s="485"/>
      <c r="D33" s="485"/>
      <c r="E33" s="485"/>
      <c r="F33" s="485"/>
      <c r="G33" s="485"/>
      <c r="H33" s="488"/>
      <c r="I33" s="488"/>
      <c r="J33" s="504"/>
      <c r="K33" s="504"/>
      <c r="L33" s="504"/>
      <c r="M33" s="504"/>
      <c r="N33" s="504"/>
      <c r="O33" s="504"/>
      <c r="P33" s="504"/>
      <c r="Q33" s="504"/>
      <c r="R33" s="504"/>
      <c r="S33" s="504">
        <v>48</v>
      </c>
      <c r="T33" s="504">
        <v>50</v>
      </c>
      <c r="U33" s="504"/>
      <c r="V33" s="504"/>
      <c r="W33" s="504"/>
      <c r="X33" s="504"/>
      <c r="Y33" s="499"/>
    </row>
    <row r="34" spans="2:25" x14ac:dyDescent="0.2">
      <c r="B34" s="487"/>
      <c r="C34" s="488"/>
      <c r="D34" s="489"/>
      <c r="E34" s="488"/>
      <c r="F34" s="488"/>
      <c r="G34" s="503"/>
      <c r="H34" s="488"/>
      <c r="I34" s="488"/>
      <c r="J34" s="504"/>
      <c r="K34" s="504"/>
      <c r="L34" s="504"/>
      <c r="M34" s="504"/>
      <c r="N34" s="504"/>
      <c r="O34" s="504"/>
      <c r="P34" s="504"/>
      <c r="Q34" s="504"/>
      <c r="R34" s="504"/>
      <c r="S34" s="504">
        <v>49</v>
      </c>
      <c r="T34" s="504">
        <v>50</v>
      </c>
      <c r="U34" s="504"/>
      <c r="V34" s="504"/>
      <c r="W34" s="504"/>
      <c r="X34" s="504"/>
      <c r="Y34" s="499"/>
    </row>
    <row r="35" spans="2:25" x14ac:dyDescent="0.2">
      <c r="B35" s="486"/>
      <c r="C35" s="488"/>
      <c r="D35" s="488"/>
      <c r="E35" s="488"/>
      <c r="F35" s="488"/>
      <c r="G35" s="488"/>
      <c r="H35" s="488"/>
      <c r="I35" s="488"/>
      <c r="J35" s="504"/>
      <c r="K35" s="504"/>
      <c r="L35" s="504"/>
      <c r="M35" s="504"/>
      <c r="N35" s="504"/>
      <c r="O35" s="504"/>
      <c r="P35" s="504"/>
      <c r="Q35" s="504"/>
      <c r="R35" s="504"/>
      <c r="S35" s="504">
        <v>50</v>
      </c>
      <c r="T35" s="504">
        <v>50</v>
      </c>
      <c r="U35" s="504">
        <v>50</v>
      </c>
      <c r="V35" s="504"/>
      <c r="W35" s="504"/>
      <c r="X35" s="504"/>
      <c r="Y35" s="499"/>
    </row>
    <row r="36" spans="2:25" x14ac:dyDescent="0.2">
      <c r="B36" s="491" t="s">
        <v>80</v>
      </c>
      <c r="C36" s="490"/>
      <c r="D36" s="488"/>
      <c r="E36" s="488"/>
      <c r="F36" s="488"/>
      <c r="G36" s="488"/>
      <c r="H36" s="488"/>
      <c r="I36" s="488"/>
      <c r="J36" s="504"/>
      <c r="K36" s="504"/>
      <c r="L36" s="504"/>
      <c r="M36" s="504"/>
      <c r="N36" s="504"/>
      <c r="O36" s="504"/>
      <c r="P36" s="504"/>
      <c r="Q36" s="504"/>
      <c r="R36" s="504"/>
      <c r="S36" s="504">
        <v>51</v>
      </c>
      <c r="T36" s="504">
        <v>70</v>
      </c>
      <c r="U36" s="504"/>
      <c r="V36" s="504"/>
      <c r="W36" s="504"/>
      <c r="X36" s="504"/>
      <c r="Y36" s="499"/>
    </row>
    <row r="37" spans="2:25" x14ac:dyDescent="0.2">
      <c r="B37" s="45"/>
      <c r="C37" s="38"/>
      <c r="D37" s="38"/>
      <c r="E37" s="38"/>
      <c r="F37" s="38"/>
      <c r="G37" s="38"/>
      <c r="H37" s="38"/>
      <c r="I37" s="38"/>
      <c r="J37" s="335"/>
      <c r="K37" s="335"/>
      <c r="L37" s="335"/>
      <c r="M37" s="335"/>
      <c r="N37" s="335"/>
      <c r="O37" s="335"/>
      <c r="P37" s="335"/>
      <c r="Q37" s="335"/>
      <c r="R37" s="335"/>
      <c r="S37" s="335">
        <v>50</v>
      </c>
      <c r="T37" s="335">
        <v>50</v>
      </c>
      <c r="U37" s="335">
        <v>50</v>
      </c>
      <c r="V37" s="335"/>
      <c r="W37" s="335"/>
      <c r="X37" s="335"/>
      <c r="Y37" s="121"/>
    </row>
    <row r="38" spans="2:25" x14ac:dyDescent="0.2">
      <c r="B38" s="45"/>
      <c r="C38" s="38"/>
      <c r="D38" s="38"/>
      <c r="E38" s="38"/>
      <c r="F38" s="38"/>
      <c r="G38" s="38"/>
      <c r="H38" s="38"/>
      <c r="I38" s="38"/>
      <c r="J38" s="335"/>
      <c r="K38" s="335"/>
      <c r="L38" s="335"/>
      <c r="M38" s="335"/>
      <c r="N38" s="335"/>
      <c r="O38" s="335"/>
      <c r="P38" s="335"/>
      <c r="Q38" s="335"/>
      <c r="R38" s="335"/>
      <c r="S38" s="335">
        <v>51</v>
      </c>
      <c r="T38" s="335">
        <v>70</v>
      </c>
      <c r="U38" s="335"/>
      <c r="V38" s="335"/>
      <c r="W38" s="335"/>
      <c r="X38" s="335"/>
      <c r="Y38" s="121"/>
    </row>
    <row r="39" spans="2:25" x14ac:dyDescent="0.2">
      <c r="B39" s="45"/>
      <c r="C39" s="38"/>
      <c r="D39" s="38"/>
      <c r="E39" s="38"/>
      <c r="F39" s="38"/>
      <c r="G39" s="38"/>
      <c r="H39" s="38"/>
      <c r="I39" s="38"/>
      <c r="J39" s="335"/>
      <c r="K39" s="335"/>
      <c r="L39" s="335"/>
      <c r="M39" s="335"/>
      <c r="N39" s="335"/>
      <c r="O39" s="335"/>
      <c r="P39" s="335"/>
      <c r="Q39" s="335"/>
      <c r="R39" s="335"/>
      <c r="S39" s="335">
        <v>52</v>
      </c>
      <c r="T39" s="335">
        <v>70</v>
      </c>
      <c r="U39" s="335"/>
      <c r="V39" s="335"/>
      <c r="W39" s="335"/>
      <c r="X39" s="335"/>
      <c r="Y39" s="121"/>
    </row>
    <row r="40" spans="2:25" x14ac:dyDescent="0.2">
      <c r="B40" s="45"/>
      <c r="C40" s="38"/>
      <c r="D40" s="38"/>
      <c r="E40" s="38"/>
      <c r="F40" s="38"/>
      <c r="G40" s="38"/>
      <c r="H40" s="38"/>
      <c r="I40" s="38"/>
      <c r="J40" s="335"/>
      <c r="K40" s="335"/>
      <c r="L40" s="335"/>
      <c r="M40" s="335"/>
      <c r="N40" s="335"/>
      <c r="O40" s="335"/>
      <c r="P40" s="335"/>
      <c r="Q40" s="335"/>
      <c r="R40" s="335"/>
      <c r="S40" s="335">
        <v>53</v>
      </c>
      <c r="T40" s="335">
        <v>70</v>
      </c>
      <c r="U40" s="335"/>
      <c r="V40" s="335"/>
      <c r="W40" s="335"/>
      <c r="X40" s="335"/>
      <c r="Y40" s="121"/>
    </row>
    <row r="41" spans="2:25" x14ac:dyDescent="0.2">
      <c r="B41" s="45"/>
      <c r="C41" s="38"/>
      <c r="D41" s="38"/>
      <c r="E41" s="38"/>
      <c r="F41" s="38"/>
      <c r="G41" s="38"/>
      <c r="H41" s="38"/>
      <c r="I41" s="38"/>
      <c r="J41" s="335"/>
      <c r="K41" s="335"/>
      <c r="L41" s="335"/>
      <c r="M41" s="335"/>
      <c r="N41" s="335"/>
      <c r="O41" s="335"/>
      <c r="P41" s="335"/>
      <c r="Q41" s="335"/>
      <c r="R41" s="335"/>
      <c r="S41" s="335">
        <v>54</v>
      </c>
      <c r="T41" s="335">
        <v>70</v>
      </c>
      <c r="U41" s="335"/>
      <c r="V41" s="335"/>
      <c r="W41" s="335"/>
      <c r="X41" s="335"/>
      <c r="Y41" s="121"/>
    </row>
    <row r="42" spans="2:25" x14ac:dyDescent="0.2">
      <c r="B42" s="45"/>
      <c r="C42" s="38"/>
      <c r="D42" s="38"/>
      <c r="E42" s="38"/>
      <c r="F42" s="38"/>
      <c r="G42" s="38"/>
      <c r="H42" s="38"/>
      <c r="I42" s="38"/>
      <c r="J42" s="335"/>
      <c r="K42" s="335"/>
      <c r="L42" s="335"/>
      <c r="M42" s="335"/>
      <c r="N42" s="335"/>
      <c r="O42" s="335"/>
      <c r="P42" s="335"/>
      <c r="Q42" s="335"/>
      <c r="R42" s="335"/>
      <c r="S42" s="335">
        <v>55</v>
      </c>
      <c r="T42" s="335">
        <v>70</v>
      </c>
      <c r="U42" s="335"/>
      <c r="V42" s="335"/>
      <c r="W42" s="335"/>
      <c r="X42" s="335"/>
      <c r="Y42" s="121"/>
    </row>
    <row r="43" spans="2:25" x14ac:dyDescent="0.2">
      <c r="B43" s="45"/>
      <c r="C43" s="38"/>
      <c r="D43" s="38"/>
      <c r="E43" s="38"/>
      <c r="F43" s="38"/>
      <c r="G43" s="38"/>
      <c r="H43" s="38"/>
      <c r="I43" s="38"/>
      <c r="J43" s="335"/>
      <c r="K43" s="335"/>
      <c r="L43" s="335"/>
      <c r="M43" s="335"/>
      <c r="N43" s="335"/>
      <c r="O43" s="335"/>
      <c r="P43" s="335"/>
      <c r="Q43" s="335"/>
      <c r="R43" s="335"/>
      <c r="S43" s="335">
        <v>56</v>
      </c>
      <c r="T43" s="335">
        <v>70</v>
      </c>
      <c r="U43" s="335"/>
      <c r="V43" s="335"/>
      <c r="W43" s="335"/>
      <c r="X43" s="335"/>
      <c r="Y43" s="121"/>
    </row>
    <row r="44" spans="2:25" x14ac:dyDescent="0.2">
      <c r="B44" s="45"/>
      <c r="C44" s="38"/>
      <c r="D44" s="38"/>
      <c r="E44" s="38"/>
      <c r="F44" s="38"/>
      <c r="G44" s="38"/>
      <c r="H44" s="38"/>
      <c r="I44" s="38"/>
      <c r="J44" s="335"/>
      <c r="K44" s="335"/>
      <c r="L44" s="335"/>
      <c r="M44" s="335"/>
      <c r="N44" s="335"/>
      <c r="O44" s="335"/>
      <c r="P44" s="335"/>
      <c r="Q44" s="335"/>
      <c r="R44" s="335"/>
      <c r="S44" s="335">
        <v>57</v>
      </c>
      <c r="T44" s="335">
        <v>70</v>
      </c>
      <c r="U44" s="335"/>
      <c r="V44" s="335"/>
      <c r="W44" s="335"/>
      <c r="X44" s="335"/>
      <c r="Y44" s="121"/>
    </row>
    <row r="45" spans="2:25" x14ac:dyDescent="0.2">
      <c r="B45" s="45"/>
      <c r="C45" s="38"/>
      <c r="D45" s="38"/>
      <c r="E45" s="38"/>
      <c r="F45" s="38"/>
      <c r="G45" s="38"/>
      <c r="H45" s="38"/>
      <c r="I45" s="38"/>
      <c r="J45" s="335"/>
      <c r="K45" s="335"/>
      <c r="L45" s="335"/>
      <c r="M45" s="335"/>
      <c r="N45" s="335"/>
      <c r="O45" s="335"/>
      <c r="P45" s="335"/>
      <c r="Q45" s="335"/>
      <c r="R45" s="335"/>
      <c r="S45" s="335">
        <v>58</v>
      </c>
      <c r="T45" s="335">
        <v>70</v>
      </c>
      <c r="U45" s="335"/>
      <c r="V45" s="335"/>
      <c r="W45" s="335"/>
      <c r="X45" s="335"/>
      <c r="Y45" s="121"/>
    </row>
    <row r="46" spans="2:25" x14ac:dyDescent="0.2">
      <c r="B46" s="45"/>
      <c r="C46" s="38"/>
      <c r="D46" s="38"/>
      <c r="E46" s="38"/>
      <c r="F46" s="38"/>
      <c r="G46" s="38"/>
      <c r="H46" s="38"/>
      <c r="I46" s="38"/>
      <c r="J46" s="335"/>
      <c r="K46" s="335"/>
      <c r="L46" s="335"/>
      <c r="M46" s="335"/>
      <c r="N46" s="335"/>
      <c r="O46" s="335"/>
      <c r="P46" s="335"/>
      <c r="Q46" s="335"/>
      <c r="R46" s="335"/>
      <c r="S46" s="335">
        <v>59</v>
      </c>
      <c r="T46" s="335">
        <v>70</v>
      </c>
      <c r="U46" s="335"/>
      <c r="V46" s="335"/>
      <c r="W46" s="335"/>
      <c r="X46" s="335"/>
      <c r="Y46" s="121"/>
    </row>
    <row r="47" spans="2:25" x14ac:dyDescent="0.2">
      <c r="B47" s="45"/>
      <c r="C47" s="38"/>
      <c r="D47" s="38"/>
      <c r="E47" s="38"/>
      <c r="F47" s="38"/>
      <c r="G47" s="38"/>
      <c r="H47" s="38"/>
      <c r="I47" s="38"/>
      <c r="J47" s="335"/>
      <c r="K47" s="335"/>
      <c r="L47" s="335"/>
      <c r="M47" s="335"/>
      <c r="N47" s="335"/>
      <c r="O47" s="335"/>
      <c r="P47" s="335"/>
      <c r="Q47" s="335"/>
      <c r="R47" s="335"/>
      <c r="S47" s="335">
        <v>60</v>
      </c>
      <c r="T47" s="335">
        <v>70</v>
      </c>
      <c r="U47" s="335"/>
      <c r="V47" s="335"/>
      <c r="W47" s="335"/>
      <c r="X47" s="335"/>
      <c r="Y47" s="121"/>
    </row>
    <row r="48" spans="2:25" x14ac:dyDescent="0.2">
      <c r="B48" s="45"/>
      <c r="C48" s="38"/>
      <c r="D48" s="38"/>
      <c r="E48" s="38"/>
      <c r="F48" s="38"/>
      <c r="G48" s="38"/>
      <c r="H48" s="38"/>
      <c r="I48" s="38"/>
      <c r="J48" s="335"/>
      <c r="K48" s="335"/>
      <c r="L48" s="335"/>
      <c r="M48" s="335"/>
      <c r="N48" s="335"/>
      <c r="O48" s="335"/>
      <c r="P48" s="335"/>
      <c r="Q48" s="335"/>
      <c r="R48" s="335"/>
      <c r="S48" s="335">
        <v>61</v>
      </c>
      <c r="T48" s="335">
        <v>70</v>
      </c>
      <c r="U48" s="335"/>
      <c r="V48" s="335"/>
      <c r="W48" s="335"/>
      <c r="X48" s="335"/>
      <c r="Y48" s="121"/>
    </row>
    <row r="49" spans="2:25" x14ac:dyDescent="0.2">
      <c r="B49" s="45"/>
      <c r="C49" s="38"/>
      <c r="D49" s="38"/>
      <c r="E49" s="38"/>
      <c r="F49" s="38"/>
      <c r="G49" s="38"/>
      <c r="H49" s="38"/>
      <c r="I49" s="38"/>
      <c r="J49" s="335"/>
      <c r="K49" s="335"/>
      <c r="L49" s="335"/>
      <c r="M49" s="335"/>
      <c r="N49" s="335"/>
      <c r="O49" s="335"/>
      <c r="P49" s="335"/>
      <c r="Q49" s="335"/>
      <c r="R49" s="335"/>
      <c r="S49" s="335">
        <v>62</v>
      </c>
      <c r="T49" s="335">
        <v>70</v>
      </c>
      <c r="U49" s="335"/>
      <c r="V49" s="335"/>
      <c r="W49" s="335"/>
      <c r="X49" s="335"/>
      <c r="Y49" s="121"/>
    </row>
    <row r="50" spans="2:25" x14ac:dyDescent="0.2">
      <c r="B50" s="45"/>
      <c r="C50" s="38"/>
      <c r="D50" s="38"/>
      <c r="E50" s="38"/>
      <c r="F50" s="38"/>
      <c r="G50" s="38"/>
      <c r="H50" s="38"/>
      <c r="I50" s="38"/>
      <c r="J50" s="335"/>
      <c r="K50" s="335"/>
      <c r="L50" s="335"/>
      <c r="M50" s="335"/>
      <c r="N50" s="335"/>
      <c r="O50" s="335"/>
      <c r="P50" s="335"/>
      <c r="Q50" s="335"/>
      <c r="R50" s="335"/>
      <c r="S50" s="335">
        <v>63</v>
      </c>
      <c r="T50" s="335">
        <v>70</v>
      </c>
      <c r="U50" s="335"/>
      <c r="V50" s="335"/>
      <c r="W50" s="335"/>
      <c r="X50" s="335"/>
      <c r="Y50" s="121"/>
    </row>
    <row r="51" spans="2:25" x14ac:dyDescent="0.2">
      <c r="B51" s="45"/>
      <c r="C51" s="38"/>
      <c r="D51" s="38"/>
      <c r="E51" s="38"/>
      <c r="F51" s="38"/>
      <c r="G51" s="38"/>
      <c r="H51" s="38"/>
      <c r="I51" s="38"/>
      <c r="J51" s="335"/>
      <c r="K51" s="335"/>
      <c r="L51" s="335"/>
      <c r="M51" s="335"/>
      <c r="N51" s="335"/>
      <c r="O51" s="335"/>
      <c r="P51" s="335"/>
      <c r="Q51" s="335"/>
      <c r="R51" s="335"/>
      <c r="S51" s="335">
        <v>64</v>
      </c>
      <c r="T51" s="335">
        <v>70</v>
      </c>
      <c r="U51" s="335"/>
      <c r="V51" s="335"/>
      <c r="W51" s="335"/>
      <c r="X51" s="335"/>
      <c r="Y51" s="121"/>
    </row>
    <row r="52" spans="2:25" x14ac:dyDescent="0.2">
      <c r="B52" s="45"/>
      <c r="C52" s="38"/>
      <c r="D52" s="38"/>
      <c r="E52" s="38"/>
      <c r="F52" s="38"/>
      <c r="G52" s="38"/>
      <c r="H52" s="38"/>
      <c r="I52" s="38"/>
      <c r="J52" s="335"/>
      <c r="K52" s="335"/>
      <c r="L52" s="335"/>
      <c r="M52" s="335"/>
      <c r="N52" s="335"/>
      <c r="O52" s="335"/>
      <c r="P52" s="335"/>
      <c r="Q52" s="335"/>
      <c r="R52" s="335"/>
      <c r="S52" s="335">
        <v>65</v>
      </c>
      <c r="T52" s="335">
        <v>70</v>
      </c>
      <c r="U52" s="335"/>
      <c r="V52" s="335"/>
      <c r="W52" s="335"/>
      <c r="X52" s="335"/>
      <c r="Y52" s="121"/>
    </row>
    <row r="53" spans="2:25" x14ac:dyDescent="0.2">
      <c r="B53" s="45"/>
      <c r="C53" s="38"/>
      <c r="D53" s="38"/>
      <c r="E53" s="38"/>
      <c r="F53" s="38"/>
      <c r="G53" s="38"/>
      <c r="H53" s="38"/>
      <c r="I53" s="38"/>
      <c r="J53" s="335"/>
      <c r="K53" s="335"/>
      <c r="L53" s="335"/>
      <c r="M53" s="335"/>
      <c r="N53" s="335"/>
      <c r="O53" s="335"/>
      <c r="P53" s="335"/>
      <c r="Q53" s="335"/>
      <c r="R53" s="335"/>
      <c r="S53" s="335">
        <v>66</v>
      </c>
      <c r="T53" s="335">
        <v>70</v>
      </c>
      <c r="U53" s="335"/>
      <c r="V53" s="335"/>
      <c r="W53" s="335"/>
      <c r="X53" s="335"/>
      <c r="Y53" s="121"/>
    </row>
    <row r="54" spans="2:25" x14ac:dyDescent="0.2">
      <c r="B54" s="45"/>
      <c r="C54" s="38"/>
      <c r="D54" s="38"/>
      <c r="E54" s="38"/>
      <c r="F54" s="38"/>
      <c r="G54" s="38"/>
      <c r="H54" s="38"/>
      <c r="I54" s="38"/>
      <c r="J54" s="335"/>
      <c r="K54" s="335"/>
      <c r="L54" s="335"/>
      <c r="M54" s="335"/>
      <c r="N54" s="335"/>
      <c r="O54" s="335"/>
      <c r="P54" s="335"/>
      <c r="Q54" s="335"/>
      <c r="R54" s="335"/>
      <c r="S54" s="335">
        <v>67</v>
      </c>
      <c r="T54" s="335">
        <v>70</v>
      </c>
      <c r="U54" s="335"/>
      <c r="V54" s="335"/>
      <c r="W54" s="335"/>
      <c r="X54" s="335"/>
      <c r="Y54" s="121"/>
    </row>
    <row r="55" spans="2:25" x14ac:dyDescent="0.2">
      <c r="B55" s="45"/>
      <c r="C55" s="38"/>
      <c r="D55" s="38"/>
      <c r="E55" s="38"/>
      <c r="F55" s="38"/>
      <c r="G55" s="38"/>
      <c r="H55" s="38"/>
      <c r="I55" s="38"/>
      <c r="J55" s="335"/>
      <c r="K55" s="335"/>
      <c r="L55" s="335"/>
      <c r="M55" s="335"/>
      <c r="N55" s="335"/>
      <c r="O55" s="335"/>
      <c r="P55" s="335"/>
      <c r="Q55" s="335"/>
      <c r="R55" s="335"/>
      <c r="S55" s="335">
        <v>68</v>
      </c>
      <c r="T55" s="335">
        <v>70</v>
      </c>
      <c r="U55" s="335"/>
      <c r="V55" s="335"/>
      <c r="W55" s="335"/>
      <c r="X55" s="335"/>
      <c r="Y55" s="121"/>
    </row>
    <row r="56" spans="2:25" x14ac:dyDescent="0.2">
      <c r="B56" s="45"/>
      <c r="C56" s="38"/>
      <c r="D56" s="38"/>
      <c r="E56" s="38"/>
      <c r="F56" s="38"/>
      <c r="G56" s="38"/>
      <c r="H56" s="38"/>
      <c r="I56" s="38"/>
      <c r="J56" s="335"/>
      <c r="K56" s="335"/>
      <c r="L56" s="335"/>
      <c r="M56" s="335"/>
      <c r="N56" s="335"/>
      <c r="O56" s="335"/>
      <c r="P56" s="335"/>
      <c r="Q56" s="335"/>
      <c r="R56" s="335"/>
      <c r="S56" s="335">
        <v>69</v>
      </c>
      <c r="T56" s="335">
        <v>70</v>
      </c>
      <c r="U56" s="335"/>
      <c r="V56" s="335"/>
      <c r="W56" s="335"/>
      <c r="X56" s="335"/>
      <c r="Y56" s="121"/>
    </row>
    <row r="57" spans="2:25" x14ac:dyDescent="0.2">
      <c r="B57" s="45"/>
      <c r="C57" s="38"/>
      <c r="D57" s="38"/>
      <c r="E57" s="38"/>
      <c r="F57" s="38"/>
      <c r="G57" s="38"/>
      <c r="H57" s="38"/>
      <c r="I57" s="38"/>
      <c r="J57" s="335"/>
      <c r="K57" s="335"/>
      <c r="L57" s="335"/>
      <c r="M57" s="335"/>
      <c r="N57" s="335"/>
      <c r="O57" s="335"/>
      <c r="P57" s="335"/>
      <c r="Q57" s="335"/>
      <c r="R57" s="335"/>
      <c r="S57" s="335">
        <v>70</v>
      </c>
      <c r="T57" s="335">
        <v>70</v>
      </c>
      <c r="U57" s="335">
        <v>70</v>
      </c>
      <c r="V57" s="335"/>
      <c r="W57" s="335"/>
      <c r="X57" s="335"/>
      <c r="Y57" s="121"/>
    </row>
    <row r="58" spans="2:25" x14ac:dyDescent="0.2">
      <c r="B58" s="45"/>
      <c r="C58" s="38"/>
      <c r="D58" s="38"/>
      <c r="E58" s="38"/>
      <c r="F58" s="38"/>
      <c r="G58" s="38"/>
      <c r="H58" s="38"/>
      <c r="I58" s="38"/>
      <c r="J58" s="335"/>
      <c r="K58" s="335"/>
      <c r="L58" s="335"/>
      <c r="M58" s="335"/>
      <c r="N58" s="335"/>
      <c r="O58" s="335"/>
      <c r="P58" s="335"/>
      <c r="Q58" s="335"/>
      <c r="R58" s="335"/>
      <c r="S58" s="335">
        <v>71</v>
      </c>
      <c r="T58" s="335">
        <v>100</v>
      </c>
      <c r="U58" s="335"/>
      <c r="V58" s="335"/>
      <c r="W58" s="335"/>
      <c r="X58" s="335"/>
      <c r="Y58" s="121"/>
    </row>
    <row r="59" spans="2:25" x14ac:dyDescent="0.2">
      <c r="B59" s="45"/>
      <c r="C59" s="38"/>
      <c r="D59" s="38"/>
      <c r="E59" s="38"/>
      <c r="F59" s="38"/>
      <c r="G59" s="38"/>
      <c r="H59" s="38"/>
      <c r="I59" s="38"/>
      <c r="J59" s="335"/>
      <c r="K59" s="335"/>
      <c r="L59" s="335"/>
      <c r="M59" s="335"/>
      <c r="N59" s="335"/>
      <c r="O59" s="335"/>
      <c r="P59" s="335"/>
      <c r="Q59" s="335"/>
      <c r="R59" s="335"/>
      <c r="S59" s="335">
        <v>72</v>
      </c>
      <c r="T59" s="335">
        <v>100</v>
      </c>
      <c r="U59" s="335"/>
      <c r="V59" s="335"/>
      <c r="W59" s="335"/>
      <c r="X59" s="335"/>
      <c r="Y59" s="121"/>
    </row>
    <row r="60" spans="2:25" x14ac:dyDescent="0.2">
      <c r="B60" s="45"/>
      <c r="C60" s="38"/>
      <c r="D60" s="38"/>
      <c r="E60" s="38"/>
      <c r="F60" s="38"/>
      <c r="G60" s="38"/>
      <c r="H60" s="38"/>
      <c r="I60" s="38"/>
      <c r="J60" s="335"/>
      <c r="K60" s="335"/>
      <c r="L60" s="335"/>
      <c r="M60" s="335"/>
      <c r="N60" s="335"/>
      <c r="O60" s="335"/>
      <c r="P60" s="335"/>
      <c r="Q60" s="335"/>
      <c r="R60" s="335"/>
      <c r="S60" s="335">
        <v>73</v>
      </c>
      <c r="T60" s="335">
        <v>100</v>
      </c>
      <c r="U60" s="335"/>
      <c r="V60" s="335"/>
      <c r="W60" s="335"/>
      <c r="X60" s="335"/>
      <c r="Y60" s="121"/>
    </row>
    <row r="61" spans="2:25" x14ac:dyDescent="0.2">
      <c r="B61" s="45"/>
      <c r="C61" s="38"/>
      <c r="D61" s="38"/>
      <c r="E61" s="38"/>
      <c r="F61" s="38"/>
      <c r="G61" s="38"/>
      <c r="H61" s="38"/>
      <c r="I61" s="38"/>
      <c r="J61" s="335"/>
      <c r="K61" s="335"/>
      <c r="L61" s="335"/>
      <c r="M61" s="335"/>
      <c r="N61" s="335"/>
      <c r="O61" s="335"/>
      <c r="P61" s="335"/>
      <c r="Q61" s="335"/>
      <c r="R61" s="335"/>
      <c r="S61" s="335">
        <v>74</v>
      </c>
      <c r="T61" s="335">
        <v>100</v>
      </c>
      <c r="U61" s="335"/>
      <c r="V61" s="335"/>
      <c r="W61" s="335"/>
      <c r="X61" s="335"/>
      <c r="Y61" s="121"/>
    </row>
    <row r="62" spans="2:25" x14ac:dyDescent="0.2">
      <c r="B62" s="45"/>
      <c r="C62" s="38"/>
      <c r="D62" s="38"/>
      <c r="E62" s="38"/>
      <c r="F62" s="38"/>
      <c r="G62" s="38"/>
      <c r="H62" s="38"/>
      <c r="I62" s="38"/>
      <c r="J62" s="335"/>
      <c r="K62" s="335"/>
      <c r="L62" s="335"/>
      <c r="M62" s="335"/>
      <c r="N62" s="335"/>
      <c r="O62" s="335"/>
      <c r="P62" s="335"/>
      <c r="Q62" s="335"/>
      <c r="R62" s="335"/>
      <c r="S62" s="335">
        <v>75</v>
      </c>
      <c r="T62" s="335">
        <v>100</v>
      </c>
      <c r="U62" s="335"/>
      <c r="V62" s="335"/>
      <c r="W62" s="335"/>
      <c r="X62" s="335"/>
      <c r="Y62" s="121"/>
    </row>
    <row r="63" spans="2:25" x14ac:dyDescent="0.2">
      <c r="B63" s="45"/>
      <c r="C63" s="38"/>
      <c r="D63" s="38"/>
      <c r="E63" s="38"/>
      <c r="F63" s="38"/>
      <c r="G63" s="38"/>
      <c r="H63" s="38"/>
      <c r="I63" s="38"/>
      <c r="J63" s="335"/>
      <c r="K63" s="335"/>
      <c r="L63" s="335"/>
      <c r="M63" s="335"/>
      <c r="N63" s="335"/>
      <c r="O63" s="335"/>
      <c r="P63" s="335"/>
      <c r="Q63" s="335"/>
      <c r="R63" s="335"/>
      <c r="S63" s="335">
        <v>76</v>
      </c>
      <c r="T63" s="335">
        <v>100</v>
      </c>
      <c r="U63" s="335"/>
      <c r="V63" s="335"/>
      <c r="W63" s="335"/>
      <c r="X63" s="335"/>
      <c r="Y63" s="121"/>
    </row>
    <row r="64" spans="2:25" x14ac:dyDescent="0.2">
      <c r="H64" s="38"/>
      <c r="I64" s="38"/>
      <c r="J64" s="335"/>
      <c r="K64" s="335"/>
      <c r="L64" s="335"/>
      <c r="M64" s="335"/>
      <c r="N64" s="335"/>
      <c r="O64" s="335"/>
      <c r="P64" s="335"/>
      <c r="Q64" s="335"/>
      <c r="R64" s="335"/>
      <c r="S64" s="335">
        <v>77</v>
      </c>
      <c r="T64" s="335">
        <v>100</v>
      </c>
      <c r="U64" s="335"/>
      <c r="V64" s="335"/>
      <c r="W64" s="335"/>
      <c r="X64" s="335"/>
      <c r="Y64" s="121"/>
    </row>
    <row r="65" spans="10:25" x14ac:dyDescent="0.2">
      <c r="J65" s="335"/>
      <c r="K65" s="335"/>
      <c r="L65" s="335"/>
      <c r="M65" s="335"/>
      <c r="N65" s="335"/>
      <c r="O65" s="335"/>
      <c r="P65" s="335"/>
      <c r="Q65" s="335"/>
      <c r="R65" s="335"/>
      <c r="S65" s="335">
        <v>78</v>
      </c>
      <c r="T65" s="335">
        <v>100</v>
      </c>
      <c r="U65" s="335"/>
      <c r="V65" s="335"/>
      <c r="W65" s="335"/>
      <c r="X65" s="335"/>
      <c r="Y65" s="121"/>
    </row>
    <row r="66" spans="10:25" x14ac:dyDescent="0.2">
      <c r="J66" s="335"/>
      <c r="K66" s="335"/>
      <c r="L66" s="335"/>
      <c r="M66" s="335"/>
      <c r="N66" s="335"/>
      <c r="O66" s="335"/>
      <c r="P66" s="335"/>
      <c r="Q66" s="335"/>
      <c r="R66" s="335"/>
      <c r="S66" s="335">
        <v>79</v>
      </c>
      <c r="T66" s="335">
        <v>100</v>
      </c>
      <c r="U66" s="335"/>
      <c r="V66" s="335"/>
      <c r="W66" s="335"/>
      <c r="X66" s="335"/>
      <c r="Y66" s="121"/>
    </row>
    <row r="67" spans="10:25" x14ac:dyDescent="0.2">
      <c r="J67" s="335"/>
      <c r="K67" s="335"/>
      <c r="L67" s="335"/>
      <c r="M67" s="335"/>
      <c r="N67" s="335"/>
      <c r="O67" s="335"/>
      <c r="P67" s="335"/>
      <c r="Q67" s="335"/>
      <c r="R67" s="335"/>
      <c r="S67" s="335">
        <v>80</v>
      </c>
      <c r="T67" s="335">
        <v>100</v>
      </c>
      <c r="U67" s="335"/>
      <c r="V67" s="335"/>
      <c r="W67" s="335"/>
      <c r="X67" s="335"/>
      <c r="Y67" s="121"/>
    </row>
    <row r="68" spans="10:25" x14ac:dyDescent="0.2">
      <c r="J68" s="335"/>
      <c r="K68" s="335"/>
      <c r="L68" s="335"/>
      <c r="M68" s="335"/>
      <c r="N68" s="335"/>
      <c r="O68" s="335"/>
      <c r="P68" s="335"/>
      <c r="Q68" s="335"/>
      <c r="R68" s="335"/>
      <c r="S68" s="335">
        <v>81</v>
      </c>
      <c r="T68" s="335">
        <v>100</v>
      </c>
      <c r="U68" s="335"/>
      <c r="V68" s="335"/>
      <c r="W68" s="335"/>
      <c r="X68" s="335"/>
      <c r="Y68" s="121"/>
    </row>
    <row r="69" spans="10:25" x14ac:dyDescent="0.2">
      <c r="J69" s="335"/>
      <c r="K69" s="335"/>
      <c r="L69" s="335"/>
      <c r="M69" s="335"/>
      <c r="N69" s="335"/>
      <c r="O69" s="335"/>
      <c r="P69" s="335"/>
      <c r="Q69" s="335"/>
      <c r="R69" s="335"/>
      <c r="S69" s="335">
        <v>82</v>
      </c>
      <c r="T69" s="335">
        <v>100</v>
      </c>
      <c r="U69" s="335"/>
      <c r="V69" s="335"/>
      <c r="W69" s="335"/>
      <c r="X69" s="335"/>
      <c r="Y69" s="121"/>
    </row>
    <row r="70" spans="10:25" x14ac:dyDescent="0.2">
      <c r="J70" s="335"/>
      <c r="K70" s="335"/>
      <c r="L70" s="335"/>
      <c r="M70" s="335"/>
      <c r="N70" s="335"/>
      <c r="O70" s="335"/>
      <c r="P70" s="335"/>
      <c r="Q70" s="335"/>
      <c r="R70" s="335"/>
      <c r="S70" s="335">
        <v>83</v>
      </c>
      <c r="T70" s="335">
        <v>100</v>
      </c>
      <c r="U70" s="335"/>
      <c r="V70" s="335"/>
      <c r="W70" s="335"/>
      <c r="X70" s="335"/>
      <c r="Y70" s="121"/>
    </row>
    <row r="71" spans="10:25" x14ac:dyDescent="0.2">
      <c r="J71" s="335"/>
      <c r="K71" s="335"/>
      <c r="L71" s="335"/>
      <c r="M71" s="335"/>
      <c r="N71" s="335"/>
      <c r="O71" s="335"/>
      <c r="P71" s="335"/>
      <c r="Q71" s="335"/>
      <c r="R71" s="335"/>
      <c r="S71" s="335">
        <v>84</v>
      </c>
      <c r="T71" s="335">
        <v>100</v>
      </c>
      <c r="U71" s="335"/>
      <c r="V71" s="335"/>
      <c r="W71" s="335"/>
      <c r="X71" s="335"/>
      <c r="Y71" s="121"/>
    </row>
    <row r="72" spans="10:25" x14ac:dyDescent="0.2">
      <c r="J72" s="335"/>
      <c r="K72" s="335"/>
      <c r="L72" s="335"/>
      <c r="M72" s="335"/>
      <c r="N72" s="335"/>
      <c r="O72" s="335"/>
      <c r="P72" s="335"/>
      <c r="Q72" s="335"/>
      <c r="R72" s="335"/>
      <c r="S72" s="335">
        <v>85</v>
      </c>
      <c r="T72" s="335">
        <v>100</v>
      </c>
      <c r="U72" s="335"/>
      <c r="V72" s="335"/>
      <c r="W72" s="335"/>
      <c r="X72" s="335"/>
      <c r="Y72" s="121"/>
    </row>
    <row r="73" spans="10:25" x14ac:dyDescent="0.2">
      <c r="J73" s="335"/>
      <c r="K73" s="335"/>
      <c r="L73" s="335"/>
      <c r="M73" s="335"/>
      <c r="N73" s="335"/>
      <c r="O73" s="335"/>
      <c r="P73" s="335"/>
      <c r="Q73" s="335"/>
      <c r="R73" s="335"/>
      <c r="S73" s="335">
        <v>86</v>
      </c>
      <c r="T73" s="335">
        <v>100</v>
      </c>
      <c r="U73" s="335"/>
      <c r="V73" s="335"/>
      <c r="W73" s="335"/>
      <c r="X73" s="335"/>
      <c r="Y73" s="121"/>
    </row>
    <row r="74" spans="10:25" x14ac:dyDescent="0.2">
      <c r="J74" s="335"/>
      <c r="K74" s="335"/>
      <c r="L74" s="335"/>
      <c r="M74" s="335"/>
      <c r="N74" s="335"/>
      <c r="O74" s="335"/>
      <c r="P74" s="335"/>
      <c r="Q74" s="335"/>
      <c r="R74" s="335"/>
      <c r="S74" s="335">
        <v>87</v>
      </c>
      <c r="T74" s="335">
        <v>100</v>
      </c>
      <c r="U74" s="335"/>
      <c r="V74" s="335"/>
      <c r="W74" s="335"/>
      <c r="X74" s="335"/>
      <c r="Y74" s="121"/>
    </row>
    <row r="75" spans="10:25" x14ac:dyDescent="0.2">
      <c r="J75" s="335"/>
      <c r="K75" s="335"/>
      <c r="L75" s="335"/>
      <c r="M75" s="335"/>
      <c r="N75" s="335"/>
      <c r="O75" s="335"/>
      <c r="P75" s="335"/>
      <c r="Q75" s="335"/>
      <c r="R75" s="335"/>
      <c r="S75" s="335">
        <v>88</v>
      </c>
      <c r="T75" s="335">
        <v>100</v>
      </c>
      <c r="U75" s="335"/>
      <c r="V75" s="335"/>
      <c r="W75" s="335"/>
      <c r="X75" s="335"/>
      <c r="Y75" s="121"/>
    </row>
    <row r="76" spans="10:25" x14ac:dyDescent="0.2">
      <c r="J76" s="335"/>
      <c r="K76" s="335"/>
      <c r="L76" s="335"/>
      <c r="M76" s="335"/>
      <c r="N76" s="335"/>
      <c r="O76" s="335"/>
      <c r="P76" s="335"/>
      <c r="Q76" s="335"/>
      <c r="R76" s="335"/>
      <c r="S76" s="335">
        <v>89</v>
      </c>
      <c r="T76" s="335">
        <v>100</v>
      </c>
      <c r="U76" s="335"/>
      <c r="V76" s="335"/>
      <c r="W76" s="335"/>
      <c r="X76" s="335"/>
      <c r="Y76" s="121"/>
    </row>
    <row r="77" spans="10:25" x14ac:dyDescent="0.2">
      <c r="J77" s="335"/>
      <c r="K77" s="335"/>
      <c r="L77" s="335"/>
      <c r="M77" s="335"/>
      <c r="N77" s="335"/>
      <c r="O77" s="335"/>
      <c r="P77" s="335"/>
      <c r="Q77" s="335"/>
      <c r="R77" s="335"/>
      <c r="S77" s="335">
        <v>90</v>
      </c>
      <c r="T77" s="335">
        <v>100</v>
      </c>
      <c r="U77" s="335"/>
      <c r="V77" s="335"/>
      <c r="W77" s="335"/>
      <c r="X77" s="335"/>
      <c r="Y77" s="121"/>
    </row>
    <row r="78" spans="10:25" x14ac:dyDescent="0.2">
      <c r="J78" s="335"/>
      <c r="K78" s="335"/>
      <c r="L78" s="335"/>
      <c r="M78" s="335"/>
      <c r="N78" s="335"/>
      <c r="O78" s="335"/>
      <c r="P78" s="335"/>
      <c r="Q78" s="335"/>
      <c r="R78" s="335"/>
      <c r="S78" s="335">
        <v>91</v>
      </c>
      <c r="T78" s="335">
        <v>100</v>
      </c>
      <c r="U78" s="335"/>
      <c r="V78" s="335"/>
      <c r="W78" s="335"/>
      <c r="X78" s="335"/>
      <c r="Y78" s="121"/>
    </row>
    <row r="79" spans="10:25" x14ac:dyDescent="0.2">
      <c r="J79" s="335"/>
      <c r="K79" s="335"/>
      <c r="L79" s="335"/>
      <c r="M79" s="335"/>
      <c r="N79" s="335"/>
      <c r="O79" s="335"/>
      <c r="P79" s="335"/>
      <c r="Q79" s="335"/>
      <c r="R79" s="335"/>
      <c r="S79" s="335">
        <v>92</v>
      </c>
      <c r="T79" s="335">
        <v>100</v>
      </c>
      <c r="U79" s="335"/>
      <c r="V79" s="335"/>
      <c r="W79" s="335"/>
      <c r="X79" s="335"/>
      <c r="Y79" s="121"/>
    </row>
    <row r="80" spans="10:25" x14ac:dyDescent="0.2">
      <c r="J80" s="335"/>
      <c r="K80" s="335"/>
      <c r="L80" s="335"/>
      <c r="M80" s="335"/>
      <c r="N80" s="335"/>
      <c r="O80" s="335"/>
      <c r="P80" s="335"/>
      <c r="Q80" s="335"/>
      <c r="R80" s="335"/>
      <c r="S80" s="335">
        <v>93</v>
      </c>
      <c r="T80" s="335">
        <v>100</v>
      </c>
      <c r="U80" s="335"/>
      <c r="V80" s="335"/>
      <c r="W80" s="335"/>
      <c r="X80" s="335"/>
      <c r="Y80" s="121"/>
    </row>
    <row r="81" spans="10:25" x14ac:dyDescent="0.2">
      <c r="J81" s="335"/>
      <c r="K81" s="335"/>
      <c r="L81" s="335"/>
      <c r="M81" s="335"/>
      <c r="N81" s="335"/>
      <c r="O81" s="335"/>
      <c r="P81" s="335"/>
      <c r="Q81" s="335"/>
      <c r="R81" s="335"/>
      <c r="S81" s="335">
        <v>94</v>
      </c>
      <c r="T81" s="335">
        <v>100</v>
      </c>
      <c r="U81" s="335"/>
      <c r="V81" s="335"/>
      <c r="W81" s="335"/>
      <c r="X81" s="335"/>
      <c r="Y81" s="121"/>
    </row>
    <row r="82" spans="10:25" x14ac:dyDescent="0.2">
      <c r="J82" s="335"/>
      <c r="K82" s="335"/>
      <c r="L82" s="335"/>
      <c r="M82" s="335"/>
      <c r="N82" s="335"/>
      <c r="O82" s="335"/>
      <c r="P82" s="335"/>
      <c r="Q82" s="335"/>
      <c r="R82" s="335"/>
      <c r="S82" s="335">
        <v>95</v>
      </c>
      <c r="T82" s="335">
        <v>100</v>
      </c>
      <c r="U82" s="335"/>
      <c r="V82" s="335"/>
      <c r="W82" s="335"/>
      <c r="X82" s="335"/>
      <c r="Y82" s="121"/>
    </row>
    <row r="83" spans="10:25" x14ac:dyDescent="0.2">
      <c r="J83" s="335"/>
      <c r="K83" s="335"/>
      <c r="L83" s="335"/>
      <c r="M83" s="335"/>
      <c r="N83" s="335"/>
      <c r="O83" s="335"/>
      <c r="P83" s="335"/>
      <c r="Q83" s="335"/>
      <c r="R83" s="335"/>
      <c r="S83" s="335">
        <v>96</v>
      </c>
      <c r="T83" s="335">
        <v>100</v>
      </c>
      <c r="U83" s="335"/>
      <c r="V83" s="335"/>
      <c r="W83" s="335"/>
      <c r="X83" s="335"/>
      <c r="Y83" s="121"/>
    </row>
    <row r="84" spans="10:25" x14ac:dyDescent="0.2">
      <c r="J84" s="335"/>
      <c r="K84" s="335"/>
      <c r="L84" s="335"/>
      <c r="M84" s="335"/>
      <c r="N84" s="335"/>
      <c r="O84" s="335"/>
      <c r="P84" s="335"/>
      <c r="Q84" s="335"/>
      <c r="R84" s="335"/>
      <c r="S84" s="335">
        <v>97</v>
      </c>
      <c r="T84" s="335">
        <v>100</v>
      </c>
      <c r="U84" s="335"/>
      <c r="V84" s="335"/>
      <c r="W84" s="335"/>
      <c r="X84" s="335"/>
      <c r="Y84" s="121"/>
    </row>
    <row r="85" spans="10:25" x14ac:dyDescent="0.2">
      <c r="J85" s="335"/>
      <c r="K85" s="335"/>
      <c r="L85" s="335"/>
      <c r="M85" s="335"/>
      <c r="N85" s="335"/>
      <c r="O85" s="335"/>
      <c r="P85" s="335"/>
      <c r="Q85" s="335"/>
      <c r="R85" s="335"/>
      <c r="S85" s="335">
        <v>98</v>
      </c>
      <c r="T85" s="335">
        <v>100</v>
      </c>
      <c r="U85" s="335"/>
      <c r="V85" s="335"/>
      <c r="W85" s="335"/>
      <c r="X85" s="335"/>
      <c r="Y85" s="121"/>
    </row>
    <row r="86" spans="10:25" x14ac:dyDescent="0.2">
      <c r="J86" s="335"/>
      <c r="K86" s="335"/>
      <c r="L86" s="335"/>
      <c r="M86" s="335"/>
      <c r="N86" s="335"/>
      <c r="O86" s="335"/>
      <c r="P86" s="335"/>
      <c r="Q86" s="335"/>
      <c r="R86" s="335"/>
      <c r="S86" s="335">
        <v>99</v>
      </c>
      <c r="T86" s="335">
        <v>100</v>
      </c>
      <c r="U86" s="335"/>
      <c r="V86" s="335"/>
      <c r="W86" s="335"/>
      <c r="X86" s="335"/>
      <c r="Y86" s="121"/>
    </row>
    <row r="87" spans="10:25" x14ac:dyDescent="0.2">
      <c r="J87" s="335"/>
      <c r="K87" s="335"/>
      <c r="L87" s="335"/>
      <c r="M87" s="335"/>
      <c r="N87" s="335"/>
      <c r="O87" s="335"/>
      <c r="P87" s="335"/>
      <c r="Q87" s="335"/>
      <c r="R87" s="335"/>
      <c r="S87" s="335">
        <v>100</v>
      </c>
      <c r="T87" s="335">
        <v>100</v>
      </c>
      <c r="U87" s="335">
        <v>100</v>
      </c>
      <c r="V87" s="335"/>
      <c r="W87" s="335"/>
      <c r="X87" s="335"/>
      <c r="Y87" s="121"/>
    </row>
    <row r="88" spans="10:25" x14ac:dyDescent="0.2">
      <c r="J88" s="335"/>
      <c r="K88" s="335"/>
      <c r="L88" s="335"/>
      <c r="M88" s="335"/>
      <c r="N88" s="335"/>
      <c r="O88" s="335"/>
      <c r="P88" s="335"/>
      <c r="Q88" s="335"/>
      <c r="R88" s="335"/>
      <c r="S88" s="335">
        <v>101</v>
      </c>
      <c r="T88" s="335">
        <v>150</v>
      </c>
      <c r="U88" s="335"/>
      <c r="V88" s="335"/>
      <c r="W88" s="335"/>
      <c r="X88" s="335"/>
      <c r="Y88" s="121"/>
    </row>
    <row r="89" spans="10:25" x14ac:dyDescent="0.2">
      <c r="J89" s="335"/>
      <c r="K89" s="335"/>
      <c r="L89" s="335"/>
      <c r="M89" s="335"/>
      <c r="N89" s="335"/>
      <c r="O89" s="335"/>
      <c r="P89" s="335"/>
      <c r="Q89" s="335"/>
      <c r="R89" s="335"/>
      <c r="S89" s="335">
        <v>102</v>
      </c>
      <c r="T89" s="335">
        <v>150</v>
      </c>
      <c r="U89" s="335"/>
      <c r="V89" s="335"/>
      <c r="W89" s="335"/>
      <c r="X89" s="335"/>
      <c r="Y89" s="121"/>
    </row>
    <row r="90" spans="10:25" x14ac:dyDescent="0.2">
      <c r="J90" s="335"/>
      <c r="K90" s="335"/>
      <c r="L90" s="335"/>
      <c r="M90" s="335"/>
      <c r="N90" s="335"/>
      <c r="O90" s="335"/>
      <c r="P90" s="335"/>
      <c r="Q90" s="335"/>
      <c r="R90" s="335"/>
      <c r="S90" s="335">
        <v>103</v>
      </c>
      <c r="T90" s="335">
        <v>150</v>
      </c>
      <c r="U90" s="335"/>
      <c r="V90" s="335"/>
      <c r="W90" s="335"/>
      <c r="X90" s="335"/>
      <c r="Y90" s="121"/>
    </row>
    <row r="91" spans="10:25" x14ac:dyDescent="0.2">
      <c r="J91" s="335"/>
      <c r="K91" s="335"/>
      <c r="L91" s="335"/>
      <c r="M91" s="335"/>
      <c r="N91" s="335"/>
      <c r="O91" s="335"/>
      <c r="P91" s="335"/>
      <c r="Q91" s="335"/>
      <c r="R91" s="335"/>
      <c r="S91" s="335">
        <v>104</v>
      </c>
      <c r="T91" s="335">
        <v>150</v>
      </c>
      <c r="U91" s="335"/>
      <c r="V91" s="335"/>
      <c r="W91" s="335"/>
      <c r="X91" s="335"/>
      <c r="Y91" s="121"/>
    </row>
    <row r="92" spans="10:25" x14ac:dyDescent="0.2">
      <c r="J92" s="335"/>
      <c r="K92" s="335"/>
      <c r="L92" s="335"/>
      <c r="M92" s="335"/>
      <c r="N92" s="335"/>
      <c r="O92" s="335"/>
      <c r="P92" s="335"/>
      <c r="Q92" s="335"/>
      <c r="R92" s="335"/>
      <c r="S92" s="335">
        <v>105</v>
      </c>
      <c r="T92" s="335">
        <v>150</v>
      </c>
      <c r="U92" s="335"/>
      <c r="V92" s="335"/>
      <c r="W92" s="335"/>
      <c r="X92" s="335"/>
      <c r="Y92" s="121"/>
    </row>
    <row r="93" spans="10:25" x14ac:dyDescent="0.2">
      <c r="J93" s="335"/>
      <c r="K93" s="335"/>
      <c r="L93" s="335"/>
      <c r="M93" s="335"/>
      <c r="N93" s="335"/>
      <c r="O93" s="335"/>
      <c r="P93" s="335"/>
      <c r="Q93" s="335"/>
      <c r="R93" s="335"/>
      <c r="S93" s="335">
        <v>106</v>
      </c>
      <c r="T93" s="335">
        <v>150</v>
      </c>
      <c r="U93" s="335"/>
      <c r="V93" s="335"/>
      <c r="W93" s="335"/>
      <c r="X93" s="335"/>
      <c r="Y93" s="121"/>
    </row>
    <row r="94" spans="10:25" x14ac:dyDescent="0.2">
      <c r="J94" s="335"/>
      <c r="K94" s="335"/>
      <c r="L94" s="335"/>
      <c r="M94" s="335"/>
      <c r="N94" s="335"/>
      <c r="O94" s="335"/>
      <c r="P94" s="335"/>
      <c r="Q94" s="335"/>
      <c r="R94" s="335"/>
      <c r="S94" s="335">
        <v>107</v>
      </c>
      <c r="T94" s="335">
        <v>150</v>
      </c>
      <c r="U94" s="335"/>
      <c r="V94" s="335"/>
      <c r="W94" s="335"/>
      <c r="X94" s="335"/>
      <c r="Y94" s="121"/>
    </row>
    <row r="95" spans="10:25" x14ac:dyDescent="0.2">
      <c r="J95" s="335"/>
      <c r="K95" s="335"/>
      <c r="L95" s="335"/>
      <c r="M95" s="335"/>
      <c r="N95" s="335"/>
      <c r="O95" s="335"/>
      <c r="P95" s="335"/>
      <c r="Q95" s="335"/>
      <c r="R95" s="335"/>
      <c r="S95" s="335">
        <v>108</v>
      </c>
      <c r="T95" s="335">
        <v>150</v>
      </c>
      <c r="U95" s="335"/>
      <c r="V95" s="335"/>
      <c r="W95" s="335"/>
      <c r="X95" s="335"/>
      <c r="Y95" s="121"/>
    </row>
    <row r="96" spans="10:25" x14ac:dyDescent="0.2">
      <c r="J96" s="335"/>
      <c r="K96" s="335"/>
      <c r="L96" s="335"/>
      <c r="M96" s="335"/>
      <c r="N96" s="335"/>
      <c r="O96" s="335"/>
      <c r="P96" s="335"/>
      <c r="Q96" s="335"/>
      <c r="R96" s="335"/>
      <c r="S96" s="335">
        <v>109</v>
      </c>
      <c r="T96" s="335">
        <v>150</v>
      </c>
      <c r="U96" s="335"/>
      <c r="V96" s="335"/>
      <c r="W96" s="335"/>
      <c r="X96" s="335"/>
      <c r="Y96" s="121"/>
    </row>
    <row r="97" spans="10:25" x14ac:dyDescent="0.2">
      <c r="J97" s="335"/>
      <c r="K97" s="335"/>
      <c r="L97" s="335"/>
      <c r="M97" s="335"/>
      <c r="N97" s="335"/>
      <c r="O97" s="335"/>
      <c r="P97" s="335"/>
      <c r="Q97" s="335"/>
      <c r="R97" s="335"/>
      <c r="S97" s="335">
        <v>110</v>
      </c>
      <c r="T97" s="335">
        <v>150</v>
      </c>
      <c r="U97" s="335"/>
      <c r="V97" s="335"/>
      <c r="W97" s="335"/>
      <c r="X97" s="335"/>
      <c r="Y97" s="121"/>
    </row>
    <row r="98" spans="10:25" x14ac:dyDescent="0.2">
      <c r="J98" s="335"/>
      <c r="K98" s="335"/>
      <c r="L98" s="335"/>
      <c r="M98" s="335"/>
      <c r="N98" s="335"/>
      <c r="O98" s="335"/>
      <c r="P98" s="335"/>
      <c r="Q98" s="335"/>
      <c r="R98" s="335"/>
      <c r="S98" s="335">
        <v>111</v>
      </c>
      <c r="T98" s="335">
        <v>150</v>
      </c>
      <c r="U98" s="335"/>
      <c r="V98" s="335"/>
      <c r="W98" s="335"/>
      <c r="X98" s="335"/>
      <c r="Y98" s="121"/>
    </row>
    <row r="99" spans="10:25" x14ac:dyDescent="0.2">
      <c r="J99" s="335"/>
      <c r="K99" s="335"/>
      <c r="L99" s="335"/>
      <c r="M99" s="335"/>
      <c r="N99" s="335"/>
      <c r="O99" s="335"/>
      <c r="P99" s="335"/>
      <c r="Q99" s="335"/>
      <c r="R99" s="335"/>
      <c r="S99" s="335">
        <v>112</v>
      </c>
      <c r="T99" s="335">
        <v>150</v>
      </c>
      <c r="U99" s="335"/>
      <c r="V99" s="335"/>
      <c r="W99" s="335"/>
      <c r="X99" s="335"/>
      <c r="Y99" s="121"/>
    </row>
    <row r="100" spans="10:25" x14ac:dyDescent="0.2">
      <c r="J100" s="335"/>
      <c r="K100" s="335"/>
      <c r="L100" s="335"/>
      <c r="M100" s="335"/>
      <c r="N100" s="335"/>
      <c r="O100" s="335"/>
      <c r="P100" s="335"/>
      <c r="Q100" s="335"/>
      <c r="R100" s="335"/>
      <c r="S100" s="335">
        <v>113</v>
      </c>
      <c r="T100" s="335">
        <v>150</v>
      </c>
      <c r="U100" s="335"/>
      <c r="V100" s="335"/>
      <c r="W100" s="335"/>
      <c r="X100" s="335"/>
      <c r="Y100" s="121"/>
    </row>
    <row r="101" spans="10:25" x14ac:dyDescent="0.2">
      <c r="J101" s="335"/>
      <c r="K101" s="335"/>
      <c r="L101" s="335"/>
      <c r="M101" s="335"/>
      <c r="N101" s="335"/>
      <c r="O101" s="335"/>
      <c r="P101" s="335"/>
      <c r="Q101" s="335"/>
      <c r="R101" s="335"/>
      <c r="S101" s="335">
        <v>114</v>
      </c>
      <c r="T101" s="335">
        <v>150</v>
      </c>
      <c r="U101" s="335"/>
      <c r="V101" s="335"/>
      <c r="W101" s="335"/>
      <c r="X101" s="335"/>
      <c r="Y101" s="121"/>
    </row>
    <row r="102" spans="10:25" x14ac:dyDescent="0.2">
      <c r="J102" s="335"/>
      <c r="K102" s="335"/>
      <c r="L102" s="335"/>
      <c r="M102" s="335"/>
      <c r="N102" s="335"/>
      <c r="O102" s="335"/>
      <c r="P102" s="335"/>
      <c r="Q102" s="335"/>
      <c r="R102" s="335"/>
      <c r="S102" s="335">
        <v>115</v>
      </c>
      <c r="T102" s="335">
        <v>150</v>
      </c>
      <c r="U102" s="335"/>
      <c r="V102" s="335"/>
      <c r="W102" s="335"/>
      <c r="X102" s="335"/>
      <c r="Y102" s="121"/>
    </row>
    <row r="103" spans="10:25" x14ac:dyDescent="0.2">
      <c r="J103" s="335"/>
      <c r="K103" s="335"/>
      <c r="L103" s="335"/>
      <c r="M103" s="335"/>
      <c r="N103" s="335"/>
      <c r="O103" s="335"/>
      <c r="P103" s="335"/>
      <c r="Q103" s="335"/>
      <c r="R103" s="335"/>
      <c r="S103" s="335">
        <v>116</v>
      </c>
      <c r="T103" s="335">
        <v>150</v>
      </c>
      <c r="U103" s="335"/>
      <c r="V103" s="335"/>
      <c r="W103" s="335"/>
      <c r="X103" s="335"/>
      <c r="Y103" s="121"/>
    </row>
    <row r="104" spans="10:25" x14ac:dyDescent="0.2">
      <c r="J104" s="335"/>
      <c r="K104" s="335"/>
      <c r="L104" s="335"/>
      <c r="M104" s="335"/>
      <c r="N104" s="335"/>
      <c r="O104" s="335"/>
      <c r="P104" s="335"/>
      <c r="Q104" s="335"/>
      <c r="R104" s="335"/>
      <c r="S104" s="335">
        <v>117</v>
      </c>
      <c r="T104" s="335">
        <v>150</v>
      </c>
      <c r="U104" s="335"/>
      <c r="V104" s="335"/>
      <c r="W104" s="335"/>
      <c r="X104" s="335"/>
      <c r="Y104" s="121"/>
    </row>
    <row r="105" spans="10:25" x14ac:dyDescent="0.2">
      <c r="J105" s="335"/>
      <c r="K105" s="335"/>
      <c r="L105" s="335"/>
      <c r="M105" s="335"/>
      <c r="N105" s="335"/>
      <c r="O105" s="335"/>
      <c r="P105" s="335"/>
      <c r="Q105" s="335"/>
      <c r="R105" s="335"/>
      <c r="S105" s="335">
        <v>118</v>
      </c>
      <c r="T105" s="335">
        <v>150</v>
      </c>
      <c r="U105" s="335"/>
      <c r="V105" s="335"/>
      <c r="W105" s="335"/>
      <c r="X105" s="335"/>
      <c r="Y105" s="121"/>
    </row>
    <row r="106" spans="10:25" x14ac:dyDescent="0.2">
      <c r="J106" s="335"/>
      <c r="K106" s="335"/>
      <c r="L106" s="335"/>
      <c r="M106" s="335"/>
      <c r="N106" s="335"/>
      <c r="O106" s="335"/>
      <c r="P106" s="335"/>
      <c r="Q106" s="335"/>
      <c r="R106" s="335"/>
      <c r="S106" s="335">
        <v>119</v>
      </c>
      <c r="T106" s="335">
        <v>150</v>
      </c>
      <c r="U106" s="335"/>
      <c r="V106" s="335"/>
      <c r="W106" s="335"/>
      <c r="X106" s="335"/>
      <c r="Y106" s="121"/>
    </row>
    <row r="107" spans="10:25" x14ac:dyDescent="0.2">
      <c r="J107" s="335"/>
      <c r="K107" s="335"/>
      <c r="L107" s="335"/>
      <c r="M107" s="335"/>
      <c r="N107" s="335"/>
      <c r="O107" s="335"/>
      <c r="P107" s="335"/>
      <c r="Q107" s="335"/>
      <c r="R107" s="335"/>
      <c r="S107" s="335">
        <v>120</v>
      </c>
      <c r="T107" s="335">
        <v>150</v>
      </c>
      <c r="U107" s="335"/>
      <c r="V107" s="335"/>
      <c r="W107" s="335"/>
      <c r="X107" s="335"/>
      <c r="Y107" s="121"/>
    </row>
    <row r="108" spans="10:25" x14ac:dyDescent="0.2">
      <c r="J108" s="335"/>
      <c r="K108" s="335"/>
      <c r="L108" s="335"/>
      <c r="M108" s="335"/>
      <c r="N108" s="335"/>
      <c r="O108" s="335"/>
      <c r="P108" s="335"/>
      <c r="Q108" s="335"/>
      <c r="R108" s="335"/>
      <c r="S108" s="335">
        <v>121</v>
      </c>
      <c r="T108" s="335">
        <v>150</v>
      </c>
      <c r="U108" s="335"/>
      <c r="V108" s="335"/>
      <c r="W108" s="335"/>
      <c r="X108" s="335"/>
      <c r="Y108" s="121"/>
    </row>
    <row r="109" spans="10:25" x14ac:dyDescent="0.2">
      <c r="J109" s="335"/>
      <c r="K109" s="335"/>
      <c r="L109" s="335"/>
      <c r="M109" s="335"/>
      <c r="N109" s="335"/>
      <c r="O109" s="335"/>
      <c r="P109" s="335"/>
      <c r="Q109" s="335"/>
      <c r="R109" s="335"/>
      <c r="S109" s="335">
        <v>122</v>
      </c>
      <c r="T109" s="335">
        <v>150</v>
      </c>
      <c r="U109" s="335"/>
      <c r="V109" s="335"/>
      <c r="W109" s="335"/>
      <c r="X109" s="335"/>
      <c r="Y109" s="121"/>
    </row>
    <row r="110" spans="10:25" x14ac:dyDescent="0.2">
      <c r="J110" s="335"/>
      <c r="K110" s="335"/>
      <c r="L110" s="335"/>
      <c r="M110" s="335"/>
      <c r="N110" s="335"/>
      <c r="O110" s="335"/>
      <c r="P110" s="335"/>
      <c r="Q110" s="335"/>
      <c r="R110" s="335"/>
      <c r="S110" s="335">
        <v>123</v>
      </c>
      <c r="T110" s="335">
        <v>150</v>
      </c>
      <c r="U110" s="335"/>
      <c r="V110" s="335"/>
      <c r="W110" s="335"/>
      <c r="X110" s="335"/>
      <c r="Y110" s="121"/>
    </row>
    <row r="111" spans="10:25" x14ac:dyDescent="0.2">
      <c r="J111" s="335"/>
      <c r="K111" s="335"/>
      <c r="L111" s="335"/>
      <c r="M111" s="335"/>
      <c r="N111" s="335"/>
      <c r="O111" s="335"/>
      <c r="P111" s="335"/>
      <c r="Q111" s="335"/>
      <c r="R111" s="335"/>
      <c r="S111" s="335">
        <v>124</v>
      </c>
      <c r="T111" s="335">
        <v>150</v>
      </c>
      <c r="U111" s="335"/>
      <c r="V111" s="335"/>
      <c r="W111" s="335"/>
      <c r="X111" s="335"/>
      <c r="Y111" s="121"/>
    </row>
    <row r="112" spans="10:25" x14ac:dyDescent="0.2">
      <c r="J112" s="335"/>
      <c r="K112" s="335"/>
      <c r="L112" s="335"/>
      <c r="M112" s="335"/>
      <c r="N112" s="335"/>
      <c r="O112" s="335"/>
      <c r="P112" s="335"/>
      <c r="Q112" s="335"/>
      <c r="R112" s="335"/>
      <c r="S112" s="335">
        <v>125</v>
      </c>
      <c r="T112" s="335">
        <v>150</v>
      </c>
      <c r="U112" s="335"/>
      <c r="V112" s="335"/>
      <c r="W112" s="335"/>
      <c r="X112" s="335"/>
      <c r="Y112" s="121"/>
    </row>
    <row r="113" spans="10:25" x14ac:dyDescent="0.2">
      <c r="J113" s="335"/>
      <c r="K113" s="335"/>
      <c r="L113" s="335"/>
      <c r="M113" s="335"/>
      <c r="N113" s="335"/>
      <c r="O113" s="335"/>
      <c r="P113" s="335"/>
      <c r="Q113" s="335"/>
      <c r="R113" s="335"/>
      <c r="S113" s="335">
        <v>126</v>
      </c>
      <c r="T113" s="335">
        <v>150</v>
      </c>
      <c r="U113" s="335"/>
      <c r="V113" s="335"/>
      <c r="W113" s="335"/>
      <c r="X113" s="335"/>
      <c r="Y113" s="121"/>
    </row>
    <row r="114" spans="10:25" x14ac:dyDescent="0.2">
      <c r="J114" s="335"/>
      <c r="K114" s="335"/>
      <c r="L114" s="335"/>
      <c r="M114" s="335"/>
      <c r="N114" s="335"/>
      <c r="O114" s="335"/>
      <c r="P114" s="335"/>
      <c r="Q114" s="335"/>
      <c r="R114" s="335"/>
      <c r="S114" s="335">
        <v>127</v>
      </c>
      <c r="T114" s="335">
        <v>150</v>
      </c>
      <c r="U114" s="335"/>
      <c r="V114" s="335"/>
      <c r="W114" s="335"/>
      <c r="X114" s="335"/>
      <c r="Y114" s="121"/>
    </row>
    <row r="115" spans="10:25" x14ac:dyDescent="0.2">
      <c r="J115" s="335"/>
      <c r="K115" s="335"/>
      <c r="L115" s="335"/>
      <c r="M115" s="335"/>
      <c r="N115" s="335"/>
      <c r="O115" s="335"/>
      <c r="P115" s="335"/>
      <c r="Q115" s="335"/>
      <c r="R115" s="335"/>
      <c r="S115" s="335">
        <v>128</v>
      </c>
      <c r="T115" s="335">
        <v>150</v>
      </c>
      <c r="U115" s="335"/>
      <c r="V115" s="335"/>
      <c r="W115" s="335"/>
      <c r="X115" s="335"/>
      <c r="Y115" s="121"/>
    </row>
    <row r="116" spans="10:25" x14ac:dyDescent="0.2">
      <c r="J116" s="335"/>
      <c r="K116" s="335"/>
      <c r="L116" s="335"/>
      <c r="M116" s="335"/>
      <c r="N116" s="335"/>
      <c r="O116" s="335"/>
      <c r="P116" s="335"/>
      <c r="Q116" s="335"/>
      <c r="R116" s="335"/>
      <c r="S116" s="335">
        <v>129</v>
      </c>
      <c r="T116" s="335">
        <v>150</v>
      </c>
      <c r="U116" s="335"/>
      <c r="V116" s="335"/>
      <c r="W116" s="335"/>
      <c r="X116" s="335"/>
      <c r="Y116" s="121"/>
    </row>
    <row r="117" spans="10:25" x14ac:dyDescent="0.2">
      <c r="J117" s="335"/>
      <c r="K117" s="335"/>
      <c r="L117" s="335"/>
      <c r="M117" s="335"/>
      <c r="N117" s="335"/>
      <c r="O117" s="335"/>
      <c r="P117" s="335"/>
      <c r="Q117" s="335"/>
      <c r="R117" s="335"/>
      <c r="S117" s="335">
        <v>130</v>
      </c>
      <c r="T117" s="335">
        <v>150</v>
      </c>
      <c r="U117" s="335"/>
      <c r="V117" s="335"/>
      <c r="W117" s="335"/>
      <c r="X117" s="335"/>
      <c r="Y117" s="121"/>
    </row>
    <row r="118" spans="10:25" x14ac:dyDescent="0.2">
      <c r="J118" s="335"/>
      <c r="K118" s="335"/>
      <c r="L118" s="335"/>
      <c r="M118" s="335"/>
      <c r="N118" s="335"/>
      <c r="O118" s="335"/>
      <c r="P118" s="335"/>
      <c r="Q118" s="335"/>
      <c r="R118" s="335"/>
      <c r="S118" s="335">
        <v>131</v>
      </c>
      <c r="T118" s="335">
        <v>150</v>
      </c>
      <c r="U118" s="335"/>
      <c r="V118" s="335"/>
      <c r="W118" s="335"/>
      <c r="X118" s="335"/>
      <c r="Y118" s="121"/>
    </row>
    <row r="119" spans="10:25" x14ac:dyDescent="0.2">
      <c r="J119" s="335"/>
      <c r="K119" s="335"/>
      <c r="L119" s="335"/>
      <c r="M119" s="335"/>
      <c r="N119" s="335"/>
      <c r="O119" s="335"/>
      <c r="P119" s="335"/>
      <c r="Q119" s="335"/>
      <c r="R119" s="335"/>
      <c r="S119" s="335">
        <v>132</v>
      </c>
      <c r="T119" s="335">
        <v>150</v>
      </c>
      <c r="U119" s="335"/>
      <c r="V119" s="335"/>
      <c r="W119" s="335"/>
      <c r="X119" s="335"/>
      <c r="Y119" s="121"/>
    </row>
    <row r="120" spans="10:25" x14ac:dyDescent="0.2">
      <c r="J120" s="335"/>
      <c r="K120" s="335"/>
      <c r="L120" s="335"/>
      <c r="M120" s="335"/>
      <c r="N120" s="335"/>
      <c r="O120" s="335"/>
      <c r="P120" s="335"/>
      <c r="Q120" s="335"/>
      <c r="R120" s="335"/>
      <c r="S120" s="335">
        <v>133</v>
      </c>
      <c r="T120" s="335">
        <v>150</v>
      </c>
      <c r="U120" s="335"/>
      <c r="V120" s="335"/>
      <c r="W120" s="335"/>
      <c r="X120" s="335"/>
      <c r="Y120" s="121"/>
    </row>
    <row r="121" spans="10:25" x14ac:dyDescent="0.2">
      <c r="J121" s="335"/>
      <c r="K121" s="335"/>
      <c r="L121" s="335"/>
      <c r="M121" s="335"/>
      <c r="N121" s="335"/>
      <c r="O121" s="335"/>
      <c r="P121" s="335"/>
      <c r="Q121" s="335"/>
      <c r="R121" s="335"/>
      <c r="S121" s="335">
        <v>134</v>
      </c>
      <c r="T121" s="335">
        <v>150</v>
      </c>
      <c r="U121" s="335"/>
      <c r="V121" s="335"/>
      <c r="W121" s="335"/>
      <c r="X121" s="335"/>
      <c r="Y121" s="121"/>
    </row>
    <row r="122" spans="10:25" x14ac:dyDescent="0.2">
      <c r="J122" s="335"/>
      <c r="K122" s="335"/>
      <c r="L122" s="335"/>
      <c r="M122" s="335"/>
      <c r="N122" s="335"/>
      <c r="O122" s="335"/>
      <c r="P122" s="335"/>
      <c r="Q122" s="335"/>
      <c r="R122" s="335"/>
      <c r="S122" s="335">
        <v>135</v>
      </c>
      <c r="T122" s="335">
        <v>150</v>
      </c>
      <c r="U122" s="335"/>
      <c r="V122" s="335"/>
      <c r="W122" s="335"/>
      <c r="X122" s="335"/>
      <c r="Y122" s="121"/>
    </row>
    <row r="123" spans="10:25" x14ac:dyDescent="0.2">
      <c r="J123" s="335"/>
      <c r="K123" s="335"/>
      <c r="L123" s="335"/>
      <c r="M123" s="335"/>
      <c r="N123" s="335"/>
      <c r="O123" s="335"/>
      <c r="P123" s="335"/>
      <c r="Q123" s="335"/>
      <c r="R123" s="335"/>
      <c r="S123" s="335">
        <v>136</v>
      </c>
      <c r="T123" s="335">
        <v>150</v>
      </c>
      <c r="U123" s="335"/>
      <c r="V123" s="335"/>
      <c r="W123" s="335"/>
      <c r="X123" s="335"/>
      <c r="Y123" s="121"/>
    </row>
    <row r="124" spans="10:25" x14ac:dyDescent="0.2">
      <c r="J124" s="335"/>
      <c r="K124" s="335"/>
      <c r="L124" s="335"/>
      <c r="M124" s="335"/>
      <c r="N124" s="335"/>
      <c r="O124" s="335"/>
      <c r="P124" s="335"/>
      <c r="Q124" s="335"/>
      <c r="R124" s="335"/>
      <c r="S124" s="335">
        <v>137</v>
      </c>
      <c r="T124" s="335">
        <v>150</v>
      </c>
      <c r="U124" s="335"/>
      <c r="V124" s="335"/>
      <c r="W124" s="335"/>
      <c r="X124" s="335"/>
      <c r="Y124" s="121"/>
    </row>
    <row r="125" spans="10:25" x14ac:dyDescent="0.2">
      <c r="J125" s="335"/>
      <c r="K125" s="335"/>
      <c r="L125" s="335"/>
      <c r="M125" s="335"/>
      <c r="N125" s="335"/>
      <c r="O125" s="335"/>
      <c r="P125" s="335"/>
      <c r="Q125" s="335"/>
      <c r="R125" s="335"/>
      <c r="S125" s="335">
        <v>138</v>
      </c>
      <c r="T125" s="335">
        <v>150</v>
      </c>
      <c r="U125" s="335"/>
      <c r="V125" s="335"/>
      <c r="W125" s="335"/>
      <c r="X125" s="335"/>
      <c r="Y125" s="121"/>
    </row>
    <row r="126" spans="10:25" x14ac:dyDescent="0.2">
      <c r="J126" s="335"/>
      <c r="K126" s="335"/>
      <c r="L126" s="335"/>
      <c r="M126" s="335"/>
      <c r="N126" s="335"/>
      <c r="O126" s="335"/>
      <c r="P126" s="335"/>
      <c r="Q126" s="335"/>
      <c r="R126" s="335"/>
      <c r="S126" s="335">
        <v>139</v>
      </c>
      <c r="T126" s="335">
        <v>150</v>
      </c>
      <c r="U126" s="335"/>
      <c r="V126" s="335"/>
      <c r="W126" s="335"/>
      <c r="X126" s="335"/>
      <c r="Y126" s="121"/>
    </row>
    <row r="127" spans="10:25" x14ac:dyDescent="0.2">
      <c r="J127" s="335"/>
      <c r="K127" s="335"/>
      <c r="L127" s="335"/>
      <c r="M127" s="335"/>
      <c r="N127" s="335"/>
      <c r="O127" s="335"/>
      <c r="P127" s="335"/>
      <c r="Q127" s="335"/>
      <c r="R127" s="335"/>
      <c r="S127" s="335">
        <v>140</v>
      </c>
      <c r="T127" s="335">
        <v>150</v>
      </c>
      <c r="U127" s="335"/>
      <c r="V127" s="335"/>
      <c r="W127" s="335"/>
      <c r="X127" s="335"/>
      <c r="Y127" s="121"/>
    </row>
    <row r="128" spans="10:25" x14ac:dyDescent="0.2">
      <c r="J128" s="335"/>
      <c r="K128" s="335"/>
      <c r="L128" s="335"/>
      <c r="M128" s="335"/>
      <c r="N128" s="335"/>
      <c r="O128" s="335"/>
      <c r="P128" s="335"/>
      <c r="Q128" s="335"/>
      <c r="R128" s="335"/>
      <c r="S128" s="335">
        <v>141</v>
      </c>
      <c r="T128" s="335">
        <v>150</v>
      </c>
      <c r="U128" s="335"/>
      <c r="V128" s="335"/>
      <c r="W128" s="335"/>
      <c r="X128" s="335"/>
      <c r="Y128" s="121"/>
    </row>
    <row r="129" spans="10:25" x14ac:dyDescent="0.2">
      <c r="J129" s="335"/>
      <c r="K129" s="335"/>
      <c r="L129" s="335"/>
      <c r="M129" s="335"/>
      <c r="N129" s="335"/>
      <c r="O129" s="335"/>
      <c r="P129" s="335"/>
      <c r="Q129" s="335"/>
      <c r="R129" s="335"/>
      <c r="S129" s="335">
        <v>142</v>
      </c>
      <c r="T129" s="335">
        <v>150</v>
      </c>
      <c r="U129" s="335"/>
      <c r="V129" s="335"/>
      <c r="W129" s="335"/>
      <c r="X129" s="335"/>
      <c r="Y129" s="121"/>
    </row>
    <row r="130" spans="10:25" x14ac:dyDescent="0.2">
      <c r="J130" s="335"/>
      <c r="K130" s="335"/>
      <c r="L130" s="335"/>
      <c r="M130" s="335"/>
      <c r="N130" s="335"/>
      <c r="O130" s="335"/>
      <c r="P130" s="335"/>
      <c r="Q130" s="335"/>
      <c r="R130" s="335"/>
      <c r="S130" s="335">
        <v>143</v>
      </c>
      <c r="T130" s="335">
        <v>150</v>
      </c>
      <c r="U130" s="335"/>
      <c r="V130" s="335"/>
      <c r="W130" s="335"/>
      <c r="X130" s="335"/>
      <c r="Y130" s="121"/>
    </row>
    <row r="131" spans="10:25" x14ac:dyDescent="0.2">
      <c r="J131" s="335"/>
      <c r="K131" s="335"/>
      <c r="L131" s="335"/>
      <c r="M131" s="335"/>
      <c r="N131" s="335"/>
      <c r="O131" s="335"/>
      <c r="P131" s="335"/>
      <c r="Q131" s="335"/>
      <c r="R131" s="335"/>
      <c r="S131" s="335">
        <v>144</v>
      </c>
      <c r="T131" s="335">
        <v>150</v>
      </c>
      <c r="U131" s="335"/>
      <c r="V131" s="335"/>
      <c r="W131" s="335"/>
      <c r="X131" s="335"/>
      <c r="Y131" s="121"/>
    </row>
    <row r="132" spans="10:25" x14ac:dyDescent="0.2">
      <c r="J132" s="335"/>
      <c r="K132" s="335"/>
      <c r="L132" s="335"/>
      <c r="M132" s="335"/>
      <c r="N132" s="335"/>
      <c r="O132" s="335"/>
      <c r="P132" s="335"/>
      <c r="Q132" s="335"/>
      <c r="R132" s="335"/>
      <c r="S132" s="335">
        <v>145</v>
      </c>
      <c r="T132" s="335">
        <v>150</v>
      </c>
      <c r="U132" s="335"/>
      <c r="V132" s="335"/>
      <c r="W132" s="335"/>
      <c r="X132" s="335"/>
      <c r="Y132" s="121"/>
    </row>
    <row r="133" spans="10:25" x14ac:dyDescent="0.2">
      <c r="J133" s="335"/>
      <c r="K133" s="335"/>
      <c r="L133" s="335"/>
      <c r="M133" s="335"/>
      <c r="N133" s="335"/>
      <c r="O133" s="335"/>
      <c r="P133" s="335"/>
      <c r="Q133" s="335"/>
      <c r="R133" s="335"/>
      <c r="S133" s="335">
        <v>146</v>
      </c>
      <c r="T133" s="335">
        <v>150</v>
      </c>
      <c r="U133" s="335"/>
      <c r="V133" s="335"/>
      <c r="W133" s="335"/>
      <c r="X133" s="335"/>
      <c r="Y133" s="121"/>
    </row>
    <row r="134" spans="10:25" x14ac:dyDescent="0.2">
      <c r="J134" s="335"/>
      <c r="K134" s="335"/>
      <c r="L134" s="335"/>
      <c r="M134" s="335"/>
      <c r="N134" s="335"/>
      <c r="O134" s="335"/>
      <c r="P134" s="335"/>
      <c r="Q134" s="335"/>
      <c r="R134" s="335"/>
      <c r="S134" s="335">
        <v>147</v>
      </c>
      <c r="T134" s="335">
        <v>150</v>
      </c>
      <c r="U134" s="335"/>
      <c r="V134" s="335"/>
      <c r="W134" s="335"/>
      <c r="X134" s="335"/>
      <c r="Y134" s="121"/>
    </row>
    <row r="135" spans="10:25" x14ac:dyDescent="0.2">
      <c r="J135" s="335"/>
      <c r="K135" s="335"/>
      <c r="L135" s="335"/>
      <c r="M135" s="335"/>
      <c r="N135" s="335"/>
      <c r="O135" s="335"/>
      <c r="P135" s="335"/>
      <c r="Q135" s="335"/>
      <c r="R135" s="335"/>
      <c r="S135" s="335">
        <v>148</v>
      </c>
      <c r="T135" s="335">
        <v>150</v>
      </c>
      <c r="U135" s="335"/>
      <c r="V135" s="335"/>
      <c r="W135" s="335"/>
      <c r="X135" s="335"/>
      <c r="Y135" s="121"/>
    </row>
    <row r="136" spans="10:25" x14ac:dyDescent="0.2">
      <c r="J136" s="335"/>
      <c r="K136" s="335"/>
      <c r="L136" s="335"/>
      <c r="M136" s="335"/>
      <c r="N136" s="335"/>
      <c r="O136" s="335"/>
      <c r="P136" s="335"/>
      <c r="Q136" s="335"/>
      <c r="R136" s="335"/>
      <c r="S136" s="335">
        <v>149</v>
      </c>
      <c r="T136" s="335">
        <v>150</v>
      </c>
      <c r="U136" s="335"/>
      <c r="V136" s="335"/>
      <c r="W136" s="335"/>
      <c r="X136" s="335"/>
      <c r="Y136" s="121"/>
    </row>
    <row r="137" spans="10:25" x14ac:dyDescent="0.2">
      <c r="J137" s="335"/>
      <c r="K137" s="335"/>
      <c r="L137" s="335"/>
      <c r="M137" s="335"/>
      <c r="N137" s="335"/>
      <c r="O137" s="335"/>
      <c r="P137" s="335"/>
      <c r="Q137" s="335"/>
      <c r="R137" s="335"/>
      <c r="S137" s="335">
        <v>150</v>
      </c>
      <c r="T137" s="335">
        <v>150</v>
      </c>
      <c r="U137" s="335">
        <v>150</v>
      </c>
      <c r="V137" s="335"/>
      <c r="W137" s="335"/>
      <c r="X137" s="335"/>
      <c r="Y137" s="121"/>
    </row>
    <row r="138" spans="10:25" x14ac:dyDescent="0.2">
      <c r="J138" s="335"/>
      <c r="K138" s="335"/>
      <c r="L138" s="335"/>
      <c r="M138" s="335"/>
      <c r="N138" s="335"/>
      <c r="O138" s="335"/>
      <c r="P138" s="335"/>
      <c r="Q138" s="335"/>
      <c r="R138" s="335"/>
      <c r="S138" s="335">
        <v>151</v>
      </c>
      <c r="T138" s="335">
        <v>150</v>
      </c>
      <c r="U138" s="335"/>
      <c r="V138" s="335"/>
      <c r="W138" s="335"/>
      <c r="X138" s="335"/>
      <c r="Y138" s="121"/>
    </row>
    <row r="139" spans="10:25" x14ac:dyDescent="0.2">
      <c r="J139" s="335"/>
      <c r="K139" s="335"/>
      <c r="L139" s="335"/>
      <c r="M139" s="335"/>
      <c r="N139" s="335"/>
      <c r="O139" s="335"/>
      <c r="P139" s="335"/>
      <c r="Q139" s="335"/>
      <c r="R139" s="335"/>
      <c r="S139" s="335">
        <v>152</v>
      </c>
      <c r="T139" s="335">
        <v>150</v>
      </c>
      <c r="U139" s="335"/>
      <c r="V139" s="335"/>
      <c r="W139" s="335"/>
      <c r="X139" s="335"/>
      <c r="Y139" s="121"/>
    </row>
    <row r="140" spans="10:25" x14ac:dyDescent="0.2">
      <c r="J140" s="335"/>
      <c r="K140" s="335"/>
      <c r="L140" s="335"/>
      <c r="M140" s="335"/>
      <c r="N140" s="335"/>
      <c r="O140" s="335"/>
      <c r="P140" s="335"/>
      <c r="Q140" s="335"/>
      <c r="R140" s="335"/>
      <c r="S140" s="335">
        <v>153</v>
      </c>
      <c r="T140" s="335">
        <v>150</v>
      </c>
      <c r="U140" s="335"/>
      <c r="V140" s="335"/>
      <c r="W140" s="335"/>
      <c r="X140" s="335"/>
      <c r="Y140" s="121"/>
    </row>
    <row r="141" spans="10:25" x14ac:dyDescent="0.2">
      <c r="J141" s="335"/>
      <c r="K141" s="335"/>
      <c r="L141" s="335"/>
      <c r="M141" s="335"/>
      <c r="N141" s="335"/>
      <c r="O141" s="335"/>
      <c r="P141" s="335"/>
      <c r="Q141" s="335"/>
      <c r="R141" s="335"/>
      <c r="S141" s="335">
        <v>154</v>
      </c>
      <c r="T141" s="335">
        <v>150</v>
      </c>
      <c r="U141" s="335"/>
      <c r="V141" s="335"/>
      <c r="W141" s="335"/>
      <c r="X141" s="335"/>
      <c r="Y141" s="121"/>
    </row>
    <row r="142" spans="10:25" x14ac:dyDescent="0.2">
      <c r="J142" s="335"/>
      <c r="K142" s="335"/>
      <c r="L142" s="335"/>
      <c r="M142" s="335"/>
      <c r="N142" s="335"/>
      <c r="O142" s="335"/>
      <c r="P142" s="335"/>
      <c r="Q142" s="335"/>
      <c r="R142" s="335"/>
      <c r="S142" s="335">
        <v>155</v>
      </c>
      <c r="T142" s="335">
        <v>150</v>
      </c>
      <c r="U142" s="335"/>
      <c r="V142" s="335"/>
      <c r="W142" s="335"/>
      <c r="X142" s="335"/>
      <c r="Y142" s="121"/>
    </row>
    <row r="143" spans="10:25" x14ac:dyDescent="0.2">
      <c r="J143" s="335"/>
      <c r="K143" s="335"/>
      <c r="L143" s="335"/>
      <c r="M143" s="335"/>
      <c r="N143" s="335"/>
      <c r="O143" s="335"/>
      <c r="P143" s="335"/>
      <c r="Q143" s="335"/>
      <c r="R143" s="335"/>
      <c r="S143" s="335">
        <v>156</v>
      </c>
      <c r="T143" s="335">
        <v>150</v>
      </c>
      <c r="U143" s="335"/>
      <c r="V143" s="335"/>
      <c r="W143" s="335"/>
      <c r="X143" s="335"/>
      <c r="Y143" s="121"/>
    </row>
    <row r="144" spans="10:25" x14ac:dyDescent="0.2">
      <c r="J144" s="335"/>
      <c r="K144" s="335"/>
      <c r="L144" s="335"/>
      <c r="M144" s="335"/>
      <c r="N144" s="335"/>
      <c r="O144" s="335"/>
      <c r="P144" s="335"/>
      <c r="Q144" s="335"/>
      <c r="R144" s="335"/>
      <c r="S144" s="335">
        <v>157</v>
      </c>
      <c r="T144" s="335">
        <v>150</v>
      </c>
      <c r="U144" s="335"/>
      <c r="V144" s="335"/>
      <c r="W144" s="335"/>
      <c r="X144" s="335"/>
      <c r="Y144" s="121"/>
    </row>
    <row r="145" spans="10:25" x14ac:dyDescent="0.2">
      <c r="J145" s="335"/>
      <c r="K145" s="335"/>
      <c r="L145" s="335"/>
      <c r="M145" s="335"/>
      <c r="N145" s="335"/>
      <c r="O145" s="335"/>
      <c r="P145" s="335"/>
      <c r="Q145" s="335"/>
      <c r="R145" s="335"/>
      <c r="S145" s="335">
        <v>158</v>
      </c>
      <c r="T145" s="335">
        <v>150</v>
      </c>
      <c r="U145" s="335"/>
      <c r="V145" s="335"/>
      <c r="W145" s="335"/>
      <c r="X145" s="335"/>
      <c r="Y145" s="121"/>
    </row>
    <row r="146" spans="10:25" x14ac:dyDescent="0.2">
      <c r="J146" s="335"/>
      <c r="K146" s="335"/>
      <c r="L146" s="335"/>
      <c r="M146" s="335"/>
      <c r="N146" s="335"/>
      <c r="O146" s="335"/>
      <c r="P146" s="335"/>
      <c r="Q146" s="335"/>
      <c r="R146" s="335"/>
      <c r="S146" s="335">
        <v>159</v>
      </c>
      <c r="T146" s="335">
        <v>150</v>
      </c>
      <c r="U146" s="335"/>
      <c r="V146" s="335"/>
      <c r="W146" s="335"/>
      <c r="X146" s="335"/>
      <c r="Y146" s="121"/>
    </row>
    <row r="147" spans="10:25" x14ac:dyDescent="0.2">
      <c r="J147" s="335"/>
      <c r="K147" s="335"/>
      <c r="L147" s="335"/>
      <c r="M147" s="335"/>
      <c r="N147" s="335"/>
      <c r="O147" s="335"/>
      <c r="P147" s="335"/>
      <c r="Q147" s="335"/>
      <c r="R147" s="335"/>
      <c r="S147" s="335">
        <v>160</v>
      </c>
      <c r="T147" s="335">
        <v>150</v>
      </c>
      <c r="U147" s="335"/>
      <c r="V147" s="335"/>
      <c r="W147" s="335"/>
      <c r="X147" s="335"/>
      <c r="Y147" s="121"/>
    </row>
    <row r="148" spans="10:25" x14ac:dyDescent="0.2">
      <c r="J148" s="335"/>
      <c r="K148" s="335"/>
      <c r="L148" s="335"/>
      <c r="M148" s="335"/>
      <c r="N148" s="335"/>
      <c r="O148" s="335"/>
      <c r="P148" s="335"/>
      <c r="Q148" s="335"/>
      <c r="R148" s="335"/>
      <c r="S148" s="335">
        <v>161</v>
      </c>
      <c r="T148" s="335">
        <v>150</v>
      </c>
      <c r="U148" s="335"/>
      <c r="V148" s="335"/>
      <c r="W148" s="335"/>
      <c r="X148" s="335"/>
      <c r="Y148" s="121"/>
    </row>
    <row r="149" spans="10:25" x14ac:dyDescent="0.2">
      <c r="J149" s="335"/>
      <c r="K149" s="335"/>
      <c r="L149" s="335"/>
      <c r="M149" s="335"/>
      <c r="N149" s="335"/>
      <c r="O149" s="335"/>
      <c r="P149" s="335"/>
      <c r="Q149" s="335"/>
      <c r="R149" s="335"/>
      <c r="S149" s="335">
        <v>162</v>
      </c>
      <c r="T149" s="335">
        <v>150</v>
      </c>
      <c r="U149" s="335"/>
      <c r="V149" s="335"/>
      <c r="W149" s="335"/>
      <c r="X149" s="335"/>
      <c r="Y149" s="121"/>
    </row>
    <row r="150" spans="10:25" x14ac:dyDescent="0.2">
      <c r="J150" s="335"/>
      <c r="K150" s="335"/>
      <c r="L150" s="335"/>
      <c r="M150" s="335"/>
      <c r="N150" s="335"/>
      <c r="O150" s="335"/>
      <c r="P150" s="335"/>
      <c r="Q150" s="335"/>
      <c r="R150" s="335"/>
      <c r="S150" s="335">
        <v>163</v>
      </c>
      <c r="T150" s="335">
        <v>150</v>
      </c>
      <c r="U150" s="335"/>
      <c r="V150" s="335"/>
      <c r="W150" s="335"/>
      <c r="X150" s="335"/>
      <c r="Y150" s="121"/>
    </row>
    <row r="151" spans="10:25" x14ac:dyDescent="0.2">
      <c r="J151" s="335"/>
      <c r="K151" s="335"/>
      <c r="L151" s="335"/>
      <c r="M151" s="335"/>
      <c r="N151" s="335"/>
      <c r="O151" s="335"/>
      <c r="P151" s="335"/>
      <c r="Q151" s="335"/>
      <c r="R151" s="335"/>
      <c r="S151" s="335">
        <v>164</v>
      </c>
      <c r="T151" s="335">
        <v>150</v>
      </c>
      <c r="U151" s="335"/>
      <c r="V151" s="335"/>
      <c r="W151" s="335"/>
      <c r="X151" s="335"/>
      <c r="Y151" s="121"/>
    </row>
    <row r="152" spans="10:25" x14ac:dyDescent="0.2">
      <c r="J152" s="335"/>
      <c r="K152" s="335"/>
      <c r="L152" s="335"/>
      <c r="M152" s="335"/>
      <c r="N152" s="335"/>
      <c r="O152" s="335"/>
      <c r="P152" s="335"/>
      <c r="Q152" s="335"/>
      <c r="R152" s="335"/>
      <c r="S152" s="335">
        <v>165</v>
      </c>
      <c r="T152" s="335">
        <v>150</v>
      </c>
      <c r="U152" s="335"/>
      <c r="V152" s="335"/>
      <c r="W152" s="335"/>
      <c r="X152" s="335"/>
      <c r="Y152" s="121"/>
    </row>
    <row r="153" spans="10:25" x14ac:dyDescent="0.2">
      <c r="J153" s="335"/>
      <c r="K153" s="335"/>
      <c r="L153" s="335"/>
      <c r="M153" s="335"/>
      <c r="N153" s="335"/>
      <c r="O153" s="335"/>
      <c r="P153" s="335"/>
      <c r="Q153" s="335"/>
      <c r="R153" s="335"/>
      <c r="S153" s="335">
        <v>166</v>
      </c>
      <c r="T153" s="335">
        <v>150</v>
      </c>
      <c r="U153" s="335"/>
      <c r="V153" s="335"/>
      <c r="W153" s="335"/>
      <c r="X153" s="335"/>
      <c r="Y153" s="121"/>
    </row>
    <row r="154" spans="10:25" x14ac:dyDescent="0.2">
      <c r="J154" s="335"/>
      <c r="K154" s="335"/>
      <c r="L154" s="335"/>
      <c r="M154" s="335"/>
      <c r="N154" s="335"/>
      <c r="O154" s="335"/>
      <c r="P154" s="335"/>
      <c r="Q154" s="335"/>
      <c r="R154" s="335"/>
      <c r="S154" s="335">
        <v>167</v>
      </c>
      <c r="T154" s="335">
        <v>150</v>
      </c>
      <c r="U154" s="335"/>
      <c r="V154" s="335"/>
      <c r="W154" s="335"/>
      <c r="X154" s="335"/>
      <c r="Y154" s="121"/>
    </row>
    <row r="155" spans="10:25" x14ac:dyDescent="0.2">
      <c r="J155" s="335"/>
      <c r="K155" s="335"/>
      <c r="L155" s="335"/>
      <c r="M155" s="335"/>
      <c r="N155" s="335"/>
      <c r="O155" s="335"/>
      <c r="P155" s="335"/>
      <c r="Q155" s="335"/>
      <c r="R155" s="335"/>
      <c r="S155" s="335">
        <v>168</v>
      </c>
      <c r="T155" s="335">
        <v>150</v>
      </c>
      <c r="U155" s="335"/>
      <c r="V155" s="335"/>
      <c r="W155" s="335"/>
      <c r="X155" s="335"/>
      <c r="Y155" s="121"/>
    </row>
    <row r="156" spans="10:25" x14ac:dyDescent="0.2">
      <c r="J156" s="335"/>
      <c r="K156" s="335"/>
      <c r="L156" s="335"/>
      <c r="M156" s="335"/>
      <c r="N156" s="335"/>
      <c r="O156" s="335"/>
      <c r="P156" s="335"/>
      <c r="Q156" s="335"/>
      <c r="R156" s="335"/>
      <c r="S156" s="335">
        <v>169</v>
      </c>
      <c r="T156" s="335">
        <v>150</v>
      </c>
      <c r="U156" s="335"/>
      <c r="V156" s="335"/>
      <c r="W156" s="335"/>
      <c r="X156" s="335"/>
      <c r="Y156" s="121"/>
    </row>
    <row r="157" spans="10:25" x14ac:dyDescent="0.2">
      <c r="J157" s="335"/>
      <c r="K157" s="335"/>
      <c r="L157" s="335"/>
      <c r="M157" s="335"/>
      <c r="N157" s="335"/>
      <c r="O157" s="335"/>
      <c r="P157" s="335"/>
      <c r="Q157" s="335"/>
      <c r="R157" s="335"/>
      <c r="S157" s="335">
        <v>170</v>
      </c>
      <c r="T157" s="335">
        <v>150</v>
      </c>
      <c r="U157" s="335"/>
      <c r="V157" s="335"/>
      <c r="W157" s="335"/>
      <c r="X157" s="335"/>
      <c r="Y157" s="121"/>
    </row>
    <row r="158" spans="10:25" x14ac:dyDescent="0.2">
      <c r="J158" s="335"/>
      <c r="K158" s="335"/>
      <c r="L158" s="335"/>
      <c r="M158" s="335"/>
      <c r="N158" s="335"/>
      <c r="O158" s="335"/>
      <c r="P158" s="335"/>
      <c r="Q158" s="335"/>
      <c r="R158" s="335"/>
      <c r="S158" s="335">
        <v>171</v>
      </c>
      <c r="T158" s="335">
        <v>150</v>
      </c>
      <c r="U158" s="335"/>
      <c r="V158" s="335"/>
      <c r="W158" s="335"/>
      <c r="X158" s="335"/>
      <c r="Y158" s="121"/>
    </row>
    <row r="159" spans="10:25" x14ac:dyDescent="0.2">
      <c r="J159" s="335"/>
      <c r="K159" s="335"/>
      <c r="L159" s="335"/>
      <c r="M159" s="335"/>
      <c r="N159" s="335"/>
      <c r="O159" s="335"/>
      <c r="P159" s="335"/>
      <c r="Q159" s="335"/>
      <c r="R159" s="335"/>
      <c r="S159" s="335">
        <v>172</v>
      </c>
      <c r="T159" s="335">
        <v>150</v>
      </c>
      <c r="U159" s="335"/>
      <c r="V159" s="335"/>
      <c r="W159" s="335"/>
      <c r="X159" s="335"/>
      <c r="Y159" s="121"/>
    </row>
    <row r="160" spans="10:25" x14ac:dyDescent="0.2">
      <c r="J160" s="335"/>
      <c r="K160" s="335"/>
      <c r="L160" s="335"/>
      <c r="M160" s="335"/>
      <c r="N160" s="335"/>
      <c r="O160" s="335"/>
      <c r="P160" s="335"/>
      <c r="Q160" s="335"/>
      <c r="R160" s="335"/>
      <c r="S160" s="335">
        <v>173</v>
      </c>
      <c r="T160" s="335">
        <v>150</v>
      </c>
      <c r="U160" s="335"/>
      <c r="V160" s="335"/>
      <c r="W160" s="335"/>
      <c r="X160" s="335"/>
      <c r="Y160" s="121"/>
    </row>
    <row r="161" spans="10:25" x14ac:dyDescent="0.2">
      <c r="J161" s="335"/>
      <c r="K161" s="335"/>
      <c r="L161" s="335"/>
      <c r="M161" s="335"/>
      <c r="N161" s="335"/>
      <c r="O161" s="335"/>
      <c r="P161" s="335"/>
      <c r="Q161" s="335"/>
      <c r="R161" s="335"/>
      <c r="S161" s="335">
        <v>174</v>
      </c>
      <c r="T161" s="335">
        <v>150</v>
      </c>
      <c r="U161" s="335"/>
      <c r="V161" s="335"/>
      <c r="W161" s="335"/>
      <c r="X161" s="335"/>
      <c r="Y161" s="121"/>
    </row>
    <row r="162" spans="10:25" x14ac:dyDescent="0.2">
      <c r="J162" s="335"/>
      <c r="K162" s="335"/>
      <c r="L162" s="335"/>
      <c r="M162" s="335"/>
      <c r="N162" s="335"/>
      <c r="O162" s="335"/>
      <c r="P162" s="335"/>
      <c r="Q162" s="335"/>
      <c r="R162" s="335"/>
      <c r="S162" s="335">
        <v>175</v>
      </c>
      <c r="T162" s="335">
        <v>150</v>
      </c>
      <c r="U162" s="335"/>
      <c r="V162" s="335"/>
      <c r="W162" s="335"/>
      <c r="X162" s="335"/>
      <c r="Y162" s="121"/>
    </row>
    <row r="163" spans="10:25" x14ac:dyDescent="0.2">
      <c r="J163" s="335"/>
      <c r="K163" s="335"/>
      <c r="L163" s="335"/>
      <c r="M163" s="335"/>
      <c r="N163" s="335"/>
      <c r="O163" s="335"/>
      <c r="P163" s="335"/>
      <c r="Q163" s="335"/>
      <c r="R163" s="335"/>
      <c r="S163" s="335">
        <v>176</v>
      </c>
      <c r="T163" s="335">
        <v>150</v>
      </c>
      <c r="U163" s="335"/>
      <c r="V163" s="335"/>
      <c r="W163" s="335"/>
      <c r="X163" s="335"/>
      <c r="Y163" s="121"/>
    </row>
    <row r="164" spans="10:25" x14ac:dyDescent="0.2">
      <c r="J164" s="335"/>
      <c r="K164" s="335"/>
      <c r="L164" s="335"/>
      <c r="M164" s="335"/>
      <c r="N164" s="335"/>
      <c r="O164" s="335"/>
      <c r="P164" s="335"/>
      <c r="Q164" s="335"/>
      <c r="R164" s="335"/>
      <c r="S164" s="335">
        <v>177</v>
      </c>
      <c r="T164" s="335">
        <v>150</v>
      </c>
      <c r="U164" s="335"/>
      <c r="V164" s="335"/>
      <c r="W164" s="335"/>
      <c r="X164" s="335"/>
      <c r="Y164" s="121"/>
    </row>
    <row r="165" spans="10:25" x14ac:dyDescent="0.2">
      <c r="J165" s="335"/>
      <c r="K165" s="335"/>
      <c r="L165" s="335"/>
      <c r="M165" s="335"/>
      <c r="N165" s="335"/>
      <c r="O165" s="335"/>
      <c r="P165" s="335"/>
      <c r="Q165" s="335"/>
      <c r="R165" s="335"/>
      <c r="S165" s="335">
        <v>178</v>
      </c>
      <c r="T165" s="335">
        <v>150</v>
      </c>
      <c r="U165" s="335"/>
      <c r="V165" s="335"/>
      <c r="W165" s="335"/>
      <c r="X165" s="335"/>
      <c r="Y165" s="121"/>
    </row>
    <row r="166" spans="10:25" x14ac:dyDescent="0.2">
      <c r="J166" s="335"/>
      <c r="K166" s="335"/>
      <c r="L166" s="335"/>
      <c r="M166" s="335"/>
      <c r="N166" s="335"/>
      <c r="O166" s="335"/>
      <c r="P166" s="335"/>
      <c r="Q166" s="335"/>
      <c r="R166" s="335"/>
      <c r="S166" s="335">
        <v>179</v>
      </c>
      <c r="T166" s="335">
        <v>150</v>
      </c>
      <c r="U166" s="335"/>
      <c r="V166" s="335"/>
      <c r="W166" s="335"/>
      <c r="X166" s="335"/>
      <c r="Y166" s="121"/>
    </row>
    <row r="167" spans="10:25" x14ac:dyDescent="0.2">
      <c r="J167" s="335"/>
      <c r="K167" s="335"/>
      <c r="L167" s="335"/>
      <c r="M167" s="335"/>
      <c r="N167" s="335"/>
      <c r="O167" s="335"/>
      <c r="P167" s="335"/>
      <c r="Q167" s="335"/>
      <c r="R167" s="335"/>
      <c r="S167" s="335">
        <v>180</v>
      </c>
      <c r="T167" s="335">
        <v>150</v>
      </c>
      <c r="U167" s="335"/>
      <c r="V167" s="335"/>
      <c r="W167" s="335"/>
      <c r="X167" s="335"/>
      <c r="Y167" s="121"/>
    </row>
    <row r="168" spans="10:25" x14ac:dyDescent="0.2">
      <c r="J168" s="335"/>
      <c r="K168" s="335"/>
      <c r="L168" s="335"/>
      <c r="M168" s="335"/>
      <c r="N168" s="335"/>
      <c r="O168" s="335"/>
      <c r="P168" s="335"/>
      <c r="Q168" s="335"/>
      <c r="R168" s="335"/>
      <c r="S168" s="335">
        <v>181</v>
      </c>
      <c r="T168" s="335">
        <v>150</v>
      </c>
      <c r="U168" s="335"/>
      <c r="V168" s="335"/>
      <c r="W168" s="335"/>
      <c r="X168" s="335"/>
      <c r="Y168" s="121"/>
    </row>
    <row r="169" spans="10:25" x14ac:dyDescent="0.2">
      <c r="J169" s="335"/>
      <c r="K169" s="335"/>
      <c r="L169" s="335"/>
      <c r="M169" s="335"/>
      <c r="N169" s="335"/>
      <c r="O169" s="335"/>
      <c r="P169" s="335"/>
      <c r="Q169" s="335"/>
      <c r="R169" s="335"/>
      <c r="S169" s="335">
        <v>182</v>
      </c>
      <c r="T169" s="335">
        <v>150</v>
      </c>
      <c r="U169" s="335"/>
      <c r="V169" s="335"/>
      <c r="W169" s="335"/>
      <c r="X169" s="335"/>
      <c r="Y169" s="121"/>
    </row>
    <row r="170" spans="10:25" x14ac:dyDescent="0.2">
      <c r="J170" s="335"/>
      <c r="K170" s="335"/>
      <c r="L170" s="335"/>
      <c r="M170" s="335"/>
      <c r="N170" s="335"/>
      <c r="O170" s="335"/>
      <c r="P170" s="335"/>
      <c r="Q170" s="335"/>
      <c r="R170" s="335"/>
      <c r="S170" s="335">
        <v>183</v>
      </c>
      <c r="T170" s="335">
        <v>150</v>
      </c>
      <c r="U170" s="335"/>
      <c r="V170" s="335"/>
      <c r="W170" s="335"/>
      <c r="X170" s="335"/>
      <c r="Y170" s="121"/>
    </row>
    <row r="171" spans="10:25" x14ac:dyDescent="0.2">
      <c r="J171" s="335"/>
      <c r="K171" s="335"/>
      <c r="L171" s="335"/>
      <c r="M171" s="335"/>
      <c r="N171" s="335"/>
      <c r="O171" s="335"/>
      <c r="P171" s="335"/>
      <c r="Q171" s="335"/>
      <c r="R171" s="335"/>
      <c r="S171" s="335">
        <v>184</v>
      </c>
      <c r="T171" s="335">
        <v>150</v>
      </c>
      <c r="U171" s="335"/>
      <c r="V171" s="335"/>
      <c r="W171" s="335"/>
      <c r="X171" s="335"/>
      <c r="Y171" s="121"/>
    </row>
    <row r="172" spans="10:25" x14ac:dyDescent="0.2">
      <c r="J172" s="335"/>
      <c r="K172" s="335"/>
      <c r="L172" s="335"/>
      <c r="M172" s="335"/>
      <c r="N172" s="335"/>
      <c r="O172" s="335"/>
      <c r="P172" s="335"/>
      <c r="Q172" s="335"/>
      <c r="R172" s="335"/>
      <c r="S172" s="335">
        <v>185</v>
      </c>
      <c r="T172" s="335">
        <v>150</v>
      </c>
      <c r="U172" s="335"/>
      <c r="V172" s="335"/>
      <c r="W172" s="335"/>
      <c r="X172" s="335"/>
      <c r="Y172" s="121"/>
    </row>
    <row r="173" spans="10:25" x14ac:dyDescent="0.2">
      <c r="J173" s="335"/>
      <c r="K173" s="335"/>
      <c r="L173" s="335"/>
      <c r="M173" s="335"/>
      <c r="N173" s="335"/>
      <c r="O173" s="335"/>
      <c r="P173" s="335"/>
      <c r="Q173" s="335"/>
      <c r="R173" s="335"/>
      <c r="S173" s="335">
        <v>186</v>
      </c>
      <c r="T173" s="335">
        <v>150</v>
      </c>
      <c r="U173" s="335"/>
      <c r="V173" s="335"/>
      <c r="W173" s="335"/>
      <c r="X173" s="335"/>
      <c r="Y173" s="121"/>
    </row>
    <row r="174" spans="10:25" x14ac:dyDescent="0.2">
      <c r="J174" s="335"/>
      <c r="K174" s="335"/>
      <c r="L174" s="335"/>
      <c r="M174" s="335"/>
      <c r="N174" s="335"/>
      <c r="O174" s="335"/>
      <c r="P174" s="335"/>
      <c r="Q174" s="335"/>
      <c r="R174" s="335"/>
      <c r="S174" s="335">
        <v>187</v>
      </c>
      <c r="T174" s="335">
        <v>150</v>
      </c>
      <c r="U174" s="335"/>
      <c r="V174" s="335"/>
      <c r="W174" s="335"/>
      <c r="X174" s="335"/>
      <c r="Y174" s="121"/>
    </row>
    <row r="175" spans="10:25" x14ac:dyDescent="0.2">
      <c r="J175" s="335"/>
      <c r="K175" s="335"/>
      <c r="L175" s="335"/>
      <c r="M175" s="335"/>
      <c r="N175" s="335"/>
      <c r="O175" s="335"/>
      <c r="P175" s="335"/>
      <c r="Q175" s="335"/>
      <c r="R175" s="335"/>
      <c r="S175" s="335">
        <v>188</v>
      </c>
      <c r="T175" s="335">
        <v>150</v>
      </c>
      <c r="U175" s="335"/>
      <c r="V175" s="335"/>
      <c r="W175" s="335"/>
      <c r="X175" s="335"/>
      <c r="Y175" s="121"/>
    </row>
    <row r="176" spans="10:25" x14ac:dyDescent="0.2">
      <c r="J176" s="335"/>
      <c r="K176" s="335"/>
      <c r="L176" s="335"/>
      <c r="M176" s="335"/>
      <c r="N176" s="335"/>
      <c r="O176" s="335"/>
      <c r="P176" s="335"/>
      <c r="Q176" s="335"/>
      <c r="R176" s="335"/>
      <c r="S176" s="335">
        <v>189</v>
      </c>
      <c r="T176" s="335">
        <v>150</v>
      </c>
      <c r="U176" s="335"/>
      <c r="V176" s="335"/>
      <c r="W176" s="335"/>
      <c r="X176" s="335"/>
      <c r="Y176" s="121"/>
    </row>
    <row r="177" spans="10:25" x14ac:dyDescent="0.2">
      <c r="J177" s="335"/>
      <c r="K177" s="335"/>
      <c r="L177" s="335"/>
      <c r="M177" s="335"/>
      <c r="N177" s="335"/>
      <c r="O177" s="335"/>
      <c r="P177" s="335"/>
      <c r="Q177" s="335"/>
      <c r="R177" s="335"/>
      <c r="S177" s="335">
        <v>190</v>
      </c>
      <c r="T177" s="335">
        <v>150</v>
      </c>
      <c r="U177" s="335"/>
      <c r="V177" s="335"/>
      <c r="W177" s="335"/>
      <c r="X177" s="335"/>
      <c r="Y177" s="121"/>
    </row>
    <row r="178" spans="10:25" x14ac:dyDescent="0.2">
      <c r="J178" s="335"/>
      <c r="K178" s="335"/>
      <c r="L178" s="335"/>
      <c r="M178" s="335"/>
      <c r="N178" s="335"/>
      <c r="O178" s="335"/>
      <c r="P178" s="335"/>
      <c r="Q178" s="335"/>
      <c r="R178" s="335"/>
      <c r="S178" s="335">
        <v>191</v>
      </c>
      <c r="T178" s="335">
        <v>150</v>
      </c>
      <c r="U178" s="335"/>
      <c r="V178" s="335"/>
      <c r="W178" s="335"/>
      <c r="X178" s="335"/>
      <c r="Y178" s="121"/>
    </row>
    <row r="179" spans="10:25" x14ac:dyDescent="0.2">
      <c r="J179" s="335"/>
      <c r="K179" s="335"/>
      <c r="L179" s="335"/>
      <c r="M179" s="335"/>
      <c r="N179" s="335"/>
      <c r="O179" s="335"/>
      <c r="P179" s="335"/>
      <c r="Q179" s="335"/>
      <c r="R179" s="335"/>
      <c r="S179" s="335">
        <v>192</v>
      </c>
      <c r="T179" s="335">
        <v>150</v>
      </c>
      <c r="U179" s="335"/>
      <c r="V179" s="335"/>
      <c r="W179" s="335"/>
      <c r="X179" s="335"/>
      <c r="Y179" s="121"/>
    </row>
    <row r="180" spans="10:25" x14ac:dyDescent="0.2">
      <c r="J180" s="335"/>
      <c r="K180" s="335"/>
      <c r="L180" s="335"/>
      <c r="M180" s="335"/>
      <c r="N180" s="335"/>
      <c r="O180" s="335"/>
      <c r="P180" s="335"/>
      <c r="Q180" s="335"/>
      <c r="R180" s="335"/>
      <c r="S180" s="335">
        <v>193</v>
      </c>
      <c r="T180" s="335">
        <v>150</v>
      </c>
      <c r="U180" s="335"/>
      <c r="V180" s="335"/>
      <c r="W180" s="335"/>
      <c r="X180" s="335"/>
      <c r="Y180" s="121"/>
    </row>
    <row r="181" spans="10:25" x14ac:dyDescent="0.2">
      <c r="J181" s="335"/>
      <c r="K181" s="335"/>
      <c r="L181" s="335"/>
      <c r="M181" s="335"/>
      <c r="N181" s="335"/>
      <c r="O181" s="335"/>
      <c r="P181" s="335"/>
      <c r="Q181" s="335"/>
      <c r="R181" s="335"/>
      <c r="S181" s="335">
        <v>194</v>
      </c>
      <c r="T181" s="335">
        <v>150</v>
      </c>
      <c r="U181" s="335"/>
      <c r="V181" s="335"/>
      <c r="W181" s="335"/>
      <c r="X181" s="335"/>
      <c r="Y181" s="121"/>
    </row>
    <row r="182" spans="10:25" x14ac:dyDescent="0.2">
      <c r="J182" s="335"/>
      <c r="K182" s="335"/>
      <c r="L182" s="335"/>
      <c r="M182" s="335"/>
      <c r="N182" s="335"/>
      <c r="O182" s="335"/>
      <c r="P182" s="335"/>
      <c r="Q182" s="335"/>
      <c r="R182" s="335"/>
      <c r="S182" s="335">
        <v>195</v>
      </c>
      <c r="T182" s="335">
        <v>150</v>
      </c>
      <c r="U182" s="335"/>
      <c r="V182" s="335"/>
      <c r="W182" s="335"/>
      <c r="X182" s="335"/>
      <c r="Y182" s="121"/>
    </row>
    <row r="183" spans="10:25" x14ac:dyDescent="0.2">
      <c r="J183" s="335"/>
      <c r="K183" s="335"/>
      <c r="L183" s="335"/>
      <c r="M183" s="335"/>
      <c r="N183" s="335"/>
      <c r="O183" s="335"/>
      <c r="P183" s="335"/>
      <c r="Q183" s="335"/>
      <c r="R183" s="335"/>
      <c r="S183" s="335">
        <v>196</v>
      </c>
      <c r="T183" s="335">
        <v>150</v>
      </c>
      <c r="U183" s="335"/>
      <c r="V183" s="335"/>
      <c r="W183" s="335"/>
      <c r="X183" s="335"/>
      <c r="Y183" s="121"/>
    </row>
    <row r="184" spans="10:25" x14ac:dyDescent="0.2">
      <c r="J184" s="335"/>
      <c r="K184" s="335"/>
      <c r="L184" s="335"/>
      <c r="M184" s="335"/>
      <c r="N184" s="335"/>
      <c r="O184" s="335"/>
      <c r="P184" s="335"/>
      <c r="Q184" s="335"/>
      <c r="R184" s="335"/>
      <c r="S184" s="335">
        <v>197</v>
      </c>
      <c r="T184" s="335">
        <v>150</v>
      </c>
      <c r="U184" s="335"/>
      <c r="V184" s="335"/>
      <c r="W184" s="335"/>
      <c r="X184" s="335"/>
      <c r="Y184" s="121"/>
    </row>
    <row r="185" spans="10:25" x14ac:dyDescent="0.2">
      <c r="J185" s="335"/>
      <c r="K185" s="335"/>
      <c r="L185" s="335"/>
      <c r="M185" s="335"/>
      <c r="N185" s="335"/>
      <c r="O185" s="335"/>
      <c r="P185" s="335"/>
      <c r="Q185" s="335"/>
      <c r="R185" s="335"/>
      <c r="S185" s="335">
        <v>198</v>
      </c>
      <c r="T185" s="335">
        <v>150</v>
      </c>
      <c r="U185" s="335"/>
      <c r="V185" s="335"/>
      <c r="W185" s="335"/>
      <c r="X185" s="335"/>
      <c r="Y185" s="121"/>
    </row>
    <row r="186" spans="10:25" x14ac:dyDescent="0.2">
      <c r="J186" s="335"/>
      <c r="K186" s="335"/>
      <c r="L186" s="335"/>
      <c r="M186" s="335"/>
      <c r="N186" s="335"/>
      <c r="O186" s="335"/>
      <c r="P186" s="335"/>
      <c r="Q186" s="335"/>
      <c r="R186" s="335"/>
      <c r="S186" s="335">
        <v>199</v>
      </c>
      <c r="T186" s="335">
        <v>150</v>
      </c>
      <c r="U186" s="335"/>
      <c r="V186" s="335"/>
      <c r="W186" s="335"/>
      <c r="X186" s="335"/>
      <c r="Y186" s="121"/>
    </row>
    <row r="187" spans="10:25" x14ac:dyDescent="0.2">
      <c r="J187" s="335"/>
      <c r="K187" s="335"/>
      <c r="L187" s="335"/>
      <c r="M187" s="335"/>
      <c r="N187" s="335"/>
      <c r="O187" s="335"/>
      <c r="P187" s="335"/>
      <c r="Q187" s="335"/>
      <c r="R187" s="335"/>
      <c r="S187" s="335">
        <v>200</v>
      </c>
      <c r="T187" s="335">
        <v>150</v>
      </c>
      <c r="U187" s="335">
        <v>200</v>
      </c>
      <c r="V187" s="335"/>
      <c r="W187" s="335"/>
      <c r="X187" s="335"/>
      <c r="Y187" s="121"/>
    </row>
    <row r="188" spans="10:25" x14ac:dyDescent="0.2">
      <c r="J188" s="335"/>
      <c r="K188" s="335"/>
      <c r="L188" s="335"/>
      <c r="M188" s="335"/>
      <c r="N188" s="335"/>
      <c r="O188" s="335"/>
      <c r="P188" s="335"/>
      <c r="Q188" s="335"/>
      <c r="R188" s="335"/>
      <c r="S188" s="335">
        <v>201</v>
      </c>
      <c r="T188" s="335">
        <v>150</v>
      </c>
      <c r="U188" s="335"/>
      <c r="V188" s="335"/>
      <c r="W188" s="335"/>
      <c r="X188" s="335"/>
      <c r="Y188" s="121"/>
    </row>
    <row r="189" spans="10:25" x14ac:dyDescent="0.2">
      <c r="J189" s="335"/>
      <c r="K189" s="335"/>
      <c r="L189" s="335"/>
      <c r="M189" s="335"/>
      <c r="N189" s="335"/>
      <c r="O189" s="335"/>
      <c r="P189" s="335"/>
      <c r="Q189" s="335"/>
      <c r="R189" s="335"/>
      <c r="S189" s="335">
        <v>202</v>
      </c>
      <c r="T189" s="335">
        <v>150</v>
      </c>
      <c r="U189" s="335"/>
      <c r="V189" s="335"/>
      <c r="W189" s="335"/>
      <c r="X189" s="335"/>
      <c r="Y189" s="121"/>
    </row>
    <row r="190" spans="10:25" x14ac:dyDescent="0.2">
      <c r="J190" s="335"/>
      <c r="K190" s="335"/>
      <c r="L190" s="335"/>
      <c r="M190" s="335"/>
      <c r="N190" s="335"/>
      <c r="O190" s="335"/>
      <c r="P190" s="335"/>
      <c r="Q190" s="335"/>
      <c r="R190" s="335"/>
      <c r="S190" s="335">
        <v>203</v>
      </c>
      <c r="T190" s="335">
        <v>150</v>
      </c>
      <c r="U190" s="335"/>
      <c r="V190" s="335"/>
      <c r="W190" s="335"/>
      <c r="X190" s="335"/>
      <c r="Y190" s="121"/>
    </row>
    <row r="191" spans="10:25" x14ac:dyDescent="0.2">
      <c r="J191" s="335"/>
      <c r="K191" s="335"/>
      <c r="L191" s="335"/>
      <c r="M191" s="335"/>
      <c r="N191" s="335"/>
      <c r="O191" s="335"/>
      <c r="P191" s="335"/>
      <c r="Q191" s="335"/>
      <c r="R191" s="335"/>
      <c r="S191" s="335">
        <v>204</v>
      </c>
      <c r="T191" s="335">
        <v>150</v>
      </c>
      <c r="U191" s="335"/>
      <c r="V191" s="335"/>
      <c r="W191" s="335"/>
      <c r="X191" s="335"/>
      <c r="Y191" s="121"/>
    </row>
    <row r="192" spans="10:25" x14ac:dyDescent="0.2">
      <c r="J192" s="335"/>
      <c r="K192" s="335"/>
      <c r="L192" s="335"/>
      <c r="M192" s="335"/>
      <c r="N192" s="335"/>
      <c r="O192" s="335"/>
      <c r="P192" s="335"/>
      <c r="Q192" s="335"/>
      <c r="R192" s="335"/>
      <c r="S192" s="335">
        <v>205</v>
      </c>
      <c r="T192" s="335">
        <v>150</v>
      </c>
      <c r="U192" s="335"/>
      <c r="V192" s="335"/>
      <c r="W192" s="335"/>
      <c r="X192" s="335"/>
      <c r="Y192" s="121"/>
    </row>
    <row r="193" spans="10:25" x14ac:dyDescent="0.2">
      <c r="J193" s="335"/>
      <c r="K193" s="335"/>
      <c r="L193" s="335"/>
      <c r="M193" s="335"/>
      <c r="N193" s="335"/>
      <c r="O193" s="335"/>
      <c r="P193" s="335"/>
      <c r="Q193" s="335"/>
      <c r="R193" s="335"/>
      <c r="S193" s="335">
        <v>206</v>
      </c>
      <c r="T193" s="335">
        <v>150</v>
      </c>
      <c r="U193" s="335"/>
      <c r="V193" s="335"/>
      <c r="W193" s="335"/>
      <c r="X193" s="335"/>
      <c r="Y193" s="121"/>
    </row>
    <row r="194" spans="10:25" x14ac:dyDescent="0.2">
      <c r="J194" s="335"/>
      <c r="K194" s="335"/>
      <c r="L194" s="335"/>
      <c r="M194" s="335"/>
      <c r="N194" s="335"/>
      <c r="O194" s="335"/>
      <c r="P194" s="335"/>
      <c r="Q194" s="335"/>
      <c r="R194" s="335"/>
      <c r="S194" s="335">
        <v>207</v>
      </c>
      <c r="T194" s="335">
        <v>150</v>
      </c>
      <c r="U194" s="335"/>
      <c r="V194" s="335"/>
      <c r="W194" s="335"/>
      <c r="X194" s="335"/>
      <c r="Y194" s="121"/>
    </row>
    <row r="195" spans="10:25" x14ac:dyDescent="0.2">
      <c r="J195" s="335"/>
      <c r="K195" s="335"/>
      <c r="L195" s="335"/>
      <c r="M195" s="335"/>
      <c r="N195" s="335"/>
      <c r="O195" s="335"/>
      <c r="P195" s="335"/>
      <c r="Q195" s="335"/>
      <c r="R195" s="335"/>
      <c r="S195" s="335">
        <v>208</v>
      </c>
      <c r="T195" s="335">
        <v>150</v>
      </c>
      <c r="U195" s="335"/>
      <c r="V195" s="335"/>
      <c r="W195" s="335"/>
      <c r="X195" s="335"/>
      <c r="Y195" s="121"/>
    </row>
    <row r="196" spans="10:25" x14ac:dyDescent="0.2">
      <c r="J196" s="335"/>
      <c r="K196" s="335"/>
      <c r="L196" s="335"/>
      <c r="M196" s="335"/>
      <c r="N196" s="335"/>
      <c r="O196" s="335"/>
      <c r="P196" s="335"/>
      <c r="Q196" s="335"/>
      <c r="R196" s="335"/>
      <c r="S196" s="335">
        <v>209</v>
      </c>
      <c r="T196" s="335">
        <v>150</v>
      </c>
      <c r="U196" s="335"/>
      <c r="V196" s="335"/>
      <c r="W196" s="335"/>
      <c r="X196" s="335"/>
      <c r="Y196" s="121"/>
    </row>
    <row r="197" spans="10:25" x14ac:dyDescent="0.2">
      <c r="J197" s="335"/>
      <c r="K197" s="335"/>
      <c r="L197" s="335"/>
      <c r="M197" s="335"/>
      <c r="N197" s="335"/>
      <c r="O197" s="335"/>
      <c r="P197" s="335"/>
      <c r="Q197" s="335"/>
      <c r="R197" s="335"/>
      <c r="S197" s="335">
        <v>210</v>
      </c>
      <c r="T197" s="335">
        <v>150</v>
      </c>
      <c r="U197" s="335"/>
      <c r="V197" s="335"/>
      <c r="W197" s="335"/>
      <c r="X197" s="335"/>
      <c r="Y197" s="121"/>
    </row>
    <row r="198" spans="10:25" x14ac:dyDescent="0.2">
      <c r="J198" s="335"/>
      <c r="K198" s="335"/>
      <c r="L198" s="335"/>
      <c r="M198" s="335"/>
      <c r="N198" s="335"/>
      <c r="O198" s="335"/>
      <c r="P198" s="335"/>
      <c r="Q198" s="335"/>
      <c r="R198" s="335"/>
      <c r="S198" s="335">
        <v>211</v>
      </c>
      <c r="T198" s="335">
        <v>150</v>
      </c>
      <c r="U198" s="335"/>
      <c r="V198" s="335"/>
      <c r="W198" s="335"/>
      <c r="X198" s="335"/>
      <c r="Y198" s="121"/>
    </row>
    <row r="199" spans="10:25" x14ac:dyDescent="0.2">
      <c r="J199" s="335"/>
      <c r="K199" s="335"/>
      <c r="L199" s="335"/>
      <c r="M199" s="335"/>
      <c r="N199" s="335"/>
      <c r="O199" s="335"/>
      <c r="P199" s="335"/>
      <c r="Q199" s="335"/>
      <c r="R199" s="335"/>
      <c r="S199" s="335">
        <v>212</v>
      </c>
      <c r="T199" s="335">
        <v>150</v>
      </c>
      <c r="U199" s="335"/>
      <c r="V199" s="335"/>
      <c r="W199" s="335"/>
      <c r="X199" s="335"/>
      <c r="Y199" s="121"/>
    </row>
    <row r="200" spans="10:25" x14ac:dyDescent="0.2">
      <c r="J200" s="335"/>
      <c r="K200" s="335"/>
      <c r="L200" s="335"/>
      <c r="M200" s="335"/>
      <c r="N200" s="335"/>
      <c r="O200" s="335"/>
      <c r="P200" s="335"/>
      <c r="Q200" s="335"/>
      <c r="R200" s="335"/>
      <c r="S200" s="335">
        <v>213</v>
      </c>
      <c r="T200" s="335">
        <v>150</v>
      </c>
      <c r="U200" s="335"/>
      <c r="V200" s="335"/>
      <c r="W200" s="335"/>
      <c r="X200" s="335"/>
      <c r="Y200" s="121"/>
    </row>
    <row r="201" spans="10:25" x14ac:dyDescent="0.2">
      <c r="J201" s="335"/>
      <c r="K201" s="335"/>
      <c r="L201" s="335"/>
      <c r="M201" s="335"/>
      <c r="N201" s="335"/>
      <c r="O201" s="335"/>
      <c r="P201" s="335"/>
      <c r="Q201" s="335"/>
      <c r="R201" s="335"/>
      <c r="S201" s="335">
        <v>214</v>
      </c>
      <c r="T201" s="335">
        <v>150</v>
      </c>
      <c r="U201" s="335"/>
      <c r="V201" s="335"/>
      <c r="W201" s="335"/>
      <c r="X201" s="335"/>
      <c r="Y201" s="121"/>
    </row>
    <row r="202" spans="10:25" x14ac:dyDescent="0.2">
      <c r="J202" s="335"/>
      <c r="K202" s="335"/>
      <c r="L202" s="335"/>
      <c r="M202" s="335"/>
      <c r="N202" s="335"/>
      <c r="O202" s="335"/>
      <c r="P202" s="335"/>
      <c r="Q202" s="335"/>
      <c r="R202" s="335"/>
      <c r="S202" s="335">
        <v>215</v>
      </c>
      <c r="T202" s="335">
        <v>150</v>
      </c>
      <c r="U202" s="335"/>
      <c r="V202" s="335"/>
      <c r="W202" s="335"/>
      <c r="X202" s="335"/>
      <c r="Y202" s="121"/>
    </row>
    <row r="203" spans="10:25" x14ac:dyDescent="0.2">
      <c r="J203" s="335"/>
      <c r="K203" s="335"/>
      <c r="L203" s="335"/>
      <c r="M203" s="335"/>
      <c r="N203" s="335"/>
      <c r="O203" s="335"/>
      <c r="P203" s="335"/>
      <c r="Q203" s="335"/>
      <c r="R203" s="335"/>
      <c r="S203" s="335">
        <v>216</v>
      </c>
      <c r="T203" s="335">
        <v>150</v>
      </c>
      <c r="U203" s="335"/>
      <c r="V203" s="335"/>
      <c r="W203" s="335"/>
      <c r="X203" s="335"/>
      <c r="Y203" s="121"/>
    </row>
    <row r="204" spans="10:25" x14ac:dyDescent="0.2">
      <c r="J204" s="335"/>
      <c r="K204" s="335"/>
      <c r="L204" s="335"/>
      <c r="M204" s="335"/>
      <c r="N204" s="335"/>
      <c r="O204" s="335"/>
      <c r="P204" s="335"/>
      <c r="Q204" s="335"/>
      <c r="R204" s="335"/>
      <c r="S204" s="335">
        <v>217</v>
      </c>
      <c r="T204" s="335">
        <v>150</v>
      </c>
      <c r="U204" s="335"/>
      <c r="V204" s="335"/>
      <c r="W204" s="335"/>
      <c r="X204" s="335"/>
      <c r="Y204" s="121"/>
    </row>
    <row r="205" spans="10:25" x14ac:dyDescent="0.2">
      <c r="J205" s="335"/>
      <c r="K205" s="335"/>
      <c r="L205" s="335"/>
      <c r="M205" s="335"/>
      <c r="N205" s="335"/>
      <c r="O205" s="335"/>
      <c r="P205" s="335"/>
      <c r="Q205" s="335"/>
      <c r="R205" s="335"/>
      <c r="S205" s="335">
        <v>218</v>
      </c>
      <c r="T205" s="335">
        <v>150</v>
      </c>
      <c r="U205" s="335"/>
      <c r="V205" s="335"/>
      <c r="W205" s="335"/>
      <c r="X205" s="335"/>
      <c r="Y205" s="121"/>
    </row>
    <row r="206" spans="10:25" x14ac:dyDescent="0.2">
      <c r="J206" s="335"/>
      <c r="K206" s="335"/>
      <c r="L206" s="335"/>
      <c r="M206" s="335"/>
      <c r="N206" s="335"/>
      <c r="O206" s="335"/>
      <c r="P206" s="335"/>
      <c r="Q206" s="335"/>
      <c r="R206" s="335"/>
      <c r="S206" s="335">
        <v>219</v>
      </c>
      <c r="T206" s="335">
        <v>150</v>
      </c>
      <c r="U206" s="335"/>
      <c r="V206" s="335"/>
      <c r="W206" s="335"/>
      <c r="X206" s="335"/>
      <c r="Y206" s="121"/>
    </row>
    <row r="207" spans="10:25" x14ac:dyDescent="0.2">
      <c r="J207" s="335"/>
      <c r="K207" s="335"/>
      <c r="L207" s="335"/>
      <c r="M207" s="335"/>
      <c r="N207" s="335"/>
      <c r="O207" s="335"/>
      <c r="P207" s="335"/>
      <c r="Q207" s="335"/>
      <c r="R207" s="335"/>
      <c r="S207" s="335">
        <v>220</v>
      </c>
      <c r="T207" s="335">
        <v>150</v>
      </c>
      <c r="U207" s="335"/>
      <c r="V207" s="335"/>
      <c r="W207" s="335"/>
      <c r="X207" s="335"/>
      <c r="Y207" s="121"/>
    </row>
    <row r="208" spans="10:25" x14ac:dyDescent="0.2">
      <c r="J208" s="335"/>
      <c r="K208" s="335"/>
      <c r="L208" s="335"/>
      <c r="M208" s="335"/>
      <c r="N208" s="335"/>
      <c r="O208" s="335"/>
      <c r="P208" s="335"/>
      <c r="Q208" s="335"/>
      <c r="R208" s="335"/>
      <c r="S208" s="335">
        <v>221</v>
      </c>
      <c r="T208" s="335">
        <v>150</v>
      </c>
      <c r="U208" s="335"/>
      <c r="V208" s="335"/>
      <c r="W208" s="335"/>
      <c r="X208" s="335"/>
      <c r="Y208" s="121"/>
    </row>
    <row r="209" spans="10:25" x14ac:dyDescent="0.2">
      <c r="J209" s="335"/>
      <c r="K209" s="335"/>
      <c r="L209" s="335"/>
      <c r="M209" s="335"/>
      <c r="N209" s="335"/>
      <c r="O209" s="335"/>
      <c r="P209" s="335"/>
      <c r="Q209" s="335"/>
      <c r="R209" s="335"/>
      <c r="S209" s="335">
        <v>222</v>
      </c>
      <c r="T209" s="335">
        <v>150</v>
      </c>
      <c r="U209" s="335"/>
      <c r="V209" s="335"/>
      <c r="W209" s="335"/>
      <c r="X209" s="335"/>
      <c r="Y209" s="121"/>
    </row>
    <row r="210" spans="10:25" x14ac:dyDescent="0.2">
      <c r="J210" s="335"/>
      <c r="K210" s="335"/>
      <c r="L210" s="335"/>
      <c r="M210" s="335"/>
      <c r="N210" s="335"/>
      <c r="O210" s="335"/>
      <c r="P210" s="335"/>
      <c r="Q210" s="335"/>
      <c r="R210" s="335"/>
      <c r="S210" s="335">
        <v>223</v>
      </c>
      <c r="T210" s="335">
        <v>150</v>
      </c>
      <c r="U210" s="335"/>
      <c r="V210" s="335"/>
      <c r="W210" s="335"/>
      <c r="X210" s="335"/>
      <c r="Y210" s="121"/>
    </row>
    <row r="211" spans="10:25" x14ac:dyDescent="0.2">
      <c r="J211" s="335"/>
      <c r="K211" s="335"/>
      <c r="L211" s="335"/>
      <c r="M211" s="335"/>
      <c r="N211" s="335"/>
      <c r="O211" s="335"/>
      <c r="P211" s="335"/>
      <c r="Q211" s="335"/>
      <c r="R211" s="335"/>
      <c r="S211" s="335">
        <v>224</v>
      </c>
      <c r="T211" s="335">
        <v>150</v>
      </c>
      <c r="U211" s="335"/>
      <c r="V211" s="335"/>
      <c r="W211" s="335"/>
      <c r="X211" s="335"/>
      <c r="Y211" s="121"/>
    </row>
    <row r="212" spans="10:25" x14ac:dyDescent="0.2">
      <c r="J212" s="335"/>
      <c r="K212" s="335"/>
      <c r="L212" s="335"/>
      <c r="M212" s="335"/>
      <c r="N212" s="335"/>
      <c r="O212" s="335"/>
      <c r="P212" s="335"/>
      <c r="Q212" s="335"/>
      <c r="R212" s="335"/>
      <c r="S212" s="335">
        <v>225</v>
      </c>
      <c r="T212" s="335">
        <v>150</v>
      </c>
      <c r="U212" s="335"/>
      <c r="V212" s="335"/>
      <c r="W212" s="335"/>
      <c r="X212" s="335"/>
      <c r="Y212" s="121"/>
    </row>
    <row r="213" spans="10:25" x14ac:dyDescent="0.2">
      <c r="J213" s="335"/>
      <c r="K213" s="335"/>
      <c r="L213" s="335"/>
      <c r="M213" s="335"/>
      <c r="N213" s="335"/>
      <c r="O213" s="335"/>
      <c r="P213" s="335"/>
      <c r="Q213" s="335"/>
      <c r="R213" s="335"/>
      <c r="S213" s="335">
        <v>226</v>
      </c>
      <c r="T213" s="335">
        <v>150</v>
      </c>
      <c r="U213" s="335"/>
      <c r="V213" s="335"/>
      <c r="W213" s="335"/>
      <c r="X213" s="335"/>
      <c r="Y213" s="121"/>
    </row>
    <row r="214" spans="10:25" x14ac:dyDescent="0.2">
      <c r="J214" s="335"/>
      <c r="K214" s="335"/>
      <c r="L214" s="335"/>
      <c r="M214" s="335"/>
      <c r="N214" s="335"/>
      <c r="O214" s="335"/>
      <c r="P214" s="335"/>
      <c r="Q214" s="335"/>
      <c r="R214" s="335"/>
      <c r="S214" s="335">
        <v>227</v>
      </c>
      <c r="T214" s="335">
        <v>150</v>
      </c>
      <c r="U214" s="335"/>
      <c r="V214" s="335"/>
      <c r="W214" s="335"/>
      <c r="X214" s="335"/>
      <c r="Y214" s="121"/>
    </row>
    <row r="215" spans="10:25" x14ac:dyDescent="0.2">
      <c r="J215" s="335"/>
      <c r="K215" s="335"/>
      <c r="L215" s="335"/>
      <c r="M215" s="335"/>
      <c r="N215" s="335"/>
      <c r="O215" s="335"/>
      <c r="P215" s="335"/>
      <c r="Q215" s="335"/>
      <c r="R215" s="335"/>
      <c r="S215" s="335">
        <v>228</v>
      </c>
      <c r="T215" s="335">
        <v>150</v>
      </c>
      <c r="U215" s="335"/>
      <c r="V215" s="335"/>
      <c r="W215" s="335"/>
      <c r="X215" s="335"/>
      <c r="Y215" s="121"/>
    </row>
    <row r="216" spans="10:25" x14ac:dyDescent="0.2">
      <c r="J216" s="335"/>
      <c r="K216" s="335"/>
      <c r="L216" s="335"/>
      <c r="M216" s="335"/>
      <c r="N216" s="335"/>
      <c r="O216" s="335"/>
      <c r="P216" s="335"/>
      <c r="Q216" s="335"/>
      <c r="R216" s="335"/>
      <c r="S216" s="335">
        <v>229</v>
      </c>
      <c r="T216" s="335">
        <v>150</v>
      </c>
      <c r="U216" s="335"/>
      <c r="V216" s="335"/>
      <c r="W216" s="335"/>
      <c r="X216" s="335"/>
      <c r="Y216" s="121"/>
    </row>
    <row r="217" spans="10:25" x14ac:dyDescent="0.2">
      <c r="J217" s="335"/>
      <c r="K217" s="335"/>
      <c r="L217" s="335"/>
      <c r="M217" s="335"/>
      <c r="N217" s="335"/>
      <c r="O217" s="335"/>
      <c r="P217" s="335"/>
      <c r="Q217" s="335"/>
      <c r="R217" s="335"/>
      <c r="S217" s="335">
        <v>230</v>
      </c>
      <c r="T217" s="335">
        <v>150</v>
      </c>
      <c r="U217" s="335"/>
      <c r="V217" s="335"/>
      <c r="W217" s="335"/>
      <c r="X217" s="335"/>
      <c r="Y217" s="121"/>
    </row>
    <row r="218" spans="10:25" x14ac:dyDescent="0.2">
      <c r="J218" s="335"/>
      <c r="K218" s="335"/>
      <c r="L218" s="335"/>
      <c r="M218" s="335"/>
      <c r="N218" s="335"/>
      <c r="O218" s="335"/>
      <c r="P218" s="335"/>
      <c r="Q218" s="335"/>
      <c r="R218" s="335"/>
      <c r="S218" s="335">
        <v>231</v>
      </c>
      <c r="T218" s="335">
        <v>150</v>
      </c>
      <c r="U218" s="335"/>
      <c r="V218" s="335"/>
      <c r="W218" s="335"/>
      <c r="X218" s="335"/>
      <c r="Y218" s="121"/>
    </row>
    <row r="219" spans="10:25" x14ac:dyDescent="0.2">
      <c r="J219" s="335"/>
      <c r="K219" s="335"/>
      <c r="L219" s="335"/>
      <c r="M219" s="335"/>
      <c r="N219" s="335"/>
      <c r="O219" s="335"/>
      <c r="P219" s="335"/>
      <c r="Q219" s="335"/>
      <c r="R219" s="335"/>
      <c r="S219" s="335">
        <v>232</v>
      </c>
      <c r="T219" s="335">
        <v>150</v>
      </c>
      <c r="U219" s="335"/>
      <c r="V219" s="335"/>
      <c r="W219" s="335"/>
      <c r="X219" s="335"/>
      <c r="Y219" s="121"/>
    </row>
    <row r="220" spans="10:25" x14ac:dyDescent="0.2">
      <c r="J220" s="335"/>
      <c r="K220" s="335"/>
      <c r="L220" s="335"/>
      <c r="M220" s="335"/>
      <c r="N220" s="335"/>
      <c r="O220" s="335"/>
      <c r="P220" s="335"/>
      <c r="Q220" s="335"/>
      <c r="R220" s="335"/>
      <c r="S220" s="335">
        <v>233</v>
      </c>
      <c r="T220" s="335">
        <v>150</v>
      </c>
      <c r="U220" s="335"/>
      <c r="V220" s="335"/>
      <c r="W220" s="335"/>
      <c r="X220" s="335"/>
      <c r="Y220" s="121"/>
    </row>
    <row r="221" spans="10:25" x14ac:dyDescent="0.2">
      <c r="J221" s="335"/>
      <c r="K221" s="335"/>
      <c r="L221" s="335"/>
      <c r="M221" s="335"/>
      <c r="N221" s="335"/>
      <c r="O221" s="335"/>
      <c r="P221" s="335"/>
      <c r="Q221" s="335"/>
      <c r="R221" s="335"/>
      <c r="S221" s="335">
        <v>234</v>
      </c>
      <c r="T221" s="335">
        <v>150</v>
      </c>
      <c r="U221" s="335"/>
      <c r="V221" s="335"/>
      <c r="W221" s="335"/>
      <c r="X221" s="335"/>
      <c r="Y221" s="121"/>
    </row>
    <row r="222" spans="10:25" x14ac:dyDescent="0.2">
      <c r="J222" s="335"/>
      <c r="K222" s="335"/>
      <c r="L222" s="335"/>
      <c r="M222" s="335"/>
      <c r="N222" s="335"/>
      <c r="O222" s="335"/>
      <c r="P222" s="335"/>
      <c r="Q222" s="335"/>
      <c r="R222" s="335"/>
      <c r="S222" s="335">
        <v>235</v>
      </c>
      <c r="T222" s="335">
        <v>150</v>
      </c>
      <c r="U222" s="335"/>
      <c r="V222" s="335"/>
      <c r="W222" s="335"/>
      <c r="X222" s="335"/>
      <c r="Y222" s="121"/>
    </row>
    <row r="223" spans="10:25" x14ac:dyDescent="0.2">
      <c r="J223" s="335"/>
      <c r="K223" s="335"/>
      <c r="L223" s="335"/>
      <c r="M223" s="335"/>
      <c r="N223" s="335"/>
      <c r="O223" s="335"/>
      <c r="P223" s="335"/>
      <c r="Q223" s="335"/>
      <c r="R223" s="335"/>
      <c r="S223" s="335">
        <v>236</v>
      </c>
      <c r="T223" s="335">
        <v>150</v>
      </c>
      <c r="U223" s="335"/>
      <c r="V223" s="335"/>
      <c r="W223" s="335"/>
      <c r="X223" s="335"/>
      <c r="Y223" s="121"/>
    </row>
    <row r="224" spans="10:25" x14ac:dyDescent="0.2">
      <c r="J224" s="335"/>
      <c r="K224" s="335"/>
      <c r="L224" s="335"/>
      <c r="M224" s="335"/>
      <c r="N224" s="335"/>
      <c r="O224" s="335"/>
      <c r="P224" s="335"/>
      <c r="Q224" s="335"/>
      <c r="R224" s="335"/>
      <c r="S224" s="335">
        <v>237</v>
      </c>
      <c r="T224" s="335">
        <v>150</v>
      </c>
      <c r="U224" s="335"/>
      <c r="V224" s="335"/>
      <c r="W224" s="335"/>
      <c r="X224" s="335"/>
      <c r="Y224" s="121"/>
    </row>
    <row r="225" spans="10:25" x14ac:dyDescent="0.2">
      <c r="J225" s="335"/>
      <c r="K225" s="335"/>
      <c r="L225" s="335"/>
      <c r="M225" s="335"/>
      <c r="N225" s="335"/>
      <c r="O225" s="335"/>
      <c r="P225" s="335"/>
      <c r="Q225" s="335"/>
      <c r="R225" s="335"/>
      <c r="S225" s="335">
        <v>238</v>
      </c>
      <c r="T225" s="335">
        <v>150</v>
      </c>
      <c r="U225" s="335"/>
      <c r="V225" s="335"/>
      <c r="W225" s="335"/>
      <c r="X225" s="335"/>
      <c r="Y225" s="121"/>
    </row>
    <row r="226" spans="10:25" x14ac:dyDescent="0.2">
      <c r="J226" s="335"/>
      <c r="K226" s="335"/>
      <c r="L226" s="335"/>
      <c r="M226" s="335"/>
      <c r="N226" s="335"/>
      <c r="O226" s="335"/>
      <c r="P226" s="335"/>
      <c r="Q226" s="335"/>
      <c r="R226" s="335"/>
      <c r="S226" s="335">
        <v>239</v>
      </c>
      <c r="T226" s="335">
        <v>150</v>
      </c>
      <c r="U226" s="335"/>
      <c r="V226" s="335"/>
      <c r="W226" s="335"/>
      <c r="X226" s="335"/>
      <c r="Y226" s="121"/>
    </row>
    <row r="227" spans="10:25" x14ac:dyDescent="0.2">
      <c r="J227" s="335"/>
      <c r="K227" s="335"/>
      <c r="L227" s="335"/>
      <c r="M227" s="335"/>
      <c r="N227" s="335"/>
      <c r="O227" s="335"/>
      <c r="P227" s="335"/>
      <c r="Q227" s="335"/>
      <c r="R227" s="335"/>
      <c r="S227" s="335">
        <v>240</v>
      </c>
      <c r="T227" s="335">
        <v>150</v>
      </c>
      <c r="U227" s="335"/>
      <c r="V227" s="335"/>
      <c r="W227" s="335"/>
      <c r="X227" s="335"/>
      <c r="Y227" s="121"/>
    </row>
    <row r="228" spans="10:25" x14ac:dyDescent="0.2">
      <c r="J228" s="335"/>
      <c r="K228" s="335"/>
      <c r="L228" s="335"/>
      <c r="M228" s="335"/>
      <c r="N228" s="335"/>
      <c r="O228" s="335"/>
      <c r="P228" s="335"/>
      <c r="Q228" s="335"/>
      <c r="R228" s="335"/>
      <c r="S228" s="335">
        <v>241</v>
      </c>
      <c r="T228" s="335">
        <v>150</v>
      </c>
      <c r="U228" s="335"/>
      <c r="V228" s="335"/>
      <c r="W228" s="335"/>
      <c r="X228" s="335"/>
      <c r="Y228" s="121"/>
    </row>
    <row r="229" spans="10:25" x14ac:dyDescent="0.2">
      <c r="J229" s="335"/>
      <c r="K229" s="335"/>
      <c r="L229" s="335"/>
      <c r="M229" s="335"/>
      <c r="N229" s="335"/>
      <c r="O229" s="335"/>
      <c r="P229" s="335"/>
      <c r="Q229" s="335"/>
      <c r="R229" s="335"/>
      <c r="S229" s="335">
        <v>242</v>
      </c>
      <c r="T229" s="335">
        <v>150</v>
      </c>
      <c r="U229" s="335"/>
      <c r="V229" s="335"/>
      <c r="W229" s="335"/>
      <c r="X229" s="335"/>
      <c r="Y229" s="121"/>
    </row>
    <row r="230" spans="10:25" x14ac:dyDescent="0.2">
      <c r="J230" s="335"/>
      <c r="K230" s="335"/>
      <c r="L230" s="335"/>
      <c r="M230" s="335"/>
      <c r="N230" s="335"/>
      <c r="O230" s="335"/>
      <c r="P230" s="335"/>
      <c r="Q230" s="335"/>
      <c r="R230" s="335"/>
      <c r="S230" s="335">
        <v>243</v>
      </c>
      <c r="T230" s="335">
        <v>150</v>
      </c>
      <c r="U230" s="335"/>
      <c r="V230" s="335"/>
      <c r="W230" s="335"/>
      <c r="X230" s="335"/>
      <c r="Y230" s="121"/>
    </row>
    <row r="231" spans="10:25" x14ac:dyDescent="0.2">
      <c r="J231" s="335"/>
      <c r="K231" s="335"/>
      <c r="L231" s="335"/>
      <c r="M231" s="335"/>
      <c r="N231" s="335"/>
      <c r="O231" s="335"/>
      <c r="P231" s="335"/>
      <c r="Q231" s="335"/>
      <c r="R231" s="335"/>
      <c r="S231" s="335">
        <v>244</v>
      </c>
      <c r="T231" s="335">
        <v>150</v>
      </c>
      <c r="U231" s="335"/>
      <c r="V231" s="335"/>
      <c r="W231" s="335"/>
      <c r="X231" s="335"/>
      <c r="Y231" s="121"/>
    </row>
    <row r="232" spans="10:25" x14ac:dyDescent="0.2">
      <c r="J232" s="335"/>
      <c r="K232" s="335"/>
      <c r="L232" s="335"/>
      <c r="M232" s="335"/>
      <c r="N232" s="335"/>
      <c r="O232" s="335"/>
      <c r="P232" s="335"/>
      <c r="Q232" s="335"/>
      <c r="R232" s="335"/>
      <c r="S232" s="335">
        <v>245</v>
      </c>
      <c r="T232" s="335">
        <v>150</v>
      </c>
      <c r="U232" s="335"/>
      <c r="V232" s="335"/>
      <c r="W232" s="335"/>
      <c r="X232" s="335"/>
      <c r="Y232" s="121"/>
    </row>
    <row r="233" spans="10:25" x14ac:dyDescent="0.2">
      <c r="J233" s="335"/>
      <c r="K233" s="335"/>
      <c r="L233" s="335"/>
      <c r="M233" s="335"/>
      <c r="N233" s="335"/>
      <c r="O233" s="335"/>
      <c r="P233" s="335"/>
      <c r="Q233" s="335"/>
      <c r="R233" s="335"/>
      <c r="S233" s="335">
        <v>246</v>
      </c>
      <c r="T233" s="335">
        <v>150</v>
      </c>
      <c r="U233" s="335"/>
      <c r="V233" s="335"/>
      <c r="W233" s="335"/>
      <c r="X233" s="335"/>
      <c r="Y233" s="121"/>
    </row>
    <row r="234" spans="10:25" x14ac:dyDescent="0.2">
      <c r="J234" s="335"/>
      <c r="K234" s="335"/>
      <c r="L234" s="335"/>
      <c r="M234" s="335"/>
      <c r="N234" s="335"/>
      <c r="O234" s="335"/>
      <c r="P234" s="335"/>
      <c r="Q234" s="335"/>
      <c r="R234" s="335"/>
      <c r="S234" s="335">
        <v>247</v>
      </c>
      <c r="T234" s="335">
        <v>150</v>
      </c>
      <c r="U234" s="335"/>
      <c r="V234" s="335"/>
      <c r="W234" s="335"/>
      <c r="X234" s="335"/>
      <c r="Y234" s="121"/>
    </row>
    <row r="235" spans="10:25" x14ac:dyDescent="0.2">
      <c r="J235" s="335"/>
      <c r="K235" s="335"/>
      <c r="L235" s="335"/>
      <c r="M235" s="335"/>
      <c r="N235" s="335"/>
      <c r="O235" s="335"/>
      <c r="P235" s="335"/>
      <c r="Q235" s="335"/>
      <c r="R235" s="335"/>
      <c r="S235" s="335">
        <v>248</v>
      </c>
      <c r="T235" s="335">
        <v>150</v>
      </c>
      <c r="U235" s="335"/>
      <c r="V235" s="335"/>
      <c r="W235" s="335"/>
      <c r="X235" s="335"/>
      <c r="Y235" s="121"/>
    </row>
    <row r="236" spans="10:25" x14ac:dyDescent="0.2">
      <c r="J236" s="335"/>
      <c r="K236" s="335"/>
      <c r="L236" s="335"/>
      <c r="M236" s="335"/>
      <c r="N236" s="335"/>
      <c r="O236" s="335"/>
      <c r="P236" s="335"/>
      <c r="Q236" s="335"/>
      <c r="R236" s="335"/>
      <c r="S236" s="335">
        <v>249</v>
      </c>
      <c r="T236" s="335">
        <v>150</v>
      </c>
      <c r="U236" s="335"/>
      <c r="V236" s="335"/>
      <c r="W236" s="335"/>
      <c r="X236" s="335"/>
      <c r="Y236" s="121"/>
    </row>
    <row r="237" spans="10:25" x14ac:dyDescent="0.2">
      <c r="J237" s="335"/>
      <c r="K237" s="335"/>
      <c r="L237" s="335"/>
      <c r="M237" s="335"/>
      <c r="N237" s="335"/>
      <c r="O237" s="335"/>
      <c r="P237" s="335"/>
      <c r="Q237" s="335"/>
      <c r="R237" s="335"/>
      <c r="S237" s="335">
        <v>250</v>
      </c>
      <c r="T237" s="335">
        <v>150</v>
      </c>
      <c r="U237" s="335"/>
      <c r="V237" s="335"/>
      <c r="W237" s="335"/>
      <c r="X237" s="335"/>
      <c r="Y237" s="121"/>
    </row>
    <row r="238" spans="10:25" x14ac:dyDescent="0.2">
      <c r="J238" s="335"/>
      <c r="K238" s="335"/>
      <c r="L238" s="335"/>
      <c r="M238" s="335"/>
      <c r="N238" s="335"/>
      <c r="O238" s="335"/>
      <c r="P238" s="335"/>
      <c r="Q238" s="335"/>
      <c r="R238" s="335"/>
      <c r="S238" s="335">
        <v>251</v>
      </c>
      <c r="T238" s="335">
        <v>150</v>
      </c>
      <c r="U238" s="335"/>
      <c r="V238" s="335"/>
      <c r="W238" s="335"/>
      <c r="X238" s="335"/>
      <c r="Y238" s="121"/>
    </row>
    <row r="239" spans="10:25" x14ac:dyDescent="0.2">
      <c r="J239" s="335"/>
      <c r="K239" s="335"/>
      <c r="L239" s="335"/>
      <c r="M239" s="335"/>
      <c r="N239" s="335"/>
      <c r="O239" s="335"/>
      <c r="P239" s="335"/>
      <c r="Q239" s="335"/>
      <c r="R239" s="335"/>
      <c r="S239" s="335">
        <v>252</v>
      </c>
      <c r="T239" s="335">
        <v>150</v>
      </c>
      <c r="U239" s="335"/>
      <c r="V239" s="335"/>
      <c r="W239" s="335"/>
      <c r="X239" s="335"/>
      <c r="Y239" s="121"/>
    </row>
    <row r="240" spans="10:25" x14ac:dyDescent="0.2">
      <c r="J240" s="335"/>
      <c r="K240" s="335"/>
      <c r="L240" s="335"/>
      <c r="M240" s="335"/>
      <c r="N240" s="335"/>
      <c r="O240" s="335"/>
      <c r="P240" s="335"/>
      <c r="Q240" s="335"/>
      <c r="R240" s="335"/>
      <c r="S240" s="335">
        <v>253</v>
      </c>
      <c r="T240" s="335">
        <v>150</v>
      </c>
      <c r="U240" s="335"/>
      <c r="V240" s="335"/>
      <c r="W240" s="335"/>
      <c r="X240" s="335"/>
      <c r="Y240" s="121"/>
    </row>
    <row r="241" spans="10:25" x14ac:dyDescent="0.2">
      <c r="J241" s="335"/>
      <c r="K241" s="335"/>
      <c r="L241" s="335"/>
      <c r="M241" s="335"/>
      <c r="N241" s="335"/>
      <c r="O241" s="335"/>
      <c r="P241" s="335"/>
      <c r="Q241" s="335"/>
      <c r="R241" s="335"/>
      <c r="S241" s="335">
        <v>254</v>
      </c>
      <c r="T241" s="335">
        <v>150</v>
      </c>
      <c r="U241" s="335"/>
      <c r="V241" s="335"/>
      <c r="W241" s="335"/>
      <c r="X241" s="335"/>
      <c r="Y241" s="121"/>
    </row>
    <row r="242" spans="10:25" x14ac:dyDescent="0.2">
      <c r="J242" s="335"/>
      <c r="K242" s="335"/>
      <c r="L242" s="335"/>
      <c r="M242" s="335"/>
      <c r="N242" s="335"/>
      <c r="O242" s="335"/>
      <c r="P242" s="335"/>
      <c r="Q242" s="335"/>
      <c r="R242" s="335"/>
      <c r="S242" s="335">
        <v>255</v>
      </c>
      <c r="T242" s="335">
        <v>150</v>
      </c>
      <c r="U242" s="335"/>
      <c r="V242" s="335"/>
      <c r="W242" s="335"/>
      <c r="X242" s="335"/>
      <c r="Y242" s="121"/>
    </row>
    <row r="243" spans="10:25" x14ac:dyDescent="0.2">
      <c r="J243" s="335"/>
      <c r="K243" s="335"/>
      <c r="L243" s="335"/>
      <c r="M243" s="335"/>
      <c r="N243" s="335"/>
      <c r="O243" s="335"/>
      <c r="P243" s="335"/>
      <c r="Q243" s="335"/>
      <c r="R243" s="335"/>
      <c r="S243" s="335">
        <v>256</v>
      </c>
      <c r="T243" s="335">
        <v>150</v>
      </c>
      <c r="U243" s="335"/>
      <c r="V243" s="335"/>
      <c r="W243" s="335"/>
      <c r="X243" s="335"/>
      <c r="Y243" s="121"/>
    </row>
    <row r="244" spans="10:25" x14ac:dyDescent="0.2">
      <c r="J244" s="335"/>
      <c r="K244" s="335"/>
      <c r="L244" s="335"/>
      <c r="M244" s="335"/>
      <c r="N244" s="335"/>
      <c r="O244" s="335"/>
      <c r="P244" s="335"/>
      <c r="Q244" s="335"/>
      <c r="R244" s="335"/>
      <c r="S244" s="335">
        <v>257</v>
      </c>
      <c r="T244" s="335">
        <v>150</v>
      </c>
      <c r="U244" s="335"/>
      <c r="V244" s="335"/>
      <c r="W244" s="335"/>
      <c r="X244" s="335"/>
      <c r="Y244" s="121"/>
    </row>
    <row r="245" spans="10:25" x14ac:dyDescent="0.2">
      <c r="J245" s="335"/>
      <c r="K245" s="335"/>
      <c r="L245" s="335"/>
      <c r="M245" s="335"/>
      <c r="N245" s="335"/>
      <c r="O245" s="335"/>
      <c r="P245" s="335"/>
      <c r="Q245" s="335"/>
      <c r="R245" s="335"/>
      <c r="S245" s="335">
        <v>258</v>
      </c>
      <c r="T245" s="335">
        <v>150</v>
      </c>
      <c r="U245" s="335"/>
      <c r="V245" s="335"/>
      <c r="W245" s="335"/>
      <c r="X245" s="335"/>
      <c r="Y245" s="121"/>
    </row>
    <row r="246" spans="10:25" x14ac:dyDescent="0.2">
      <c r="J246" s="335"/>
      <c r="K246" s="335"/>
      <c r="L246" s="335"/>
      <c r="M246" s="335"/>
      <c r="N246" s="335"/>
      <c r="O246" s="335"/>
      <c r="P246" s="335"/>
      <c r="Q246" s="335"/>
      <c r="R246" s="335"/>
      <c r="S246" s="335">
        <v>259</v>
      </c>
      <c r="T246" s="335">
        <v>150</v>
      </c>
      <c r="U246" s="335"/>
      <c r="V246" s="335"/>
      <c r="W246" s="335"/>
      <c r="X246" s="335"/>
      <c r="Y246" s="121"/>
    </row>
    <row r="247" spans="10:25" x14ac:dyDescent="0.2">
      <c r="J247" s="335"/>
      <c r="K247" s="335"/>
      <c r="L247" s="335"/>
      <c r="M247" s="335"/>
      <c r="N247" s="335"/>
      <c r="O247" s="335"/>
      <c r="P247" s="335"/>
      <c r="Q247" s="335"/>
      <c r="R247" s="335"/>
      <c r="S247" s="335">
        <v>260</v>
      </c>
      <c r="T247" s="335">
        <v>150</v>
      </c>
      <c r="U247" s="335"/>
      <c r="V247" s="335"/>
      <c r="W247" s="335"/>
      <c r="X247" s="335"/>
      <c r="Y247" s="121"/>
    </row>
    <row r="248" spans="10:25" x14ac:dyDescent="0.2">
      <c r="J248" s="335"/>
      <c r="K248" s="335"/>
      <c r="L248" s="335"/>
      <c r="M248" s="335"/>
      <c r="N248" s="335"/>
      <c r="O248" s="335"/>
      <c r="P248" s="335"/>
      <c r="Q248" s="335"/>
      <c r="R248" s="335"/>
      <c r="S248" s="335">
        <v>261</v>
      </c>
      <c r="T248" s="335">
        <v>150</v>
      </c>
      <c r="U248" s="335"/>
      <c r="V248" s="335"/>
      <c r="W248" s="335"/>
      <c r="X248" s="335"/>
      <c r="Y248" s="121"/>
    </row>
    <row r="249" spans="10:25" x14ac:dyDescent="0.2">
      <c r="J249" s="335"/>
      <c r="K249" s="335"/>
      <c r="L249" s="335"/>
      <c r="M249" s="335"/>
      <c r="N249" s="335"/>
      <c r="O249" s="335"/>
      <c r="P249" s="335"/>
      <c r="Q249" s="335"/>
      <c r="R249" s="335"/>
      <c r="S249" s="335">
        <v>262</v>
      </c>
      <c r="T249" s="335">
        <v>150</v>
      </c>
      <c r="U249" s="335"/>
      <c r="V249" s="335"/>
      <c r="W249" s="335"/>
      <c r="X249" s="335"/>
      <c r="Y249" s="121"/>
    </row>
    <row r="250" spans="10:25" x14ac:dyDescent="0.2">
      <c r="J250" s="335"/>
      <c r="K250" s="335"/>
      <c r="L250" s="335"/>
      <c r="M250" s="335"/>
      <c r="N250" s="335"/>
      <c r="O250" s="335"/>
      <c r="P250" s="335"/>
      <c r="Q250" s="335"/>
      <c r="R250" s="335"/>
      <c r="S250" s="335">
        <v>263</v>
      </c>
      <c r="T250" s="335">
        <v>150</v>
      </c>
      <c r="U250" s="335"/>
      <c r="V250" s="335"/>
      <c r="W250" s="335"/>
      <c r="X250" s="335"/>
      <c r="Y250" s="121"/>
    </row>
    <row r="251" spans="10:25" x14ac:dyDescent="0.2">
      <c r="J251" s="335"/>
      <c r="K251" s="335"/>
      <c r="L251" s="335"/>
      <c r="M251" s="335"/>
      <c r="N251" s="335"/>
      <c r="O251" s="335"/>
      <c r="P251" s="335"/>
      <c r="Q251" s="335"/>
      <c r="R251" s="335"/>
      <c r="S251" s="335">
        <v>264</v>
      </c>
      <c r="T251" s="335">
        <v>150</v>
      </c>
      <c r="U251" s="335"/>
      <c r="V251" s="335"/>
      <c r="W251" s="335"/>
      <c r="X251" s="335"/>
      <c r="Y251" s="121"/>
    </row>
    <row r="252" spans="10:25" x14ac:dyDescent="0.2">
      <c r="J252" s="335"/>
      <c r="K252" s="335"/>
      <c r="L252" s="335"/>
      <c r="M252" s="335"/>
      <c r="N252" s="335"/>
      <c r="O252" s="335"/>
      <c r="P252" s="335"/>
      <c r="Q252" s="335"/>
      <c r="R252" s="335"/>
      <c r="S252" s="335">
        <v>265</v>
      </c>
      <c r="T252" s="335">
        <v>150</v>
      </c>
      <c r="U252" s="335"/>
      <c r="V252" s="335"/>
      <c r="W252" s="335"/>
      <c r="X252" s="335"/>
      <c r="Y252" s="121"/>
    </row>
    <row r="253" spans="10:25" x14ac:dyDescent="0.2">
      <c r="J253" s="335"/>
      <c r="K253" s="335"/>
      <c r="L253" s="335"/>
      <c r="M253" s="335"/>
      <c r="N253" s="335"/>
      <c r="O253" s="335"/>
      <c r="P253" s="335"/>
      <c r="Q253" s="335"/>
      <c r="R253" s="335"/>
      <c r="S253" s="335">
        <v>266</v>
      </c>
      <c r="T253" s="335">
        <v>150</v>
      </c>
      <c r="U253" s="335"/>
      <c r="V253" s="335"/>
      <c r="W253" s="335"/>
      <c r="X253" s="335"/>
      <c r="Y253" s="121"/>
    </row>
    <row r="254" spans="10:25" x14ac:dyDescent="0.2">
      <c r="J254" s="335"/>
      <c r="K254" s="335"/>
      <c r="L254" s="335"/>
      <c r="M254" s="335"/>
      <c r="N254" s="335"/>
      <c r="O254" s="335"/>
      <c r="P254" s="335"/>
      <c r="Q254" s="335"/>
      <c r="R254" s="335"/>
      <c r="S254" s="335">
        <v>267</v>
      </c>
      <c r="T254" s="335">
        <v>150</v>
      </c>
      <c r="U254" s="335"/>
      <c r="V254" s="335"/>
      <c r="W254" s="335"/>
      <c r="X254" s="335"/>
      <c r="Y254" s="121"/>
    </row>
    <row r="255" spans="10:25" x14ac:dyDescent="0.2">
      <c r="J255" s="335"/>
      <c r="K255" s="335"/>
      <c r="L255" s="335"/>
      <c r="M255" s="335"/>
      <c r="N255" s="335"/>
      <c r="O255" s="335"/>
      <c r="P255" s="335"/>
      <c r="Q255" s="335"/>
      <c r="R255" s="335"/>
      <c r="S255" s="335">
        <v>268</v>
      </c>
      <c r="T255" s="335">
        <v>150</v>
      </c>
      <c r="U255" s="335"/>
      <c r="V255" s="335"/>
      <c r="W255" s="335"/>
      <c r="X255" s="335"/>
      <c r="Y255" s="121"/>
    </row>
    <row r="256" spans="10:25" x14ac:dyDescent="0.2">
      <c r="J256" s="335"/>
      <c r="K256" s="335"/>
      <c r="L256" s="335"/>
      <c r="M256" s="335"/>
      <c r="N256" s="335"/>
      <c r="O256" s="335"/>
      <c r="P256" s="335"/>
      <c r="Q256" s="335"/>
      <c r="R256" s="335"/>
      <c r="S256" s="335">
        <v>269</v>
      </c>
      <c r="T256" s="335">
        <v>150</v>
      </c>
      <c r="U256" s="335"/>
      <c r="V256" s="335"/>
      <c r="W256" s="335"/>
      <c r="X256" s="335"/>
      <c r="Y256" s="121"/>
    </row>
    <row r="257" spans="10:25" x14ac:dyDescent="0.2">
      <c r="J257" s="335"/>
      <c r="K257" s="335"/>
      <c r="L257" s="335"/>
      <c r="M257" s="335"/>
      <c r="N257" s="335"/>
      <c r="O257" s="335"/>
      <c r="P257" s="335"/>
      <c r="Q257" s="335"/>
      <c r="R257" s="335"/>
      <c r="S257" s="335">
        <v>270</v>
      </c>
      <c r="T257" s="335">
        <v>150</v>
      </c>
      <c r="U257" s="335"/>
      <c r="V257" s="335"/>
      <c r="W257" s="335"/>
      <c r="X257" s="335"/>
      <c r="Y257" s="121"/>
    </row>
    <row r="258" spans="10:25" x14ac:dyDescent="0.2">
      <c r="J258" s="335"/>
      <c r="K258" s="335"/>
      <c r="L258" s="335"/>
      <c r="M258" s="335"/>
      <c r="N258" s="335"/>
      <c r="O258" s="335"/>
      <c r="P258" s="335"/>
      <c r="Q258" s="335"/>
      <c r="R258" s="335"/>
      <c r="S258" s="335">
        <v>271</v>
      </c>
      <c r="T258" s="335">
        <v>150</v>
      </c>
      <c r="U258" s="335"/>
      <c r="V258" s="335"/>
      <c r="W258" s="335"/>
      <c r="X258" s="335"/>
      <c r="Y258" s="121"/>
    </row>
    <row r="259" spans="10:25" x14ac:dyDescent="0.2">
      <c r="J259" s="335"/>
      <c r="K259" s="335"/>
      <c r="L259" s="335"/>
      <c r="M259" s="335"/>
      <c r="N259" s="335"/>
      <c r="O259" s="335"/>
      <c r="P259" s="335"/>
      <c r="Q259" s="335"/>
      <c r="R259" s="335"/>
      <c r="S259" s="335">
        <v>272</v>
      </c>
      <c r="T259" s="335">
        <v>150</v>
      </c>
      <c r="U259" s="335"/>
      <c r="V259" s="335"/>
      <c r="W259" s="335"/>
      <c r="X259" s="335"/>
      <c r="Y259" s="121"/>
    </row>
    <row r="260" spans="10:25" x14ac:dyDescent="0.2">
      <c r="J260" s="335"/>
      <c r="K260" s="335"/>
      <c r="L260" s="335"/>
      <c r="M260" s="335"/>
      <c r="N260" s="335"/>
      <c r="O260" s="335"/>
      <c r="P260" s="335"/>
      <c r="Q260" s="335"/>
      <c r="R260" s="335"/>
      <c r="S260" s="335">
        <v>273</v>
      </c>
      <c r="T260" s="335">
        <v>150</v>
      </c>
      <c r="U260" s="335"/>
      <c r="V260" s="335"/>
      <c r="W260" s="335"/>
      <c r="X260" s="335"/>
      <c r="Y260" s="121"/>
    </row>
    <row r="261" spans="10:25" x14ac:dyDescent="0.2">
      <c r="J261" s="335"/>
      <c r="K261" s="335"/>
      <c r="L261" s="335"/>
      <c r="M261" s="335"/>
      <c r="N261" s="335"/>
      <c r="O261" s="335"/>
      <c r="P261" s="335"/>
      <c r="Q261" s="335"/>
      <c r="R261" s="335"/>
      <c r="S261" s="335">
        <v>274</v>
      </c>
      <c r="T261" s="335">
        <v>150</v>
      </c>
      <c r="U261" s="335"/>
      <c r="V261" s="335"/>
      <c r="W261" s="335"/>
      <c r="X261" s="335"/>
      <c r="Y261" s="121"/>
    </row>
    <row r="262" spans="10:25" x14ac:dyDescent="0.2">
      <c r="J262" s="335"/>
      <c r="K262" s="335"/>
      <c r="L262" s="335"/>
      <c r="M262" s="335"/>
      <c r="N262" s="335"/>
      <c r="O262" s="335"/>
      <c r="P262" s="335"/>
      <c r="Q262" s="335"/>
      <c r="R262" s="335"/>
      <c r="S262" s="335">
        <v>275</v>
      </c>
      <c r="T262" s="335">
        <v>150</v>
      </c>
      <c r="U262" s="335"/>
      <c r="V262" s="335"/>
      <c r="W262" s="335"/>
      <c r="X262" s="335"/>
      <c r="Y262" s="121"/>
    </row>
    <row r="263" spans="10:25" x14ac:dyDescent="0.2">
      <c r="J263" s="335"/>
      <c r="K263" s="335"/>
      <c r="L263" s="335"/>
      <c r="M263" s="335"/>
      <c r="N263" s="335"/>
      <c r="O263" s="335"/>
      <c r="P263" s="335"/>
      <c r="Q263" s="335"/>
      <c r="R263" s="335"/>
      <c r="S263" s="335">
        <v>276</v>
      </c>
      <c r="T263" s="335">
        <v>150</v>
      </c>
      <c r="U263" s="335"/>
      <c r="V263" s="335"/>
      <c r="W263" s="335"/>
      <c r="X263" s="335"/>
      <c r="Y263" s="121"/>
    </row>
    <row r="264" spans="10:25" x14ac:dyDescent="0.2">
      <c r="J264" s="335"/>
      <c r="K264" s="335"/>
      <c r="L264" s="335"/>
      <c r="M264" s="335"/>
      <c r="N264" s="335"/>
      <c r="O264" s="335"/>
      <c r="P264" s="335"/>
      <c r="Q264" s="335"/>
      <c r="R264" s="335"/>
      <c r="S264" s="335">
        <v>277</v>
      </c>
      <c r="T264" s="335">
        <v>150</v>
      </c>
      <c r="U264" s="335"/>
      <c r="V264" s="335"/>
      <c r="W264" s="335"/>
      <c r="X264" s="335"/>
      <c r="Y264" s="121"/>
    </row>
    <row r="265" spans="10:25" x14ac:dyDescent="0.2">
      <c r="J265" s="335"/>
      <c r="K265" s="335"/>
      <c r="L265" s="335"/>
      <c r="M265" s="335"/>
      <c r="N265" s="335"/>
      <c r="O265" s="335"/>
      <c r="P265" s="335"/>
      <c r="Q265" s="335"/>
      <c r="R265" s="335"/>
      <c r="S265" s="335">
        <v>278</v>
      </c>
      <c r="T265" s="335">
        <v>150</v>
      </c>
      <c r="U265" s="335"/>
      <c r="V265" s="335"/>
      <c r="W265" s="335"/>
      <c r="X265" s="335"/>
      <c r="Y265" s="121"/>
    </row>
    <row r="266" spans="10:25" x14ac:dyDescent="0.2">
      <c r="J266" s="335"/>
      <c r="K266" s="335"/>
      <c r="L266" s="335"/>
      <c r="M266" s="335"/>
      <c r="N266" s="335"/>
      <c r="O266" s="335"/>
      <c r="P266" s="335"/>
      <c r="Q266" s="335"/>
      <c r="R266" s="335"/>
      <c r="S266" s="335">
        <v>279</v>
      </c>
      <c r="T266" s="335">
        <v>150</v>
      </c>
      <c r="U266" s="335"/>
      <c r="V266" s="335"/>
      <c r="W266" s="335"/>
      <c r="X266" s="335"/>
      <c r="Y266" s="121"/>
    </row>
    <row r="267" spans="10:25" x14ac:dyDescent="0.2">
      <c r="J267" s="335"/>
      <c r="K267" s="335"/>
      <c r="L267" s="335"/>
      <c r="M267" s="335"/>
      <c r="N267" s="335"/>
      <c r="O267" s="335"/>
      <c r="P267" s="335"/>
      <c r="Q267" s="335"/>
      <c r="R267" s="335"/>
      <c r="S267" s="335">
        <v>280</v>
      </c>
      <c r="T267" s="335">
        <v>150</v>
      </c>
      <c r="U267" s="335"/>
      <c r="V267" s="335"/>
      <c r="W267" s="335"/>
      <c r="X267" s="335"/>
      <c r="Y267" s="121"/>
    </row>
    <row r="268" spans="10:25" x14ac:dyDescent="0.2">
      <c r="J268" s="335"/>
      <c r="K268" s="335"/>
      <c r="L268" s="335"/>
      <c r="M268" s="335"/>
      <c r="N268" s="335"/>
      <c r="O268" s="335"/>
      <c r="P268" s="335"/>
      <c r="Q268" s="335"/>
      <c r="R268" s="335"/>
      <c r="S268" s="335">
        <v>281</v>
      </c>
      <c r="T268" s="335">
        <v>150</v>
      </c>
      <c r="U268" s="335"/>
      <c r="V268" s="335"/>
      <c r="W268" s="335"/>
      <c r="X268" s="335"/>
      <c r="Y268" s="121"/>
    </row>
    <row r="269" spans="10:25" x14ac:dyDescent="0.2">
      <c r="J269" s="335"/>
      <c r="K269" s="335"/>
      <c r="L269" s="335"/>
      <c r="M269" s="335"/>
      <c r="N269" s="335"/>
      <c r="O269" s="335"/>
      <c r="P269" s="335"/>
      <c r="Q269" s="335"/>
      <c r="R269" s="335"/>
      <c r="S269" s="335">
        <v>282</v>
      </c>
      <c r="T269" s="335">
        <v>150</v>
      </c>
      <c r="U269" s="335"/>
      <c r="V269" s="335"/>
      <c r="W269" s="335"/>
      <c r="X269" s="335"/>
      <c r="Y269" s="121"/>
    </row>
    <row r="270" spans="10:25" x14ac:dyDescent="0.2">
      <c r="J270" s="335"/>
      <c r="K270" s="335"/>
      <c r="L270" s="335"/>
      <c r="M270" s="335"/>
      <c r="N270" s="335"/>
      <c r="O270" s="335"/>
      <c r="P270" s="335"/>
      <c r="Q270" s="335"/>
      <c r="R270" s="335"/>
      <c r="S270" s="335">
        <v>283</v>
      </c>
      <c r="T270" s="335">
        <v>150</v>
      </c>
      <c r="U270" s="335"/>
      <c r="V270" s="335"/>
      <c r="W270" s="335"/>
      <c r="X270" s="335"/>
      <c r="Y270" s="121"/>
    </row>
    <row r="271" spans="10:25" x14ac:dyDescent="0.2">
      <c r="J271" s="335"/>
      <c r="K271" s="335"/>
      <c r="L271" s="335"/>
      <c r="M271" s="335"/>
      <c r="N271" s="335"/>
      <c r="O271" s="335"/>
      <c r="P271" s="335"/>
      <c r="Q271" s="335"/>
      <c r="R271" s="335"/>
      <c r="S271" s="335">
        <v>284</v>
      </c>
      <c r="T271" s="335">
        <v>150</v>
      </c>
      <c r="U271" s="335"/>
      <c r="V271" s="335"/>
      <c r="W271" s="335"/>
      <c r="X271" s="335"/>
      <c r="Y271" s="121"/>
    </row>
    <row r="272" spans="10:25" x14ac:dyDescent="0.2">
      <c r="J272" s="335"/>
      <c r="K272" s="335"/>
      <c r="L272" s="335"/>
      <c r="M272" s="335"/>
      <c r="N272" s="335"/>
      <c r="O272" s="335"/>
      <c r="P272" s="335"/>
      <c r="Q272" s="335"/>
      <c r="R272" s="335"/>
      <c r="S272" s="335">
        <v>285</v>
      </c>
      <c r="T272" s="335">
        <v>150</v>
      </c>
      <c r="U272" s="335"/>
      <c r="V272" s="335"/>
      <c r="W272" s="335"/>
      <c r="X272" s="335"/>
      <c r="Y272" s="121"/>
    </row>
    <row r="273" spans="10:25" x14ac:dyDescent="0.2">
      <c r="J273" s="335"/>
      <c r="K273" s="335"/>
      <c r="L273" s="335"/>
      <c r="M273" s="335"/>
      <c r="N273" s="335"/>
      <c r="O273" s="335"/>
      <c r="P273" s="335"/>
      <c r="Q273" s="335"/>
      <c r="R273" s="335"/>
      <c r="S273" s="335">
        <v>286</v>
      </c>
      <c r="T273" s="335">
        <v>150</v>
      </c>
      <c r="U273" s="335"/>
      <c r="V273" s="335"/>
      <c r="W273" s="335"/>
      <c r="X273" s="335"/>
      <c r="Y273" s="121"/>
    </row>
    <row r="274" spans="10:25" x14ac:dyDescent="0.2">
      <c r="J274" s="335"/>
      <c r="K274" s="335"/>
      <c r="L274" s="335"/>
      <c r="M274" s="335"/>
      <c r="N274" s="335"/>
      <c r="O274" s="335"/>
      <c r="P274" s="335"/>
      <c r="Q274" s="335"/>
      <c r="R274" s="335"/>
      <c r="S274" s="335">
        <v>287</v>
      </c>
      <c r="T274" s="335">
        <v>150</v>
      </c>
      <c r="U274" s="335"/>
      <c r="V274" s="335"/>
      <c r="W274" s="335"/>
      <c r="X274" s="335"/>
      <c r="Y274" s="121"/>
    </row>
    <row r="275" spans="10:25" x14ac:dyDescent="0.2">
      <c r="J275" s="335"/>
      <c r="K275" s="335"/>
      <c r="L275" s="335"/>
      <c r="M275" s="335"/>
      <c r="N275" s="335"/>
      <c r="O275" s="335"/>
      <c r="P275" s="335"/>
      <c r="Q275" s="335"/>
      <c r="R275" s="335"/>
      <c r="S275" s="335">
        <v>288</v>
      </c>
      <c r="T275" s="335">
        <v>150</v>
      </c>
      <c r="U275" s="335"/>
      <c r="V275" s="335"/>
      <c r="W275" s="335"/>
      <c r="X275" s="335"/>
      <c r="Y275" s="121"/>
    </row>
    <row r="276" spans="10:25" x14ac:dyDescent="0.2">
      <c r="J276" s="335"/>
      <c r="K276" s="335"/>
      <c r="L276" s="335"/>
      <c r="M276" s="335"/>
      <c r="N276" s="335"/>
      <c r="O276" s="335"/>
      <c r="P276" s="335"/>
      <c r="Q276" s="335"/>
      <c r="R276" s="335"/>
      <c r="S276" s="335">
        <v>289</v>
      </c>
      <c r="T276" s="335">
        <v>150</v>
      </c>
      <c r="U276" s="335"/>
      <c r="V276" s="335"/>
      <c r="W276" s="335"/>
      <c r="X276" s="335"/>
      <c r="Y276" s="121"/>
    </row>
    <row r="277" spans="10:25" x14ac:dyDescent="0.2">
      <c r="J277" s="335"/>
      <c r="K277" s="335"/>
      <c r="L277" s="335"/>
      <c r="M277" s="335"/>
      <c r="N277" s="335"/>
      <c r="O277" s="335"/>
      <c r="P277" s="335"/>
      <c r="Q277" s="335"/>
      <c r="R277" s="335"/>
      <c r="S277" s="335">
        <v>290</v>
      </c>
      <c r="T277" s="335">
        <v>150</v>
      </c>
      <c r="U277" s="335"/>
      <c r="V277" s="335"/>
      <c r="W277" s="335"/>
      <c r="X277" s="335"/>
      <c r="Y277" s="121"/>
    </row>
    <row r="278" spans="10:25" x14ac:dyDescent="0.2">
      <c r="J278" s="335"/>
      <c r="K278" s="335"/>
      <c r="L278" s="335"/>
      <c r="M278" s="335"/>
      <c r="N278" s="335"/>
      <c r="O278" s="335"/>
      <c r="P278" s="335"/>
      <c r="Q278" s="335"/>
      <c r="R278" s="335"/>
      <c r="S278" s="335">
        <v>291</v>
      </c>
      <c r="T278" s="335">
        <v>150</v>
      </c>
      <c r="U278" s="335"/>
      <c r="V278" s="335"/>
      <c r="W278" s="335"/>
      <c r="X278" s="335"/>
      <c r="Y278" s="121"/>
    </row>
    <row r="279" spans="10:25" x14ac:dyDescent="0.2">
      <c r="J279" s="335"/>
      <c r="K279" s="335"/>
      <c r="L279" s="335"/>
      <c r="M279" s="335"/>
      <c r="N279" s="335"/>
      <c r="O279" s="335"/>
      <c r="P279" s="335"/>
      <c r="Q279" s="335"/>
      <c r="R279" s="335"/>
      <c r="S279" s="335">
        <v>292</v>
      </c>
      <c r="T279" s="335">
        <v>150</v>
      </c>
      <c r="U279" s="335"/>
      <c r="V279" s="335"/>
      <c r="W279" s="335"/>
      <c r="X279" s="335"/>
      <c r="Y279" s="121"/>
    </row>
    <row r="280" spans="10:25" x14ac:dyDescent="0.2">
      <c r="J280" s="335"/>
      <c r="K280" s="335"/>
      <c r="L280" s="335"/>
      <c r="M280" s="335"/>
      <c r="N280" s="335"/>
      <c r="O280" s="335"/>
      <c r="P280" s="335"/>
      <c r="Q280" s="335"/>
      <c r="R280" s="335"/>
      <c r="S280" s="335">
        <v>293</v>
      </c>
      <c r="T280" s="335">
        <v>150</v>
      </c>
      <c r="U280" s="335"/>
      <c r="V280" s="335"/>
      <c r="W280" s="335"/>
      <c r="X280" s="335"/>
      <c r="Y280" s="121"/>
    </row>
    <row r="281" spans="10:25" x14ac:dyDescent="0.2">
      <c r="J281" s="335"/>
      <c r="K281" s="335"/>
      <c r="L281" s="335"/>
      <c r="M281" s="335"/>
      <c r="N281" s="335"/>
      <c r="O281" s="335"/>
      <c r="P281" s="335"/>
      <c r="Q281" s="335"/>
      <c r="R281" s="335"/>
      <c r="S281" s="335">
        <v>294</v>
      </c>
      <c r="T281" s="335">
        <v>150</v>
      </c>
      <c r="U281" s="335"/>
      <c r="V281" s="335"/>
      <c r="W281" s="335"/>
      <c r="X281" s="335"/>
      <c r="Y281" s="121"/>
    </row>
    <row r="282" spans="10:25" x14ac:dyDescent="0.2">
      <c r="J282" s="335"/>
      <c r="K282" s="335"/>
      <c r="L282" s="335"/>
      <c r="M282" s="335"/>
      <c r="N282" s="335"/>
      <c r="O282" s="335"/>
      <c r="P282" s="335"/>
      <c r="Q282" s="335"/>
      <c r="R282" s="335"/>
      <c r="S282" s="335">
        <v>295</v>
      </c>
      <c r="T282" s="335">
        <v>150</v>
      </c>
      <c r="U282" s="335"/>
      <c r="V282" s="335"/>
      <c r="W282" s="335"/>
      <c r="X282" s="335"/>
      <c r="Y282" s="121"/>
    </row>
    <row r="283" spans="10:25" x14ac:dyDescent="0.2">
      <c r="J283" s="335"/>
      <c r="K283" s="335"/>
      <c r="L283" s="335"/>
      <c r="M283" s="335"/>
      <c r="N283" s="335"/>
      <c r="O283" s="335"/>
      <c r="P283" s="335"/>
      <c r="Q283" s="335"/>
      <c r="R283" s="335"/>
      <c r="S283" s="335">
        <v>296</v>
      </c>
      <c r="T283" s="335">
        <v>150</v>
      </c>
      <c r="U283" s="335"/>
      <c r="V283" s="335"/>
      <c r="W283" s="335"/>
      <c r="X283" s="335"/>
      <c r="Y283" s="121"/>
    </row>
    <row r="284" spans="10:25" x14ac:dyDescent="0.2">
      <c r="J284" s="335"/>
      <c r="K284" s="335"/>
      <c r="L284" s="335"/>
      <c r="M284" s="335"/>
      <c r="N284" s="335"/>
      <c r="O284" s="335"/>
      <c r="P284" s="335"/>
      <c r="Q284" s="335"/>
      <c r="R284" s="335"/>
      <c r="S284" s="335">
        <v>297</v>
      </c>
      <c r="T284" s="335">
        <v>150</v>
      </c>
      <c r="U284" s="335"/>
      <c r="V284" s="335"/>
      <c r="W284" s="335"/>
      <c r="X284" s="335"/>
      <c r="Y284" s="121"/>
    </row>
    <row r="285" spans="10:25" x14ac:dyDescent="0.2">
      <c r="J285" s="335"/>
      <c r="K285" s="335"/>
      <c r="L285" s="335"/>
      <c r="M285" s="335"/>
      <c r="N285" s="335"/>
      <c r="O285" s="335"/>
      <c r="P285" s="335"/>
      <c r="Q285" s="335"/>
      <c r="R285" s="335"/>
      <c r="S285" s="335">
        <v>298</v>
      </c>
      <c r="T285" s="335">
        <v>150</v>
      </c>
      <c r="U285" s="335"/>
      <c r="V285" s="335"/>
      <c r="W285" s="335"/>
      <c r="X285" s="335"/>
      <c r="Y285" s="121"/>
    </row>
    <row r="286" spans="10:25" x14ac:dyDescent="0.2">
      <c r="J286" s="335"/>
      <c r="K286" s="335"/>
      <c r="L286" s="335"/>
      <c r="M286" s="335"/>
      <c r="N286" s="335"/>
      <c r="O286" s="335"/>
      <c r="P286" s="335"/>
      <c r="Q286" s="335"/>
      <c r="R286" s="335"/>
      <c r="S286" s="335">
        <v>299</v>
      </c>
      <c r="T286" s="335">
        <v>150</v>
      </c>
      <c r="U286" s="335"/>
      <c r="V286" s="335"/>
      <c r="W286" s="335"/>
      <c r="X286" s="335"/>
      <c r="Y286" s="121"/>
    </row>
    <row r="287" spans="10:25" x14ac:dyDescent="0.2">
      <c r="J287" s="335"/>
      <c r="K287" s="335"/>
      <c r="L287" s="335"/>
      <c r="M287" s="335"/>
      <c r="N287" s="335"/>
      <c r="O287" s="335"/>
      <c r="P287" s="335"/>
      <c r="Q287" s="335"/>
      <c r="R287" s="335"/>
      <c r="S287" s="335">
        <v>300</v>
      </c>
      <c r="T287" s="335">
        <v>150</v>
      </c>
      <c r="U287" s="335">
        <v>300</v>
      </c>
      <c r="V287" s="335"/>
      <c r="W287" s="335"/>
      <c r="X287" s="335"/>
      <c r="Y287" s="121"/>
    </row>
    <row r="288" spans="10:25" x14ac:dyDescent="0.2">
      <c r="J288" s="335"/>
      <c r="K288" s="335"/>
      <c r="L288" s="335"/>
      <c r="M288" s="335"/>
      <c r="N288" s="335"/>
      <c r="O288" s="335"/>
      <c r="P288" s="335"/>
      <c r="Q288" s="335"/>
      <c r="R288" s="335"/>
      <c r="S288" s="335">
        <v>301</v>
      </c>
      <c r="T288" s="335">
        <v>150</v>
      </c>
      <c r="U288" s="335"/>
      <c r="V288" s="335"/>
      <c r="W288" s="335"/>
      <c r="X288" s="335"/>
      <c r="Y288" s="121"/>
    </row>
    <row r="289" spans="10:25" x14ac:dyDescent="0.2">
      <c r="J289" s="335"/>
      <c r="K289" s="335"/>
      <c r="L289" s="335"/>
      <c r="M289" s="335"/>
      <c r="N289" s="335"/>
      <c r="O289" s="335"/>
      <c r="P289" s="335"/>
      <c r="Q289" s="335"/>
      <c r="R289" s="335"/>
      <c r="S289" s="335">
        <v>302</v>
      </c>
      <c r="T289" s="335">
        <v>150</v>
      </c>
      <c r="U289" s="335"/>
      <c r="V289" s="335"/>
      <c r="W289" s="335"/>
      <c r="X289" s="335"/>
      <c r="Y289" s="121"/>
    </row>
    <row r="290" spans="10:25" x14ac:dyDescent="0.2">
      <c r="J290" s="335"/>
      <c r="K290" s="335"/>
      <c r="L290" s="335"/>
      <c r="M290" s="335"/>
      <c r="N290" s="335"/>
      <c r="O290" s="335"/>
      <c r="P290" s="335"/>
      <c r="Q290" s="335"/>
      <c r="R290" s="335"/>
      <c r="S290" s="335">
        <v>303</v>
      </c>
      <c r="T290" s="335">
        <v>150</v>
      </c>
      <c r="U290" s="335"/>
      <c r="V290" s="335"/>
      <c r="W290" s="335"/>
      <c r="X290" s="335"/>
      <c r="Y290" s="121"/>
    </row>
    <row r="291" spans="10:25" x14ac:dyDescent="0.2">
      <c r="J291" s="335"/>
      <c r="K291" s="335"/>
      <c r="L291" s="335"/>
      <c r="M291" s="335"/>
      <c r="N291" s="335"/>
      <c r="O291" s="335"/>
      <c r="P291" s="335"/>
      <c r="Q291" s="335"/>
      <c r="R291" s="335"/>
      <c r="S291" s="335">
        <v>304</v>
      </c>
      <c r="T291" s="335">
        <v>150</v>
      </c>
      <c r="U291" s="335"/>
      <c r="V291" s="335"/>
      <c r="W291" s="335"/>
      <c r="X291" s="335"/>
      <c r="Y291" s="121"/>
    </row>
    <row r="292" spans="10:25" x14ac:dyDescent="0.2">
      <c r="J292" s="335"/>
      <c r="K292" s="335"/>
      <c r="L292" s="335"/>
      <c r="M292" s="335"/>
      <c r="N292" s="335"/>
      <c r="O292" s="335"/>
      <c r="P292" s="335"/>
      <c r="Q292" s="335"/>
      <c r="R292" s="335"/>
      <c r="S292" s="335">
        <v>305</v>
      </c>
      <c r="T292" s="335">
        <v>150</v>
      </c>
      <c r="U292" s="335"/>
      <c r="V292" s="335"/>
      <c r="W292" s="335"/>
      <c r="X292" s="335"/>
      <c r="Y292" s="121"/>
    </row>
    <row r="293" spans="10:25" x14ac:dyDescent="0.2">
      <c r="J293" s="335"/>
      <c r="K293" s="335"/>
      <c r="L293" s="335"/>
      <c r="M293" s="335"/>
      <c r="N293" s="335"/>
      <c r="O293" s="335"/>
      <c r="P293" s="335"/>
      <c r="Q293" s="335"/>
      <c r="R293" s="335"/>
      <c r="S293" s="335">
        <v>306</v>
      </c>
      <c r="T293" s="335">
        <v>150</v>
      </c>
      <c r="U293" s="335"/>
      <c r="V293" s="335"/>
      <c r="W293" s="335"/>
      <c r="X293" s="335"/>
      <c r="Y293" s="121"/>
    </row>
    <row r="294" spans="10:25" x14ac:dyDescent="0.2">
      <c r="J294" s="335"/>
      <c r="K294" s="335"/>
      <c r="L294" s="335"/>
      <c r="M294" s="335"/>
      <c r="N294" s="335"/>
      <c r="O294" s="335"/>
      <c r="P294" s="335"/>
      <c r="Q294" s="335"/>
      <c r="R294" s="335"/>
      <c r="S294" s="335">
        <v>307</v>
      </c>
      <c r="T294" s="335">
        <v>150</v>
      </c>
      <c r="U294" s="335"/>
      <c r="V294" s="335"/>
      <c r="W294" s="335"/>
      <c r="X294" s="335"/>
      <c r="Y294" s="121"/>
    </row>
    <row r="295" spans="10:25" x14ac:dyDescent="0.2">
      <c r="J295" s="335"/>
      <c r="K295" s="335"/>
      <c r="L295" s="335"/>
      <c r="M295" s="335"/>
      <c r="N295" s="335"/>
      <c r="O295" s="335"/>
      <c r="P295" s="335"/>
      <c r="Q295" s="335"/>
      <c r="R295" s="335"/>
      <c r="S295" s="335">
        <v>308</v>
      </c>
      <c r="T295" s="335">
        <v>150</v>
      </c>
      <c r="U295" s="335"/>
      <c r="V295" s="335"/>
      <c r="W295" s="335"/>
      <c r="X295" s="335"/>
      <c r="Y295" s="121"/>
    </row>
    <row r="296" spans="10:25" x14ac:dyDescent="0.2">
      <c r="J296" s="335"/>
      <c r="K296" s="335"/>
      <c r="L296" s="335"/>
      <c r="M296" s="335"/>
      <c r="N296" s="335"/>
      <c r="O296" s="335"/>
      <c r="P296" s="335"/>
      <c r="Q296" s="335"/>
      <c r="R296" s="335"/>
      <c r="S296" s="335">
        <v>309</v>
      </c>
      <c r="T296" s="335">
        <v>150</v>
      </c>
      <c r="U296" s="335"/>
      <c r="V296" s="335"/>
      <c r="W296" s="335"/>
      <c r="X296" s="335"/>
      <c r="Y296" s="121"/>
    </row>
    <row r="297" spans="10:25" x14ac:dyDescent="0.2">
      <c r="J297" s="335"/>
      <c r="K297" s="335"/>
      <c r="L297" s="335"/>
      <c r="M297" s="335"/>
      <c r="N297" s="335"/>
      <c r="O297" s="335"/>
      <c r="P297" s="335"/>
      <c r="Q297" s="335"/>
      <c r="R297" s="335"/>
      <c r="S297" s="335">
        <v>310</v>
      </c>
      <c r="T297" s="335">
        <v>150</v>
      </c>
      <c r="U297" s="335"/>
      <c r="V297" s="335"/>
      <c r="W297" s="335"/>
      <c r="X297" s="335"/>
      <c r="Y297" s="121"/>
    </row>
    <row r="298" spans="10:25" x14ac:dyDescent="0.2">
      <c r="J298" s="335"/>
      <c r="K298" s="335"/>
      <c r="L298" s="335"/>
      <c r="M298" s="335"/>
      <c r="N298" s="335"/>
      <c r="O298" s="335"/>
      <c r="P298" s="335"/>
      <c r="Q298" s="335"/>
      <c r="R298" s="335"/>
      <c r="S298" s="335">
        <v>311</v>
      </c>
      <c r="T298" s="335">
        <v>150</v>
      </c>
      <c r="U298" s="335"/>
      <c r="V298" s="335"/>
      <c r="W298" s="335"/>
      <c r="X298" s="335"/>
      <c r="Y298" s="121"/>
    </row>
    <row r="299" spans="10:25" x14ac:dyDescent="0.2">
      <c r="J299" s="335"/>
      <c r="K299" s="335"/>
      <c r="L299" s="335"/>
      <c r="M299" s="335"/>
      <c r="N299" s="335"/>
      <c r="O299" s="335"/>
      <c r="P299" s="335"/>
      <c r="Q299" s="335"/>
      <c r="R299" s="335"/>
      <c r="S299" s="335">
        <v>312</v>
      </c>
      <c r="T299" s="335">
        <v>150</v>
      </c>
      <c r="U299" s="335"/>
      <c r="V299" s="335"/>
      <c r="W299" s="335"/>
      <c r="X299" s="335"/>
      <c r="Y299" s="121"/>
    </row>
    <row r="300" spans="10:25" x14ac:dyDescent="0.2">
      <c r="J300" s="335"/>
      <c r="K300" s="335"/>
      <c r="L300" s="335"/>
      <c r="M300" s="335"/>
      <c r="N300" s="335"/>
      <c r="O300" s="335"/>
      <c r="P300" s="335"/>
      <c r="Q300" s="335"/>
      <c r="R300" s="335"/>
      <c r="S300" s="335">
        <v>313</v>
      </c>
      <c r="T300" s="335">
        <v>150</v>
      </c>
      <c r="U300" s="335"/>
      <c r="V300" s="335"/>
      <c r="W300" s="335"/>
      <c r="X300" s="335"/>
      <c r="Y300" s="121"/>
    </row>
    <row r="301" spans="10:25" x14ac:dyDescent="0.2">
      <c r="J301" s="335"/>
      <c r="K301" s="335"/>
      <c r="L301" s="335"/>
      <c r="M301" s="335"/>
      <c r="N301" s="335"/>
      <c r="O301" s="335"/>
      <c r="P301" s="335"/>
      <c r="Q301" s="335"/>
      <c r="R301" s="335"/>
      <c r="S301" s="335">
        <v>314</v>
      </c>
      <c r="T301" s="335">
        <v>150</v>
      </c>
      <c r="U301" s="335"/>
      <c r="V301" s="335"/>
      <c r="W301" s="335"/>
      <c r="X301" s="335"/>
      <c r="Y301" s="121"/>
    </row>
    <row r="302" spans="10:25" x14ac:dyDescent="0.2">
      <c r="J302" s="335"/>
      <c r="K302" s="335"/>
      <c r="L302" s="335"/>
      <c r="M302" s="335"/>
      <c r="N302" s="335"/>
      <c r="O302" s="335"/>
      <c r="P302" s="335"/>
      <c r="Q302" s="335"/>
      <c r="R302" s="335"/>
      <c r="S302" s="335">
        <v>315</v>
      </c>
      <c r="T302" s="335">
        <v>150</v>
      </c>
      <c r="U302" s="335"/>
      <c r="V302" s="335"/>
      <c r="W302" s="335"/>
      <c r="X302" s="335"/>
      <c r="Y302" s="121"/>
    </row>
    <row r="303" spans="10:25" x14ac:dyDescent="0.2">
      <c r="J303" s="335"/>
      <c r="K303" s="335"/>
      <c r="L303" s="335"/>
      <c r="M303" s="335"/>
      <c r="N303" s="335"/>
      <c r="O303" s="335"/>
      <c r="P303" s="335"/>
      <c r="Q303" s="335"/>
      <c r="R303" s="335"/>
      <c r="S303" s="335">
        <v>316</v>
      </c>
      <c r="T303" s="335">
        <v>150</v>
      </c>
      <c r="U303" s="335"/>
      <c r="V303" s="335"/>
      <c r="W303" s="335"/>
      <c r="X303" s="335"/>
      <c r="Y303" s="121"/>
    </row>
    <row r="304" spans="10:25" x14ac:dyDescent="0.2">
      <c r="J304" s="335"/>
      <c r="K304" s="335"/>
      <c r="L304" s="335"/>
      <c r="M304" s="335"/>
      <c r="N304" s="335"/>
      <c r="O304" s="335"/>
      <c r="P304" s="335"/>
      <c r="Q304" s="335"/>
      <c r="R304" s="335"/>
      <c r="S304" s="335">
        <v>317</v>
      </c>
      <c r="T304" s="335">
        <v>150</v>
      </c>
      <c r="U304" s="335"/>
      <c r="V304" s="335"/>
      <c r="W304" s="335"/>
      <c r="X304" s="335"/>
      <c r="Y304" s="121"/>
    </row>
    <row r="305" spans="10:25" x14ac:dyDescent="0.2">
      <c r="J305" s="335"/>
      <c r="K305" s="335"/>
      <c r="L305" s="335"/>
      <c r="M305" s="335"/>
      <c r="N305" s="335"/>
      <c r="O305" s="335"/>
      <c r="P305" s="335"/>
      <c r="Q305" s="335"/>
      <c r="R305" s="335"/>
      <c r="S305" s="335">
        <v>318</v>
      </c>
      <c r="T305" s="335">
        <v>150</v>
      </c>
      <c r="U305" s="335"/>
      <c r="V305" s="335"/>
      <c r="W305" s="335"/>
      <c r="X305" s="335"/>
      <c r="Y305" s="121"/>
    </row>
    <row r="306" spans="10:25" x14ac:dyDescent="0.2">
      <c r="J306" s="335"/>
      <c r="K306" s="335"/>
      <c r="L306" s="335"/>
      <c r="M306" s="335"/>
      <c r="N306" s="335"/>
      <c r="O306" s="335"/>
      <c r="P306" s="335"/>
      <c r="Q306" s="335"/>
      <c r="R306" s="335"/>
      <c r="S306" s="335">
        <v>319</v>
      </c>
      <c r="T306" s="335">
        <v>150</v>
      </c>
      <c r="U306" s="335"/>
      <c r="V306" s="335"/>
      <c r="W306" s="335"/>
      <c r="X306" s="335"/>
      <c r="Y306" s="121"/>
    </row>
    <row r="307" spans="10:25" x14ac:dyDescent="0.2">
      <c r="J307" s="335"/>
      <c r="K307" s="335"/>
      <c r="L307" s="335"/>
      <c r="M307" s="335"/>
      <c r="N307" s="335"/>
      <c r="O307" s="335"/>
      <c r="P307" s="335"/>
      <c r="Q307" s="335"/>
      <c r="R307" s="335"/>
      <c r="S307" s="335">
        <v>320</v>
      </c>
      <c r="T307" s="335">
        <v>150</v>
      </c>
      <c r="U307" s="335"/>
      <c r="V307" s="335"/>
      <c r="W307" s="335"/>
      <c r="X307" s="335"/>
      <c r="Y307" s="121"/>
    </row>
    <row r="308" spans="10:25" x14ac:dyDescent="0.2">
      <c r="J308" s="335"/>
      <c r="K308" s="335"/>
      <c r="L308" s="335"/>
      <c r="M308" s="335"/>
      <c r="N308" s="335"/>
      <c r="O308" s="335"/>
      <c r="P308" s="335"/>
      <c r="Q308" s="335"/>
      <c r="R308" s="335"/>
      <c r="S308" s="335">
        <v>321</v>
      </c>
      <c r="T308" s="335">
        <v>150</v>
      </c>
      <c r="U308" s="335"/>
      <c r="V308" s="335"/>
      <c r="W308" s="335"/>
      <c r="X308" s="335"/>
      <c r="Y308" s="121"/>
    </row>
    <row r="309" spans="10:25" x14ac:dyDescent="0.2">
      <c r="J309" s="335"/>
      <c r="K309" s="335"/>
      <c r="L309" s="335"/>
      <c r="M309" s="335"/>
      <c r="N309" s="335"/>
      <c r="O309" s="335"/>
      <c r="P309" s="335"/>
      <c r="Q309" s="335"/>
      <c r="R309" s="335"/>
      <c r="S309" s="335">
        <v>322</v>
      </c>
      <c r="T309" s="335">
        <v>150</v>
      </c>
      <c r="U309" s="335"/>
      <c r="V309" s="335"/>
      <c r="W309" s="335"/>
      <c r="X309" s="335"/>
      <c r="Y309" s="121"/>
    </row>
    <row r="310" spans="10:25" x14ac:dyDescent="0.2">
      <c r="J310" s="335"/>
      <c r="K310" s="335"/>
      <c r="L310" s="335"/>
      <c r="M310" s="335"/>
      <c r="N310" s="335"/>
      <c r="O310" s="335"/>
      <c r="P310" s="335"/>
      <c r="Q310" s="335"/>
      <c r="R310" s="335"/>
      <c r="S310" s="335">
        <v>323</v>
      </c>
      <c r="T310" s="335">
        <v>150</v>
      </c>
      <c r="U310" s="335"/>
      <c r="V310" s="335"/>
      <c r="W310" s="335"/>
      <c r="X310" s="335"/>
      <c r="Y310" s="121"/>
    </row>
    <row r="311" spans="10:25" x14ac:dyDescent="0.2">
      <c r="J311" s="335"/>
      <c r="K311" s="335"/>
      <c r="L311" s="335"/>
      <c r="M311" s="335"/>
      <c r="N311" s="335"/>
      <c r="O311" s="335"/>
      <c r="P311" s="335"/>
      <c r="Q311" s="335"/>
      <c r="R311" s="335"/>
      <c r="S311" s="335">
        <v>324</v>
      </c>
      <c r="T311" s="335">
        <v>150</v>
      </c>
      <c r="U311" s="335"/>
      <c r="V311" s="335"/>
      <c r="W311" s="335"/>
      <c r="X311" s="335"/>
      <c r="Y311" s="121"/>
    </row>
    <row r="312" spans="10:25" x14ac:dyDescent="0.2">
      <c r="J312" s="335"/>
      <c r="K312" s="335"/>
      <c r="L312" s="335"/>
      <c r="M312" s="335"/>
      <c r="N312" s="335"/>
      <c r="O312" s="335"/>
      <c r="P312" s="335"/>
      <c r="Q312" s="335"/>
      <c r="R312" s="335"/>
      <c r="S312" s="335">
        <v>325</v>
      </c>
      <c r="T312" s="335">
        <v>150</v>
      </c>
      <c r="U312" s="335"/>
      <c r="V312" s="335"/>
      <c r="W312" s="335"/>
      <c r="X312" s="335"/>
      <c r="Y312" s="121"/>
    </row>
    <row r="313" spans="10:25" x14ac:dyDescent="0.2">
      <c r="J313" s="335"/>
      <c r="K313" s="335"/>
      <c r="L313" s="335"/>
      <c r="M313" s="335"/>
      <c r="N313" s="335"/>
      <c r="O313" s="335"/>
      <c r="P313" s="335"/>
      <c r="Q313" s="335"/>
      <c r="R313" s="335"/>
      <c r="S313" s="335">
        <v>326</v>
      </c>
      <c r="T313" s="335">
        <v>150</v>
      </c>
      <c r="U313" s="335"/>
      <c r="V313" s="335"/>
      <c r="W313" s="335"/>
      <c r="X313" s="335"/>
      <c r="Y313" s="121"/>
    </row>
    <row r="314" spans="10:25" x14ac:dyDescent="0.2">
      <c r="J314" s="335"/>
      <c r="K314" s="335"/>
      <c r="L314" s="335"/>
      <c r="M314" s="335"/>
      <c r="N314" s="335"/>
      <c r="O314" s="335"/>
      <c r="P314" s="335"/>
      <c r="Q314" s="335"/>
      <c r="R314" s="335"/>
      <c r="S314" s="335">
        <v>327</v>
      </c>
      <c r="T314" s="335">
        <v>150</v>
      </c>
      <c r="U314" s="335"/>
      <c r="V314" s="335"/>
      <c r="W314" s="335"/>
      <c r="X314" s="335"/>
      <c r="Y314" s="121"/>
    </row>
    <row r="315" spans="10:25" x14ac:dyDescent="0.2">
      <c r="J315" s="335"/>
      <c r="K315" s="335"/>
      <c r="L315" s="335"/>
      <c r="M315" s="335"/>
      <c r="N315" s="335"/>
      <c r="O315" s="335"/>
      <c r="P315" s="335"/>
      <c r="Q315" s="335"/>
      <c r="R315" s="335"/>
      <c r="S315" s="335">
        <v>328</v>
      </c>
      <c r="T315" s="335">
        <v>150</v>
      </c>
      <c r="U315" s="335"/>
      <c r="V315" s="335"/>
      <c r="W315" s="335"/>
      <c r="X315" s="335"/>
      <c r="Y315" s="121"/>
    </row>
    <row r="316" spans="10:25" x14ac:dyDescent="0.2">
      <c r="J316" s="335"/>
      <c r="K316" s="335"/>
      <c r="L316" s="335"/>
      <c r="M316" s="335"/>
      <c r="N316" s="335"/>
      <c r="O316" s="335"/>
      <c r="P316" s="335"/>
      <c r="Q316" s="335"/>
      <c r="R316" s="335"/>
      <c r="S316" s="335">
        <v>329</v>
      </c>
      <c r="T316" s="335">
        <v>150</v>
      </c>
      <c r="U316" s="335"/>
      <c r="V316" s="335"/>
      <c r="W316" s="335"/>
      <c r="X316" s="335"/>
      <c r="Y316" s="121"/>
    </row>
    <row r="317" spans="10:25" x14ac:dyDescent="0.2">
      <c r="J317" s="335"/>
      <c r="K317" s="335"/>
      <c r="L317" s="335"/>
      <c r="M317" s="335"/>
      <c r="N317" s="335"/>
      <c r="O317" s="335"/>
      <c r="P317" s="335"/>
      <c r="Q317" s="335"/>
      <c r="R317" s="335"/>
      <c r="S317" s="335">
        <v>330</v>
      </c>
      <c r="T317" s="335">
        <v>150</v>
      </c>
      <c r="U317" s="335"/>
      <c r="V317" s="335"/>
      <c r="W317" s="335"/>
      <c r="X317" s="335"/>
      <c r="Y317" s="121"/>
    </row>
    <row r="318" spans="10:25" x14ac:dyDescent="0.2">
      <c r="J318" s="335"/>
      <c r="K318" s="335"/>
      <c r="L318" s="335"/>
      <c r="M318" s="335"/>
      <c r="N318" s="335"/>
      <c r="O318" s="335"/>
      <c r="P318" s="335"/>
      <c r="Q318" s="335"/>
      <c r="R318" s="335"/>
      <c r="S318" s="335">
        <v>331</v>
      </c>
      <c r="T318" s="335">
        <v>150</v>
      </c>
      <c r="U318" s="335"/>
      <c r="V318" s="335"/>
      <c r="W318" s="335"/>
      <c r="X318" s="335"/>
      <c r="Y318" s="121"/>
    </row>
    <row r="319" spans="10:25" x14ac:dyDescent="0.2">
      <c r="J319" s="335"/>
      <c r="K319" s="335"/>
      <c r="L319" s="335"/>
      <c r="M319" s="335"/>
      <c r="N319" s="335"/>
      <c r="O319" s="335"/>
      <c r="P319" s="335"/>
      <c r="Q319" s="335"/>
      <c r="R319" s="335"/>
      <c r="S319" s="335">
        <v>332</v>
      </c>
      <c r="T319" s="335">
        <v>150</v>
      </c>
      <c r="U319" s="335"/>
      <c r="V319" s="335"/>
      <c r="W319" s="335"/>
      <c r="X319" s="335"/>
      <c r="Y319" s="121"/>
    </row>
    <row r="320" spans="10:25" x14ac:dyDescent="0.2">
      <c r="J320" s="335"/>
      <c r="K320" s="335"/>
      <c r="L320" s="335"/>
      <c r="M320" s="335"/>
      <c r="N320" s="335"/>
      <c r="O320" s="335"/>
      <c r="P320" s="335"/>
      <c r="Q320" s="335"/>
      <c r="R320" s="335"/>
      <c r="S320" s="335">
        <v>333</v>
      </c>
      <c r="T320" s="335">
        <v>150</v>
      </c>
      <c r="U320" s="335"/>
      <c r="V320" s="335"/>
      <c r="W320" s="335"/>
      <c r="X320" s="335"/>
      <c r="Y320" s="121"/>
    </row>
    <row r="321" spans="10:25" x14ac:dyDescent="0.2">
      <c r="J321" s="335"/>
      <c r="K321" s="335"/>
      <c r="L321" s="335"/>
      <c r="M321" s="335"/>
      <c r="N321" s="335"/>
      <c r="O321" s="335"/>
      <c r="P321" s="335"/>
      <c r="Q321" s="335"/>
      <c r="R321" s="335"/>
      <c r="S321" s="335">
        <v>334</v>
      </c>
      <c r="T321" s="335">
        <v>150</v>
      </c>
      <c r="U321" s="335"/>
      <c r="V321" s="335"/>
      <c r="W321" s="335"/>
      <c r="X321" s="335"/>
      <c r="Y321" s="121"/>
    </row>
    <row r="322" spans="10:25" x14ac:dyDescent="0.2">
      <c r="J322" s="335"/>
      <c r="K322" s="335"/>
      <c r="L322" s="335"/>
      <c r="M322" s="335"/>
      <c r="N322" s="335"/>
      <c r="O322" s="335"/>
      <c r="P322" s="335"/>
      <c r="Q322" s="335"/>
      <c r="R322" s="335"/>
      <c r="S322" s="335">
        <v>335</v>
      </c>
      <c r="T322" s="335">
        <v>150</v>
      </c>
      <c r="U322" s="335"/>
      <c r="V322" s="335"/>
      <c r="W322" s="335"/>
      <c r="X322" s="335"/>
      <c r="Y322" s="121"/>
    </row>
    <row r="323" spans="10:25" x14ac:dyDescent="0.2">
      <c r="J323" s="335"/>
      <c r="K323" s="335"/>
      <c r="L323" s="335"/>
      <c r="M323" s="335"/>
      <c r="N323" s="335"/>
      <c r="O323" s="335"/>
      <c r="P323" s="335"/>
      <c r="Q323" s="335"/>
      <c r="R323" s="335"/>
      <c r="S323" s="335">
        <v>336</v>
      </c>
      <c r="T323" s="335">
        <v>150</v>
      </c>
      <c r="U323" s="335"/>
      <c r="V323" s="335"/>
      <c r="W323" s="335"/>
      <c r="X323" s="335"/>
      <c r="Y323" s="121"/>
    </row>
    <row r="324" spans="10:25" x14ac:dyDescent="0.2">
      <c r="J324" s="335"/>
      <c r="K324" s="335"/>
      <c r="L324" s="335"/>
      <c r="M324" s="335"/>
      <c r="N324" s="335"/>
      <c r="O324" s="335"/>
      <c r="P324" s="335"/>
      <c r="Q324" s="335"/>
      <c r="R324" s="335"/>
      <c r="S324" s="335">
        <v>337</v>
      </c>
      <c r="T324" s="335">
        <v>150</v>
      </c>
      <c r="U324" s="335"/>
      <c r="V324" s="335"/>
      <c r="W324" s="335"/>
      <c r="X324" s="335"/>
      <c r="Y324" s="121"/>
    </row>
    <row r="325" spans="10:25" x14ac:dyDescent="0.2">
      <c r="J325" s="335"/>
      <c r="K325" s="335"/>
      <c r="L325" s="335"/>
      <c r="M325" s="335"/>
      <c r="N325" s="335"/>
      <c r="O325" s="335"/>
      <c r="P325" s="335"/>
      <c r="Q325" s="335"/>
      <c r="R325" s="335"/>
      <c r="S325" s="335">
        <v>338</v>
      </c>
      <c r="T325" s="335">
        <v>150</v>
      </c>
      <c r="U325" s="335"/>
      <c r="V325" s="335"/>
      <c r="W325" s="335"/>
      <c r="X325" s="335"/>
      <c r="Y325" s="121"/>
    </row>
    <row r="326" spans="10:25" x14ac:dyDescent="0.2">
      <c r="J326" s="335"/>
      <c r="K326" s="335"/>
      <c r="L326" s="335"/>
      <c r="M326" s="335"/>
      <c r="N326" s="335"/>
      <c r="O326" s="335"/>
      <c r="P326" s="335"/>
      <c r="Q326" s="335"/>
      <c r="R326" s="335"/>
      <c r="S326" s="335">
        <v>339</v>
      </c>
      <c r="T326" s="335">
        <v>150</v>
      </c>
      <c r="U326" s="335"/>
      <c r="V326" s="335"/>
      <c r="W326" s="335"/>
      <c r="X326" s="335"/>
      <c r="Y326" s="121"/>
    </row>
    <row r="327" spans="10:25" x14ac:dyDescent="0.2">
      <c r="J327" s="335"/>
      <c r="K327" s="335"/>
      <c r="L327" s="335"/>
      <c r="M327" s="335"/>
      <c r="N327" s="335"/>
      <c r="O327" s="335"/>
      <c r="P327" s="335"/>
      <c r="Q327" s="335"/>
      <c r="R327" s="335"/>
      <c r="S327" s="335">
        <v>340</v>
      </c>
      <c r="T327" s="335">
        <v>150</v>
      </c>
      <c r="U327" s="335"/>
      <c r="V327" s="335"/>
      <c r="W327" s="335"/>
      <c r="X327" s="335"/>
      <c r="Y327" s="121"/>
    </row>
    <row r="328" spans="10:25" x14ac:dyDescent="0.2">
      <c r="J328" s="335"/>
      <c r="K328" s="335"/>
      <c r="L328" s="335"/>
      <c r="M328" s="335"/>
      <c r="N328" s="335"/>
      <c r="O328" s="335"/>
      <c r="P328" s="335"/>
      <c r="Q328" s="335"/>
      <c r="R328" s="335"/>
      <c r="S328" s="335">
        <v>341</v>
      </c>
      <c r="T328" s="335">
        <v>150</v>
      </c>
      <c r="U328" s="335"/>
      <c r="V328" s="335"/>
      <c r="W328" s="335"/>
      <c r="X328" s="335"/>
      <c r="Y328" s="121"/>
    </row>
    <row r="329" spans="10:25" x14ac:dyDescent="0.2">
      <c r="J329" s="335"/>
      <c r="K329" s="335"/>
      <c r="L329" s="335"/>
      <c r="M329" s="335"/>
      <c r="N329" s="335"/>
      <c r="O329" s="335"/>
      <c r="P329" s="335"/>
      <c r="Q329" s="335"/>
      <c r="R329" s="335"/>
      <c r="S329" s="335">
        <v>342</v>
      </c>
      <c r="T329" s="335">
        <v>150</v>
      </c>
      <c r="U329" s="335"/>
      <c r="V329" s="335"/>
      <c r="W329" s="335"/>
      <c r="X329" s="335"/>
      <c r="Y329" s="121"/>
    </row>
    <row r="330" spans="10:25" x14ac:dyDescent="0.2">
      <c r="J330" s="335"/>
      <c r="K330" s="335"/>
      <c r="L330" s="335"/>
      <c r="M330" s="335"/>
      <c r="N330" s="335"/>
      <c r="O330" s="335"/>
      <c r="P330" s="335"/>
      <c r="Q330" s="335"/>
      <c r="R330" s="335"/>
      <c r="S330" s="335">
        <v>343</v>
      </c>
      <c r="T330" s="335">
        <v>150</v>
      </c>
      <c r="U330" s="335"/>
      <c r="V330" s="335"/>
      <c r="W330" s="335"/>
      <c r="X330" s="335"/>
      <c r="Y330" s="121"/>
    </row>
    <row r="331" spans="10:25" x14ac:dyDescent="0.2">
      <c r="J331" s="335"/>
      <c r="K331" s="335"/>
      <c r="L331" s="335"/>
      <c r="M331" s="335"/>
      <c r="N331" s="335"/>
      <c r="O331" s="335"/>
      <c r="P331" s="335"/>
      <c r="Q331" s="335"/>
      <c r="R331" s="335"/>
      <c r="S331" s="335">
        <v>344</v>
      </c>
      <c r="T331" s="335">
        <v>150</v>
      </c>
      <c r="U331" s="335"/>
      <c r="V331" s="335"/>
      <c r="W331" s="335"/>
      <c r="X331" s="335"/>
      <c r="Y331" s="121"/>
    </row>
    <row r="332" spans="10:25" x14ac:dyDescent="0.2">
      <c r="J332" s="335"/>
      <c r="K332" s="335"/>
      <c r="L332" s="335"/>
      <c r="M332" s="335"/>
      <c r="N332" s="335"/>
      <c r="O332" s="335"/>
      <c r="P332" s="335"/>
      <c r="Q332" s="335"/>
      <c r="R332" s="335"/>
      <c r="S332" s="335">
        <v>345</v>
      </c>
      <c r="T332" s="335">
        <v>150</v>
      </c>
      <c r="U332" s="335"/>
      <c r="V332" s="335"/>
      <c r="W332" s="335"/>
      <c r="X332" s="335"/>
      <c r="Y332" s="121"/>
    </row>
    <row r="333" spans="10:25" x14ac:dyDescent="0.2">
      <c r="J333" s="335"/>
      <c r="K333" s="335"/>
      <c r="L333" s="335"/>
      <c r="M333" s="335"/>
      <c r="N333" s="335"/>
      <c r="O333" s="335"/>
      <c r="P333" s="335"/>
      <c r="Q333" s="335"/>
      <c r="R333" s="335"/>
      <c r="S333" s="335">
        <v>346</v>
      </c>
      <c r="T333" s="335">
        <v>150</v>
      </c>
      <c r="U333" s="335"/>
      <c r="V333" s="335"/>
      <c r="W333" s="335"/>
      <c r="X333" s="335"/>
      <c r="Y333" s="121"/>
    </row>
    <row r="334" spans="10:25" x14ac:dyDescent="0.2">
      <c r="J334" s="335"/>
      <c r="K334" s="335"/>
      <c r="L334" s="335"/>
      <c r="M334" s="335"/>
      <c r="N334" s="335"/>
      <c r="O334" s="335"/>
      <c r="P334" s="335"/>
      <c r="Q334" s="335"/>
      <c r="R334" s="335"/>
      <c r="S334" s="335">
        <v>347</v>
      </c>
      <c r="T334" s="335">
        <v>150</v>
      </c>
      <c r="U334" s="335"/>
      <c r="V334" s="335"/>
      <c r="W334" s="335"/>
      <c r="X334" s="335"/>
      <c r="Y334" s="121"/>
    </row>
    <row r="335" spans="10:25" x14ac:dyDescent="0.2">
      <c r="J335" s="335"/>
      <c r="K335" s="335"/>
      <c r="L335" s="335"/>
      <c r="M335" s="335"/>
      <c r="N335" s="335"/>
      <c r="O335" s="335"/>
      <c r="P335" s="335"/>
      <c r="Q335" s="335"/>
      <c r="R335" s="335"/>
      <c r="S335" s="335">
        <v>348</v>
      </c>
      <c r="T335" s="335">
        <v>150</v>
      </c>
      <c r="U335" s="335"/>
      <c r="V335" s="335"/>
      <c r="W335" s="335"/>
      <c r="X335" s="335"/>
      <c r="Y335" s="121"/>
    </row>
    <row r="336" spans="10:25" x14ac:dyDescent="0.2">
      <c r="J336" s="335"/>
      <c r="K336" s="335"/>
      <c r="L336" s="335"/>
      <c r="M336" s="335"/>
      <c r="N336" s="335"/>
      <c r="O336" s="335"/>
      <c r="P336" s="335"/>
      <c r="Q336" s="335"/>
      <c r="R336" s="335"/>
      <c r="S336" s="335">
        <v>349</v>
      </c>
      <c r="T336" s="335">
        <v>150</v>
      </c>
      <c r="U336" s="335"/>
      <c r="V336" s="335"/>
      <c r="W336" s="335"/>
      <c r="X336" s="335"/>
      <c r="Y336" s="121"/>
    </row>
    <row r="337" spans="10:25" x14ac:dyDescent="0.2">
      <c r="J337" s="335"/>
      <c r="K337" s="335"/>
      <c r="L337" s="335"/>
      <c r="M337" s="335"/>
      <c r="N337" s="335"/>
      <c r="O337" s="335"/>
      <c r="P337" s="335"/>
      <c r="Q337" s="335"/>
      <c r="R337" s="335"/>
      <c r="S337" s="335">
        <v>350</v>
      </c>
      <c r="T337" s="335">
        <v>150</v>
      </c>
      <c r="U337" s="335"/>
      <c r="V337" s="335"/>
      <c r="W337" s="335"/>
      <c r="X337" s="335"/>
      <c r="Y337" s="121"/>
    </row>
    <row r="338" spans="10:25" x14ac:dyDescent="0.2">
      <c r="J338" s="335"/>
      <c r="K338" s="335"/>
      <c r="L338" s="335"/>
      <c r="M338" s="335"/>
      <c r="N338" s="335"/>
      <c r="O338" s="335"/>
      <c r="P338" s="335"/>
      <c r="Q338" s="335"/>
      <c r="R338" s="335"/>
      <c r="S338" s="335">
        <v>351</v>
      </c>
      <c r="T338" s="335">
        <v>150</v>
      </c>
      <c r="U338" s="335"/>
      <c r="V338" s="335"/>
      <c r="W338" s="335"/>
      <c r="X338" s="335"/>
      <c r="Y338" s="121"/>
    </row>
    <row r="339" spans="10:25" x14ac:dyDescent="0.2">
      <c r="J339" s="335"/>
      <c r="K339" s="335"/>
      <c r="L339" s="335"/>
      <c r="M339" s="335"/>
      <c r="N339" s="335"/>
      <c r="O339" s="335"/>
      <c r="P339" s="335"/>
      <c r="Q339" s="335"/>
      <c r="R339" s="335"/>
      <c r="S339" s="335">
        <v>352</v>
      </c>
      <c r="T339" s="335">
        <v>150</v>
      </c>
      <c r="U339" s="335"/>
      <c r="V339" s="335"/>
      <c r="W339" s="335"/>
      <c r="X339" s="335"/>
      <c r="Y339" s="121"/>
    </row>
    <row r="340" spans="10:25" x14ac:dyDescent="0.2">
      <c r="J340" s="335"/>
      <c r="K340" s="335"/>
      <c r="L340" s="335"/>
      <c r="M340" s="335"/>
      <c r="N340" s="335"/>
      <c r="O340" s="335"/>
      <c r="P340" s="335"/>
      <c r="Q340" s="335"/>
      <c r="R340" s="335"/>
      <c r="S340" s="335">
        <v>353</v>
      </c>
      <c r="T340" s="335">
        <v>150</v>
      </c>
      <c r="U340" s="335"/>
      <c r="V340" s="335"/>
      <c r="W340" s="335"/>
      <c r="X340" s="335"/>
      <c r="Y340" s="121"/>
    </row>
    <row r="341" spans="10:25" x14ac:dyDescent="0.2">
      <c r="J341" s="335"/>
      <c r="K341" s="335"/>
      <c r="L341" s="335"/>
      <c r="M341" s="335"/>
      <c r="N341" s="335"/>
      <c r="O341" s="335"/>
      <c r="P341" s="335"/>
      <c r="Q341" s="335"/>
      <c r="R341" s="335"/>
      <c r="S341" s="335">
        <v>354</v>
      </c>
      <c r="T341" s="335">
        <v>150</v>
      </c>
      <c r="U341" s="335"/>
      <c r="V341" s="335"/>
      <c r="W341" s="335"/>
      <c r="X341" s="335"/>
      <c r="Y341" s="121"/>
    </row>
    <row r="342" spans="10:25" x14ac:dyDescent="0.2">
      <c r="J342" s="335"/>
      <c r="K342" s="335"/>
      <c r="L342" s="335"/>
      <c r="M342" s="335"/>
      <c r="N342" s="335"/>
      <c r="O342" s="335"/>
      <c r="P342" s="335"/>
      <c r="Q342" s="335"/>
      <c r="R342" s="335"/>
      <c r="S342" s="335">
        <v>355</v>
      </c>
      <c r="T342" s="335">
        <v>150</v>
      </c>
      <c r="U342" s="335"/>
      <c r="V342" s="335"/>
      <c r="W342" s="335"/>
      <c r="X342" s="335"/>
      <c r="Y342" s="121"/>
    </row>
    <row r="343" spans="10:25" x14ac:dyDescent="0.2">
      <c r="J343" s="335"/>
      <c r="K343" s="335"/>
      <c r="L343" s="335"/>
      <c r="M343" s="335"/>
      <c r="N343" s="335"/>
      <c r="O343" s="335"/>
      <c r="P343" s="335"/>
      <c r="Q343" s="335"/>
      <c r="R343" s="335"/>
      <c r="S343" s="335">
        <v>356</v>
      </c>
      <c r="T343" s="335">
        <v>150</v>
      </c>
      <c r="U343" s="335"/>
      <c r="V343" s="335"/>
      <c r="W343" s="335"/>
      <c r="X343" s="335"/>
      <c r="Y343" s="121"/>
    </row>
    <row r="344" spans="10:25" x14ac:dyDescent="0.2">
      <c r="J344" s="335"/>
      <c r="K344" s="335"/>
      <c r="L344" s="335"/>
      <c r="M344" s="335"/>
      <c r="N344" s="335"/>
      <c r="O344" s="335"/>
      <c r="P344" s="335"/>
      <c r="Q344" s="335"/>
      <c r="R344" s="335"/>
      <c r="S344" s="335">
        <v>357</v>
      </c>
      <c r="T344" s="335">
        <v>150</v>
      </c>
      <c r="U344" s="335"/>
      <c r="V344" s="335"/>
      <c r="W344" s="335"/>
      <c r="X344" s="335"/>
      <c r="Y344" s="121"/>
    </row>
    <row r="345" spans="10:25" x14ac:dyDescent="0.2">
      <c r="J345" s="335"/>
      <c r="K345" s="335"/>
      <c r="L345" s="335"/>
      <c r="M345" s="335"/>
      <c r="N345" s="335"/>
      <c r="O345" s="335"/>
      <c r="P345" s="335"/>
      <c r="Q345" s="335"/>
      <c r="R345" s="335"/>
      <c r="S345" s="335">
        <v>358</v>
      </c>
      <c r="T345" s="335">
        <v>150</v>
      </c>
      <c r="U345" s="335"/>
      <c r="V345" s="335"/>
      <c r="W345" s="335"/>
      <c r="X345" s="335"/>
      <c r="Y345" s="121"/>
    </row>
    <row r="346" spans="10:25" x14ac:dyDescent="0.2">
      <c r="J346" s="335"/>
      <c r="K346" s="335"/>
      <c r="L346" s="335"/>
      <c r="M346" s="335"/>
      <c r="N346" s="335"/>
      <c r="O346" s="335"/>
      <c r="P346" s="335"/>
      <c r="Q346" s="335"/>
      <c r="R346" s="335"/>
      <c r="S346" s="335">
        <v>359</v>
      </c>
      <c r="T346" s="335">
        <v>150</v>
      </c>
      <c r="U346" s="335"/>
      <c r="V346" s="335"/>
      <c r="W346" s="335"/>
      <c r="X346" s="335"/>
      <c r="Y346" s="121"/>
    </row>
    <row r="347" spans="10:25" x14ac:dyDescent="0.2">
      <c r="J347" s="335"/>
      <c r="K347" s="335"/>
      <c r="L347" s="335"/>
      <c r="M347" s="335"/>
      <c r="N347" s="335"/>
      <c r="O347" s="335"/>
      <c r="P347" s="335"/>
      <c r="Q347" s="335"/>
      <c r="R347" s="335"/>
      <c r="S347" s="335">
        <v>360</v>
      </c>
      <c r="T347" s="335">
        <v>150</v>
      </c>
      <c r="U347" s="335">
        <v>360</v>
      </c>
      <c r="V347" s="335"/>
      <c r="W347" s="335"/>
      <c r="X347" s="335"/>
      <c r="Y347" s="121"/>
    </row>
    <row r="348" spans="10:25" x14ac:dyDescent="0.2">
      <c r="J348" s="335"/>
      <c r="K348" s="335"/>
      <c r="L348" s="335"/>
      <c r="M348" s="335"/>
      <c r="N348" s="335"/>
      <c r="O348" s="335"/>
      <c r="P348" s="335"/>
      <c r="Q348" s="335"/>
      <c r="R348" s="335"/>
      <c r="S348" s="335"/>
      <c r="T348" s="335"/>
      <c r="U348" s="335"/>
      <c r="V348" s="335"/>
      <c r="W348" s="335"/>
      <c r="X348" s="335"/>
      <c r="Y348" s="121"/>
    </row>
    <row r="349" spans="10:25" x14ac:dyDescent="0.2">
      <c r="J349" s="335"/>
      <c r="K349" s="335"/>
      <c r="L349" s="335"/>
      <c r="M349" s="335"/>
      <c r="N349" s="335"/>
      <c r="O349" s="335"/>
      <c r="P349" s="335"/>
      <c r="Q349" s="335"/>
      <c r="R349" s="335"/>
      <c r="S349" s="335"/>
      <c r="T349" s="335"/>
      <c r="U349" s="335"/>
      <c r="V349" s="335"/>
      <c r="W349" s="335"/>
      <c r="X349" s="335"/>
      <c r="Y349" s="121"/>
    </row>
    <row r="350" spans="10:25" x14ac:dyDescent="0.2">
      <c r="J350" s="335"/>
      <c r="K350" s="335"/>
      <c r="L350" s="335"/>
      <c r="M350" s="335"/>
      <c r="N350" s="335"/>
      <c r="O350" s="335"/>
      <c r="P350" s="335"/>
      <c r="Q350" s="335"/>
      <c r="R350" s="335"/>
      <c r="S350" s="335"/>
      <c r="T350" s="335"/>
      <c r="U350" s="335"/>
      <c r="V350" s="335"/>
      <c r="W350" s="335"/>
      <c r="X350" s="335"/>
      <c r="Y350" s="121"/>
    </row>
    <row r="351" spans="10:25" x14ac:dyDescent="0.2">
      <c r="J351" s="335"/>
      <c r="K351" s="335"/>
      <c r="L351" s="335"/>
      <c r="M351" s="335"/>
      <c r="N351" s="335"/>
      <c r="O351" s="335"/>
      <c r="P351" s="335"/>
      <c r="Q351" s="335"/>
      <c r="R351" s="335"/>
      <c r="S351" s="335"/>
      <c r="T351" s="335"/>
      <c r="U351" s="335"/>
      <c r="V351" s="335"/>
      <c r="W351" s="335"/>
      <c r="X351" s="335"/>
      <c r="Y351" s="121"/>
    </row>
    <row r="352" spans="10:25" x14ac:dyDescent="0.2">
      <c r="J352" s="335"/>
      <c r="K352" s="335"/>
      <c r="L352" s="335"/>
      <c r="M352" s="335"/>
      <c r="N352" s="335"/>
      <c r="O352" s="335"/>
      <c r="P352" s="335"/>
      <c r="Q352" s="335"/>
      <c r="R352" s="335"/>
      <c r="S352" s="335"/>
      <c r="T352" s="335"/>
      <c r="U352" s="335"/>
      <c r="V352" s="335"/>
      <c r="W352" s="335"/>
      <c r="X352" s="335"/>
      <c r="Y352" s="121"/>
    </row>
    <row r="353" spans="10:25" x14ac:dyDescent="0.2">
      <c r="J353" s="335"/>
      <c r="K353" s="335"/>
      <c r="L353" s="335"/>
      <c r="M353" s="335"/>
      <c r="N353" s="335"/>
      <c r="O353" s="335"/>
      <c r="P353" s="335"/>
      <c r="Q353" s="335"/>
      <c r="R353" s="335"/>
      <c r="S353" s="335"/>
      <c r="T353" s="335"/>
      <c r="U353" s="335"/>
      <c r="V353" s="335"/>
      <c r="W353" s="335"/>
      <c r="X353" s="335"/>
      <c r="Y353" s="121"/>
    </row>
    <row r="354" spans="10:25" x14ac:dyDescent="0.2">
      <c r="J354" s="335"/>
      <c r="K354" s="335"/>
      <c r="L354" s="335"/>
      <c r="M354" s="335"/>
      <c r="N354" s="335"/>
      <c r="O354" s="335"/>
      <c r="P354" s="335"/>
      <c r="Q354" s="335"/>
      <c r="R354" s="335"/>
      <c r="S354" s="335"/>
      <c r="T354" s="335"/>
      <c r="U354" s="335"/>
      <c r="V354" s="335"/>
      <c r="W354" s="335"/>
      <c r="X354" s="335"/>
      <c r="Y354" s="121"/>
    </row>
    <row r="355" spans="10:25" x14ac:dyDescent="0.2">
      <c r="J355" s="335"/>
      <c r="K355" s="335"/>
      <c r="L355" s="335"/>
      <c r="M355" s="335"/>
      <c r="N355" s="335"/>
      <c r="O355" s="335"/>
      <c r="P355" s="335"/>
      <c r="Q355" s="335"/>
      <c r="R355" s="335"/>
      <c r="S355" s="335"/>
      <c r="T355" s="335"/>
      <c r="U355" s="335"/>
      <c r="V355" s="335"/>
      <c r="W355" s="335"/>
      <c r="X355" s="335"/>
      <c r="Y355" s="121"/>
    </row>
    <row r="356" spans="10:25" x14ac:dyDescent="0.2">
      <c r="J356" s="335"/>
      <c r="K356" s="335"/>
      <c r="L356" s="335"/>
      <c r="M356" s="335"/>
      <c r="N356" s="335"/>
      <c r="O356" s="335"/>
      <c r="P356" s="335"/>
      <c r="Q356" s="335"/>
      <c r="R356" s="335"/>
      <c r="S356" s="335"/>
      <c r="T356" s="335"/>
      <c r="U356" s="335"/>
      <c r="V356" s="335"/>
      <c r="W356" s="335"/>
      <c r="X356" s="335"/>
      <c r="Y356" s="121"/>
    </row>
    <row r="357" spans="10:25" x14ac:dyDescent="0.2">
      <c r="J357" s="335"/>
      <c r="K357" s="335"/>
      <c r="L357" s="335"/>
      <c r="M357" s="335"/>
      <c r="N357" s="335"/>
      <c r="O357" s="335"/>
      <c r="P357" s="335"/>
      <c r="Q357" s="335"/>
      <c r="R357" s="335"/>
      <c r="S357" s="335"/>
      <c r="T357" s="335"/>
      <c r="U357" s="335"/>
      <c r="V357" s="335"/>
      <c r="W357" s="335"/>
      <c r="X357" s="335"/>
      <c r="Y357" s="121"/>
    </row>
    <row r="358" spans="10:25" x14ac:dyDescent="0.2">
      <c r="J358" s="335"/>
      <c r="K358" s="335"/>
      <c r="L358" s="335"/>
      <c r="M358" s="335"/>
      <c r="N358" s="335"/>
      <c r="O358" s="335"/>
      <c r="P358" s="335"/>
      <c r="Q358" s="335"/>
      <c r="R358" s="335"/>
      <c r="S358" s="335"/>
      <c r="T358" s="335"/>
      <c r="U358" s="335"/>
      <c r="V358" s="335"/>
      <c r="W358" s="335"/>
      <c r="X358" s="335"/>
      <c r="Y358" s="121"/>
    </row>
    <row r="359" spans="10:25" x14ac:dyDescent="0.2">
      <c r="J359" s="335"/>
      <c r="K359" s="335"/>
      <c r="L359" s="335"/>
      <c r="M359" s="335"/>
      <c r="N359" s="335"/>
      <c r="O359" s="335"/>
      <c r="P359" s="335"/>
      <c r="Q359" s="335"/>
      <c r="R359" s="335"/>
      <c r="S359" s="335"/>
      <c r="T359" s="335"/>
      <c r="U359" s="335"/>
      <c r="V359" s="335"/>
      <c r="W359" s="335"/>
      <c r="X359" s="335"/>
      <c r="Y359" s="121"/>
    </row>
    <row r="360" spans="10:25" x14ac:dyDescent="0.2">
      <c r="J360" s="335"/>
      <c r="K360" s="335"/>
      <c r="L360" s="335"/>
      <c r="M360" s="335"/>
      <c r="N360" s="335"/>
      <c r="O360" s="335"/>
      <c r="P360" s="335"/>
      <c r="Q360" s="335"/>
      <c r="R360" s="335"/>
      <c r="S360" s="335"/>
      <c r="T360" s="335"/>
      <c r="U360" s="335"/>
      <c r="V360" s="335"/>
      <c r="W360" s="335"/>
      <c r="X360" s="335"/>
      <c r="Y360" s="121"/>
    </row>
    <row r="361" spans="10:25" x14ac:dyDescent="0.2">
      <c r="J361" s="335"/>
      <c r="K361" s="335"/>
      <c r="L361" s="335"/>
      <c r="M361" s="335"/>
      <c r="N361" s="335"/>
      <c r="O361" s="335"/>
      <c r="P361" s="335"/>
      <c r="Q361" s="335"/>
      <c r="R361" s="335"/>
      <c r="S361" s="335"/>
      <c r="T361" s="335"/>
      <c r="U361" s="335"/>
      <c r="V361" s="335"/>
      <c r="W361" s="335"/>
      <c r="X361" s="335"/>
      <c r="Y361" s="121"/>
    </row>
    <row r="362" spans="10:25" x14ac:dyDescent="0.2">
      <c r="J362" s="335"/>
      <c r="K362" s="335"/>
      <c r="L362" s="335"/>
      <c r="M362" s="335"/>
      <c r="N362" s="335"/>
      <c r="O362" s="335"/>
      <c r="P362" s="335"/>
      <c r="Q362" s="335"/>
      <c r="R362" s="335"/>
      <c r="S362" s="335"/>
      <c r="T362" s="335"/>
      <c r="U362" s="335"/>
      <c r="V362" s="335"/>
      <c r="W362" s="335"/>
      <c r="X362" s="335"/>
      <c r="Y362" s="121"/>
    </row>
    <row r="363" spans="10:25" x14ac:dyDescent="0.2">
      <c r="J363" s="335"/>
      <c r="K363" s="335"/>
      <c r="L363" s="335"/>
      <c r="M363" s="335"/>
      <c r="N363" s="335"/>
      <c r="O363" s="335"/>
      <c r="P363" s="335"/>
      <c r="Q363" s="335"/>
      <c r="R363" s="335"/>
      <c r="S363" s="335"/>
      <c r="T363" s="335"/>
      <c r="U363" s="335"/>
      <c r="V363" s="335"/>
      <c r="W363" s="335"/>
      <c r="X363" s="335"/>
      <c r="Y363" s="121"/>
    </row>
    <row r="364" spans="10:25" x14ac:dyDescent="0.2">
      <c r="J364" s="335"/>
      <c r="K364" s="335"/>
      <c r="L364" s="335"/>
      <c r="M364" s="335"/>
      <c r="N364" s="335"/>
      <c r="O364" s="335"/>
      <c r="P364" s="335"/>
      <c r="Q364" s="335"/>
      <c r="R364" s="335"/>
      <c r="S364" s="335"/>
      <c r="T364" s="335"/>
      <c r="U364" s="335"/>
      <c r="V364" s="335"/>
      <c r="W364" s="335"/>
      <c r="X364" s="335"/>
      <c r="Y364" s="121"/>
    </row>
    <row r="365" spans="10:25" x14ac:dyDescent="0.2">
      <c r="J365" s="335"/>
      <c r="K365" s="335"/>
      <c r="L365" s="335"/>
      <c r="M365" s="335"/>
      <c r="N365" s="335"/>
      <c r="O365" s="335"/>
      <c r="P365" s="335"/>
      <c r="Q365" s="335"/>
      <c r="R365" s="335"/>
      <c r="S365" s="335"/>
      <c r="T365" s="335"/>
      <c r="U365" s="335"/>
      <c r="V365" s="335"/>
      <c r="W365" s="335"/>
      <c r="X365" s="335"/>
      <c r="Y365" s="121"/>
    </row>
    <row r="366" spans="10:25" x14ac:dyDescent="0.2">
      <c r="J366" s="335"/>
      <c r="K366" s="335"/>
      <c r="L366" s="335"/>
      <c r="M366" s="335"/>
      <c r="N366" s="335"/>
      <c r="O366" s="335"/>
      <c r="P366" s="335"/>
      <c r="Q366" s="335"/>
      <c r="R366" s="335"/>
      <c r="S366" s="335"/>
      <c r="T366" s="335"/>
      <c r="U366" s="335"/>
      <c r="V366" s="335"/>
      <c r="W366" s="335"/>
      <c r="X366" s="335"/>
      <c r="Y366" s="121"/>
    </row>
    <row r="367" spans="10:25" x14ac:dyDescent="0.2">
      <c r="J367" s="335"/>
      <c r="K367" s="335"/>
      <c r="L367" s="335"/>
      <c r="M367" s="335"/>
      <c r="N367" s="335"/>
      <c r="O367" s="335"/>
      <c r="P367" s="335"/>
      <c r="Q367" s="335"/>
      <c r="R367" s="335"/>
      <c r="S367" s="335"/>
      <c r="T367" s="335"/>
      <c r="U367" s="335"/>
      <c r="V367" s="335"/>
      <c r="W367" s="335"/>
      <c r="X367" s="335"/>
      <c r="Y367" s="121"/>
    </row>
    <row r="368" spans="10:25" x14ac:dyDescent="0.2">
      <c r="J368" s="335"/>
      <c r="K368" s="335"/>
      <c r="L368" s="335"/>
      <c r="M368" s="335"/>
      <c r="N368" s="335"/>
      <c r="O368" s="335"/>
      <c r="P368" s="335"/>
      <c r="Q368" s="335"/>
      <c r="R368" s="335"/>
      <c r="S368" s="335"/>
      <c r="T368" s="335"/>
      <c r="U368" s="335"/>
      <c r="V368" s="335"/>
      <c r="W368" s="335"/>
      <c r="X368" s="335"/>
      <c r="Y368" s="121"/>
    </row>
    <row r="369" spans="10:25" x14ac:dyDescent="0.2">
      <c r="J369" s="335"/>
      <c r="K369" s="335"/>
      <c r="L369" s="335"/>
      <c r="M369" s="335"/>
      <c r="N369" s="335"/>
      <c r="O369" s="335"/>
      <c r="P369" s="335"/>
      <c r="Q369" s="335"/>
      <c r="R369" s="335"/>
      <c r="S369" s="335"/>
      <c r="T369" s="335"/>
      <c r="U369" s="335"/>
      <c r="V369" s="335"/>
      <c r="W369" s="335"/>
      <c r="X369" s="335"/>
      <c r="Y369" s="121"/>
    </row>
    <row r="370" spans="10:25" x14ac:dyDescent="0.2">
      <c r="J370" s="335"/>
      <c r="K370" s="335"/>
      <c r="L370" s="335"/>
      <c r="M370" s="335"/>
      <c r="N370" s="335"/>
      <c r="O370" s="335"/>
      <c r="P370" s="335"/>
      <c r="Q370" s="335"/>
      <c r="R370" s="335"/>
      <c r="S370" s="335"/>
      <c r="T370" s="335"/>
      <c r="U370" s="335"/>
      <c r="V370" s="335"/>
      <c r="W370" s="335"/>
      <c r="X370" s="335"/>
      <c r="Y370" s="121"/>
    </row>
    <row r="371" spans="10:25" x14ac:dyDescent="0.2">
      <c r="J371" s="335"/>
      <c r="K371" s="335"/>
      <c r="L371" s="335"/>
      <c r="M371" s="335"/>
      <c r="N371" s="335"/>
      <c r="O371" s="335"/>
      <c r="P371" s="335"/>
      <c r="Q371" s="335"/>
      <c r="R371" s="335"/>
      <c r="S371" s="335"/>
      <c r="T371" s="335"/>
      <c r="U371" s="335"/>
      <c r="V371" s="335"/>
      <c r="W371" s="335"/>
      <c r="X371" s="335"/>
      <c r="Y371" s="121"/>
    </row>
    <row r="372" spans="10:25" x14ac:dyDescent="0.2">
      <c r="J372" s="335"/>
      <c r="K372" s="335"/>
      <c r="L372" s="335"/>
      <c r="M372" s="335"/>
      <c r="N372" s="335"/>
      <c r="O372" s="335"/>
      <c r="P372" s="335"/>
      <c r="Q372" s="335"/>
      <c r="R372" s="335"/>
      <c r="S372" s="335"/>
      <c r="T372" s="335"/>
      <c r="U372" s="335"/>
      <c r="V372" s="335"/>
      <c r="W372" s="335"/>
      <c r="X372" s="335"/>
      <c r="Y372" s="121"/>
    </row>
    <row r="373" spans="10:25" x14ac:dyDescent="0.2">
      <c r="J373" s="335"/>
      <c r="K373" s="335"/>
      <c r="L373" s="335"/>
      <c r="M373" s="335"/>
      <c r="N373" s="335"/>
      <c r="O373" s="335"/>
      <c r="P373" s="335"/>
      <c r="Q373" s="335"/>
      <c r="R373" s="335"/>
      <c r="S373" s="335"/>
      <c r="T373" s="335"/>
      <c r="U373" s="335"/>
      <c r="V373" s="335"/>
      <c r="W373" s="335"/>
      <c r="X373" s="335"/>
      <c r="Y373" s="121"/>
    </row>
    <row r="374" spans="10:25" x14ac:dyDescent="0.2">
      <c r="J374" s="335"/>
      <c r="K374" s="335"/>
      <c r="L374" s="335"/>
      <c r="M374" s="335"/>
      <c r="N374" s="335"/>
      <c r="O374" s="335"/>
      <c r="P374" s="335"/>
      <c r="Q374" s="335"/>
      <c r="R374" s="335"/>
      <c r="S374" s="335"/>
      <c r="T374" s="335"/>
      <c r="U374" s="335"/>
      <c r="V374" s="335"/>
      <c r="W374" s="335"/>
      <c r="X374" s="335"/>
      <c r="Y374" s="121"/>
    </row>
    <row r="375" spans="10:25" x14ac:dyDescent="0.2">
      <c r="J375" s="335"/>
      <c r="K375" s="335"/>
      <c r="L375" s="335"/>
      <c r="M375" s="335"/>
      <c r="N375" s="335"/>
      <c r="O375" s="335"/>
      <c r="P375" s="335"/>
      <c r="Q375" s="335"/>
      <c r="R375" s="335"/>
      <c r="S375" s="335"/>
      <c r="T375" s="335"/>
      <c r="U375" s="335"/>
      <c r="V375" s="335"/>
      <c r="W375" s="335"/>
      <c r="X375" s="335"/>
      <c r="Y375" s="121"/>
    </row>
    <row r="376" spans="10:25" x14ac:dyDescent="0.2">
      <c r="J376" s="335"/>
      <c r="K376" s="335"/>
      <c r="L376" s="335"/>
      <c r="M376" s="335"/>
      <c r="N376" s="335"/>
      <c r="O376" s="335"/>
      <c r="P376" s="335"/>
      <c r="Q376" s="335"/>
      <c r="R376" s="335"/>
      <c r="S376" s="335"/>
      <c r="T376" s="335"/>
      <c r="U376" s="335"/>
      <c r="V376" s="335"/>
      <c r="W376" s="335"/>
      <c r="X376" s="335"/>
      <c r="Y376" s="121"/>
    </row>
    <row r="377" spans="10:25" x14ac:dyDescent="0.2">
      <c r="J377" s="335"/>
      <c r="K377" s="335"/>
      <c r="L377" s="335"/>
      <c r="M377" s="335"/>
      <c r="N377" s="335"/>
      <c r="O377" s="335"/>
      <c r="P377" s="335"/>
      <c r="Q377" s="335"/>
      <c r="R377" s="335"/>
      <c r="S377" s="335"/>
      <c r="T377" s="335"/>
      <c r="U377" s="335"/>
      <c r="V377" s="335"/>
      <c r="W377" s="335"/>
      <c r="X377" s="335"/>
      <c r="Y377" s="121"/>
    </row>
    <row r="378" spans="10:25" x14ac:dyDescent="0.2">
      <c r="J378" s="335"/>
      <c r="K378" s="335"/>
      <c r="L378" s="335"/>
      <c r="M378" s="335"/>
      <c r="N378" s="335"/>
      <c r="O378" s="335"/>
      <c r="P378" s="335"/>
      <c r="Q378" s="335"/>
      <c r="R378" s="335"/>
      <c r="S378" s="335"/>
      <c r="T378" s="335"/>
      <c r="U378" s="335"/>
      <c r="V378" s="335"/>
      <c r="W378" s="335"/>
      <c r="X378" s="335"/>
      <c r="Y378" s="121"/>
    </row>
    <row r="379" spans="10:25" x14ac:dyDescent="0.2">
      <c r="J379" s="335"/>
      <c r="K379" s="335"/>
      <c r="L379" s="335"/>
      <c r="M379" s="335"/>
      <c r="N379" s="335"/>
      <c r="O379" s="335"/>
      <c r="P379" s="335"/>
      <c r="Q379" s="335"/>
      <c r="R379" s="335"/>
      <c r="S379" s="335"/>
      <c r="T379" s="335"/>
      <c r="U379" s="335"/>
      <c r="V379" s="335"/>
      <c r="W379" s="335"/>
      <c r="X379" s="335"/>
      <c r="Y379" s="121"/>
    </row>
    <row r="380" spans="10:25" x14ac:dyDescent="0.2">
      <c r="J380" s="335"/>
      <c r="K380" s="335"/>
      <c r="L380" s="335"/>
      <c r="M380" s="335"/>
      <c r="N380" s="335"/>
      <c r="O380" s="335"/>
      <c r="P380" s="335"/>
      <c r="Q380" s="335"/>
      <c r="R380" s="335"/>
      <c r="S380" s="335"/>
      <c r="T380" s="335"/>
      <c r="U380" s="335"/>
      <c r="V380" s="335"/>
      <c r="W380" s="335"/>
      <c r="X380" s="335"/>
      <c r="Y380" s="121"/>
    </row>
    <row r="381" spans="10:25" x14ac:dyDescent="0.2">
      <c r="J381" s="335"/>
      <c r="K381" s="335"/>
      <c r="L381" s="335"/>
      <c r="M381" s="335"/>
      <c r="N381" s="335"/>
      <c r="O381" s="335"/>
      <c r="P381" s="335"/>
      <c r="Q381" s="335"/>
      <c r="R381" s="335"/>
      <c r="S381" s="335"/>
      <c r="T381" s="335"/>
      <c r="U381" s="335"/>
      <c r="V381" s="335"/>
      <c r="W381" s="335"/>
      <c r="X381" s="335"/>
      <c r="Y381" s="121"/>
    </row>
    <row r="382" spans="10:25" x14ac:dyDescent="0.2">
      <c r="J382" s="335"/>
      <c r="K382" s="335"/>
      <c r="L382" s="335"/>
      <c r="M382" s="335"/>
      <c r="N382" s="335"/>
      <c r="O382" s="335"/>
      <c r="P382" s="335"/>
      <c r="Q382" s="335"/>
      <c r="R382" s="335"/>
      <c r="S382" s="335"/>
      <c r="T382" s="335"/>
      <c r="U382" s="335"/>
      <c r="V382" s="335"/>
      <c r="W382" s="335"/>
      <c r="X382" s="335"/>
      <c r="Y382" s="121"/>
    </row>
    <row r="383" spans="10:25" x14ac:dyDescent="0.2">
      <c r="J383" s="335"/>
      <c r="K383" s="335"/>
      <c r="L383" s="335"/>
      <c r="M383" s="335"/>
      <c r="N383" s="335"/>
      <c r="O383" s="335"/>
      <c r="P383" s="335"/>
      <c r="Q383" s="335"/>
      <c r="R383" s="335"/>
      <c r="S383" s="335"/>
      <c r="T383" s="335"/>
      <c r="U383" s="335"/>
      <c r="V383" s="335"/>
      <c r="W383" s="335"/>
      <c r="X383" s="335"/>
      <c r="Y383" s="121"/>
    </row>
    <row r="384" spans="10:25" x14ac:dyDescent="0.2">
      <c r="J384" s="335"/>
      <c r="K384" s="335"/>
      <c r="L384" s="335"/>
      <c r="M384" s="335"/>
      <c r="N384" s="335"/>
      <c r="O384" s="335"/>
      <c r="P384" s="335"/>
      <c r="Q384" s="335"/>
      <c r="R384" s="335"/>
      <c r="S384" s="335"/>
      <c r="T384" s="335"/>
      <c r="U384" s="335"/>
      <c r="V384" s="335"/>
      <c r="W384" s="335"/>
      <c r="X384" s="335"/>
      <c r="Y384" s="121"/>
    </row>
    <row r="385" spans="10:25" x14ac:dyDescent="0.2">
      <c r="J385" s="335"/>
      <c r="K385" s="335"/>
      <c r="L385" s="335"/>
      <c r="M385" s="335"/>
      <c r="N385" s="335"/>
      <c r="O385" s="335"/>
      <c r="P385" s="335"/>
      <c r="Q385" s="335"/>
      <c r="R385" s="335"/>
      <c r="S385" s="335"/>
      <c r="T385" s="335"/>
      <c r="U385" s="335"/>
      <c r="V385" s="335"/>
      <c r="W385" s="335"/>
      <c r="X385" s="335"/>
      <c r="Y385" s="121"/>
    </row>
    <row r="386" spans="10:25" x14ac:dyDescent="0.2">
      <c r="J386" s="335"/>
      <c r="K386" s="335"/>
      <c r="L386" s="335"/>
      <c r="M386" s="335"/>
      <c r="N386" s="335"/>
      <c r="O386" s="335"/>
      <c r="P386" s="335"/>
      <c r="Q386" s="335"/>
      <c r="R386" s="335"/>
      <c r="S386" s="335"/>
      <c r="T386" s="335"/>
      <c r="U386" s="335"/>
      <c r="V386" s="335"/>
      <c r="W386" s="335"/>
      <c r="X386" s="335"/>
      <c r="Y386" s="121"/>
    </row>
    <row r="387" spans="10:25" x14ac:dyDescent="0.2">
      <c r="J387" s="335"/>
      <c r="K387" s="335"/>
      <c r="L387" s="335"/>
      <c r="M387" s="335"/>
      <c r="N387" s="335"/>
      <c r="O387" s="335"/>
      <c r="P387" s="335"/>
      <c r="Q387" s="335"/>
      <c r="R387" s="335"/>
      <c r="S387" s="335"/>
      <c r="T387" s="335"/>
      <c r="U387" s="335"/>
      <c r="V387" s="335"/>
      <c r="W387" s="335"/>
      <c r="X387" s="335"/>
      <c r="Y387" s="121"/>
    </row>
    <row r="388" spans="10:25" x14ac:dyDescent="0.2">
      <c r="J388" s="335"/>
      <c r="K388" s="335"/>
      <c r="L388" s="335"/>
      <c r="M388" s="335"/>
      <c r="N388" s="335"/>
      <c r="O388" s="335"/>
      <c r="P388" s="335"/>
      <c r="Q388" s="335"/>
      <c r="R388" s="335"/>
      <c r="S388" s="335"/>
      <c r="T388" s="335"/>
      <c r="U388" s="335"/>
      <c r="V388" s="335"/>
      <c r="W388" s="335"/>
      <c r="X388" s="335"/>
      <c r="Y388" s="121"/>
    </row>
    <row r="389" spans="10:25" x14ac:dyDescent="0.2">
      <c r="J389" s="335"/>
      <c r="K389" s="335"/>
      <c r="L389" s="335"/>
      <c r="M389" s="335"/>
      <c r="N389" s="335"/>
      <c r="O389" s="335"/>
      <c r="P389" s="335"/>
      <c r="Q389" s="335"/>
      <c r="R389" s="335"/>
      <c r="S389" s="335"/>
      <c r="T389" s="335"/>
      <c r="U389" s="335"/>
      <c r="V389" s="335"/>
      <c r="W389" s="335"/>
      <c r="X389" s="335"/>
      <c r="Y389" s="121"/>
    </row>
    <row r="390" spans="10:25" x14ac:dyDescent="0.2">
      <c r="J390" s="335"/>
      <c r="K390" s="335"/>
      <c r="L390" s="335"/>
      <c r="M390" s="335"/>
      <c r="N390" s="335"/>
      <c r="O390" s="335"/>
      <c r="P390" s="335"/>
      <c r="Q390" s="335"/>
      <c r="R390" s="335"/>
      <c r="S390" s="335"/>
      <c r="T390" s="335"/>
      <c r="U390" s="335"/>
      <c r="V390" s="335"/>
      <c r="W390" s="335"/>
      <c r="X390" s="335"/>
      <c r="Y390" s="121"/>
    </row>
    <row r="391" spans="10:25" x14ac:dyDescent="0.2">
      <c r="J391" s="335"/>
      <c r="K391" s="335"/>
      <c r="L391" s="335"/>
      <c r="M391" s="335"/>
      <c r="N391" s="335"/>
      <c r="O391" s="335"/>
      <c r="P391" s="335"/>
      <c r="Q391" s="335"/>
      <c r="R391" s="335"/>
      <c r="S391" s="335"/>
      <c r="T391" s="335"/>
      <c r="U391" s="335"/>
      <c r="V391" s="335"/>
      <c r="W391" s="335"/>
      <c r="X391" s="335"/>
      <c r="Y391" s="121"/>
    </row>
    <row r="392" spans="10:25" x14ac:dyDescent="0.2">
      <c r="J392" s="335"/>
      <c r="K392" s="335"/>
      <c r="L392" s="335"/>
      <c r="M392" s="335"/>
      <c r="N392" s="335"/>
      <c r="O392" s="335"/>
      <c r="P392" s="335"/>
      <c r="Q392" s="335"/>
      <c r="R392" s="335"/>
      <c r="S392" s="335"/>
      <c r="T392" s="335"/>
      <c r="U392" s="335"/>
      <c r="V392" s="335"/>
      <c r="W392" s="335"/>
      <c r="X392" s="335"/>
      <c r="Y392" s="121"/>
    </row>
    <row r="393" spans="10:25" x14ac:dyDescent="0.2">
      <c r="J393" s="335"/>
      <c r="K393" s="335"/>
      <c r="L393" s="335"/>
      <c r="M393" s="335"/>
      <c r="N393" s="335"/>
      <c r="O393" s="335"/>
      <c r="P393" s="335"/>
      <c r="Q393" s="335"/>
      <c r="R393" s="335"/>
      <c r="S393" s="335"/>
      <c r="T393" s="335"/>
      <c r="U393" s="335"/>
      <c r="V393" s="335"/>
      <c r="W393" s="335"/>
      <c r="X393" s="335"/>
      <c r="Y393" s="121"/>
    </row>
    <row r="394" spans="10:25" x14ac:dyDescent="0.2">
      <c r="J394" s="335"/>
      <c r="K394" s="335"/>
      <c r="L394" s="335"/>
      <c r="M394" s="335"/>
      <c r="N394" s="335"/>
      <c r="O394" s="335"/>
      <c r="P394" s="335"/>
      <c r="Q394" s="335"/>
      <c r="R394" s="335"/>
      <c r="S394" s="335"/>
      <c r="T394" s="335"/>
      <c r="U394" s="335"/>
      <c r="V394" s="335"/>
      <c r="W394" s="335"/>
      <c r="X394" s="335"/>
      <c r="Y394" s="121"/>
    </row>
    <row r="395" spans="10:25" x14ac:dyDescent="0.2">
      <c r="J395" s="335"/>
      <c r="K395" s="335"/>
      <c r="L395" s="335"/>
      <c r="M395" s="335"/>
      <c r="N395" s="335"/>
      <c r="O395" s="335"/>
      <c r="P395" s="335"/>
      <c r="Q395" s="335"/>
      <c r="R395" s="335"/>
      <c r="S395" s="335"/>
      <c r="T395" s="335"/>
      <c r="U395" s="335"/>
      <c r="V395" s="335"/>
      <c r="W395" s="335"/>
      <c r="X395" s="335"/>
      <c r="Y395" s="121"/>
    </row>
    <row r="396" spans="10:25" x14ac:dyDescent="0.2">
      <c r="J396" s="335"/>
      <c r="K396" s="335"/>
      <c r="L396" s="335"/>
      <c r="M396" s="335"/>
      <c r="N396" s="335"/>
      <c r="O396" s="335"/>
      <c r="P396" s="335"/>
      <c r="Q396" s="335"/>
      <c r="R396" s="335"/>
      <c r="S396" s="335"/>
      <c r="T396" s="335"/>
      <c r="U396" s="335"/>
      <c r="V396" s="335"/>
      <c r="W396" s="335"/>
      <c r="X396" s="335"/>
      <c r="Y396" s="121"/>
    </row>
    <row r="397" spans="10:25" x14ac:dyDescent="0.2">
      <c r="J397" s="335"/>
      <c r="K397" s="335"/>
      <c r="L397" s="335"/>
      <c r="M397" s="335"/>
      <c r="N397" s="335"/>
      <c r="O397" s="335"/>
      <c r="P397" s="335"/>
      <c r="Q397" s="335"/>
      <c r="R397" s="335"/>
      <c r="S397" s="335"/>
      <c r="T397" s="335"/>
      <c r="U397" s="335"/>
      <c r="V397" s="335"/>
      <c r="W397" s="335"/>
      <c r="X397" s="335"/>
      <c r="Y397" s="121"/>
    </row>
    <row r="398" spans="10:25" x14ac:dyDescent="0.2">
      <c r="J398" s="335"/>
      <c r="K398" s="335"/>
      <c r="L398" s="335"/>
      <c r="M398" s="335"/>
      <c r="N398" s="335"/>
      <c r="O398" s="335"/>
      <c r="P398" s="335"/>
      <c r="Q398" s="335"/>
      <c r="R398" s="335"/>
      <c r="S398" s="335"/>
      <c r="T398" s="335"/>
      <c r="U398" s="335"/>
      <c r="V398" s="335"/>
      <c r="W398" s="335"/>
      <c r="X398" s="335"/>
      <c r="Y398" s="121"/>
    </row>
    <row r="399" spans="10:25" x14ac:dyDescent="0.2">
      <c r="J399" s="335"/>
      <c r="K399" s="335"/>
      <c r="L399" s="335"/>
      <c r="M399" s="335"/>
      <c r="N399" s="335"/>
      <c r="O399" s="335"/>
      <c r="P399" s="335"/>
      <c r="Q399" s="335"/>
      <c r="R399" s="335"/>
      <c r="S399" s="335"/>
      <c r="T399" s="335"/>
      <c r="U399" s="335"/>
      <c r="V399" s="335"/>
      <c r="W399" s="335"/>
      <c r="X399" s="335"/>
      <c r="Y399" s="121"/>
    </row>
    <row r="400" spans="10:25" x14ac:dyDescent="0.2">
      <c r="J400" s="335"/>
      <c r="K400" s="335"/>
      <c r="L400" s="335"/>
      <c r="M400" s="335"/>
      <c r="N400" s="335"/>
      <c r="O400" s="335"/>
      <c r="P400" s="335"/>
      <c r="Q400" s="335"/>
      <c r="R400" s="335"/>
      <c r="S400" s="335"/>
      <c r="T400" s="335"/>
      <c r="U400" s="335"/>
      <c r="V400" s="335"/>
      <c r="W400" s="335"/>
      <c r="X400" s="335"/>
      <c r="Y400" s="121"/>
    </row>
    <row r="401" spans="10:25" x14ac:dyDescent="0.2">
      <c r="J401" s="335"/>
      <c r="K401" s="335"/>
      <c r="L401" s="335"/>
      <c r="M401" s="335"/>
      <c r="N401" s="335"/>
      <c r="O401" s="335"/>
      <c r="P401" s="335"/>
      <c r="Q401" s="335"/>
      <c r="R401" s="335"/>
      <c r="S401" s="335"/>
      <c r="T401" s="335"/>
      <c r="U401" s="335"/>
      <c r="V401" s="335"/>
      <c r="W401" s="335"/>
      <c r="X401" s="335"/>
      <c r="Y401" s="121"/>
    </row>
    <row r="402" spans="10:25" x14ac:dyDescent="0.2">
      <c r="J402" s="335"/>
      <c r="K402" s="335"/>
      <c r="L402" s="335"/>
      <c r="M402" s="335"/>
      <c r="N402" s="335"/>
      <c r="O402" s="335"/>
      <c r="P402" s="335"/>
      <c r="Q402" s="335"/>
      <c r="R402" s="335"/>
      <c r="S402" s="335"/>
      <c r="T402" s="335"/>
      <c r="U402" s="335"/>
      <c r="V402" s="335"/>
      <c r="W402" s="335"/>
      <c r="X402" s="335"/>
      <c r="Y402" s="121"/>
    </row>
    <row r="403" spans="10:25" x14ac:dyDescent="0.2">
      <c r="J403" s="335"/>
      <c r="K403" s="335"/>
      <c r="L403" s="335"/>
      <c r="M403" s="335"/>
      <c r="N403" s="335"/>
      <c r="O403" s="335"/>
      <c r="P403" s="335"/>
      <c r="Q403" s="335"/>
      <c r="R403" s="335"/>
      <c r="S403" s="335"/>
      <c r="T403" s="335"/>
      <c r="U403" s="335"/>
      <c r="V403" s="335"/>
      <c r="W403" s="335"/>
      <c r="X403" s="335"/>
      <c r="Y403" s="121"/>
    </row>
    <row r="404" spans="10:25" x14ac:dyDescent="0.2">
      <c r="J404" s="335"/>
      <c r="K404" s="335"/>
      <c r="L404" s="335"/>
      <c r="M404" s="335"/>
      <c r="N404" s="335"/>
      <c r="O404" s="335"/>
      <c r="P404" s="335"/>
      <c r="Q404" s="335"/>
      <c r="R404" s="335"/>
      <c r="S404" s="335"/>
      <c r="T404" s="335"/>
      <c r="U404" s="335"/>
      <c r="V404" s="335"/>
      <c r="W404" s="335"/>
      <c r="X404" s="335"/>
      <c r="Y404" s="121"/>
    </row>
    <row r="405" spans="10:25" x14ac:dyDescent="0.2">
      <c r="J405" s="335"/>
      <c r="K405" s="335"/>
      <c r="L405" s="335"/>
      <c r="M405" s="335"/>
      <c r="N405" s="335"/>
      <c r="O405" s="335"/>
      <c r="P405" s="335"/>
      <c r="Q405" s="335"/>
      <c r="R405" s="335"/>
      <c r="S405" s="335"/>
      <c r="T405" s="335"/>
      <c r="U405" s="335"/>
      <c r="V405" s="335"/>
      <c r="W405" s="335"/>
      <c r="X405" s="335"/>
      <c r="Y405" s="121"/>
    </row>
    <row r="406" spans="10:25" x14ac:dyDescent="0.2">
      <c r="J406" s="335"/>
      <c r="K406" s="335"/>
      <c r="L406" s="335"/>
      <c r="M406" s="335"/>
      <c r="N406" s="335"/>
      <c r="O406" s="335"/>
      <c r="P406" s="335"/>
      <c r="Q406" s="335"/>
      <c r="R406" s="335"/>
      <c r="S406" s="335"/>
      <c r="T406" s="335"/>
      <c r="U406" s="335"/>
      <c r="V406" s="335"/>
      <c r="W406" s="335"/>
      <c r="X406" s="335"/>
      <c r="Y406" s="121"/>
    </row>
    <row r="407" spans="10:25" x14ac:dyDescent="0.2">
      <c r="J407" s="335"/>
      <c r="K407" s="335"/>
      <c r="L407" s="335"/>
      <c r="M407" s="335"/>
      <c r="N407" s="335"/>
      <c r="O407" s="335"/>
      <c r="P407" s="335"/>
      <c r="Q407" s="335"/>
      <c r="R407" s="335"/>
      <c r="S407" s="335"/>
      <c r="T407" s="335"/>
      <c r="U407" s="335"/>
      <c r="V407" s="335"/>
      <c r="W407" s="335"/>
      <c r="X407" s="335"/>
      <c r="Y407" s="121"/>
    </row>
    <row r="408" spans="10:25" x14ac:dyDescent="0.2">
      <c r="J408" s="335"/>
      <c r="K408" s="335"/>
      <c r="L408" s="335"/>
      <c r="M408" s="335"/>
      <c r="N408" s="335"/>
      <c r="O408" s="335"/>
      <c r="P408" s="335"/>
      <c r="Q408" s="335"/>
      <c r="R408" s="335"/>
      <c r="S408" s="335"/>
      <c r="T408" s="335"/>
      <c r="U408" s="335"/>
      <c r="V408" s="335"/>
      <c r="W408" s="335"/>
      <c r="X408" s="335"/>
      <c r="Y408" s="121"/>
    </row>
    <row r="409" spans="10:25" x14ac:dyDescent="0.2">
      <c r="J409" s="335"/>
      <c r="K409" s="335"/>
      <c r="L409" s="335"/>
      <c r="M409" s="335"/>
      <c r="N409" s="335"/>
      <c r="O409" s="335"/>
      <c r="P409" s="335"/>
      <c r="Q409" s="335"/>
      <c r="R409" s="335"/>
      <c r="S409" s="335"/>
      <c r="T409" s="335"/>
      <c r="U409" s="335"/>
      <c r="V409" s="335"/>
      <c r="W409" s="335"/>
      <c r="X409" s="335"/>
      <c r="Y409" s="121"/>
    </row>
    <row r="410" spans="10:25" x14ac:dyDescent="0.2">
      <c r="J410" s="335"/>
      <c r="K410" s="335"/>
      <c r="L410" s="335"/>
      <c r="M410" s="335"/>
      <c r="N410" s="335"/>
      <c r="O410" s="335"/>
      <c r="P410" s="335"/>
      <c r="Q410" s="335"/>
      <c r="R410" s="335"/>
      <c r="S410" s="335"/>
      <c r="T410" s="335"/>
      <c r="U410" s="335"/>
      <c r="V410" s="335"/>
      <c r="W410" s="335"/>
      <c r="X410" s="335"/>
      <c r="Y410" s="121"/>
    </row>
    <row r="411" spans="10:25" x14ac:dyDescent="0.2">
      <c r="J411" s="335"/>
      <c r="K411" s="335"/>
      <c r="L411" s="335"/>
      <c r="M411" s="335"/>
      <c r="N411" s="335"/>
      <c r="O411" s="335"/>
      <c r="P411" s="335"/>
      <c r="Q411" s="335"/>
      <c r="R411" s="335"/>
      <c r="S411" s="335"/>
      <c r="T411" s="335"/>
      <c r="U411" s="335"/>
      <c r="V411" s="335"/>
      <c r="W411" s="335"/>
      <c r="X411" s="335"/>
      <c r="Y411" s="121"/>
    </row>
    <row r="412" spans="10:25" x14ac:dyDescent="0.2">
      <c r="J412" s="335"/>
      <c r="K412" s="335"/>
      <c r="L412" s="335"/>
      <c r="M412" s="335"/>
      <c r="N412" s="335"/>
      <c r="O412" s="335"/>
      <c r="P412" s="335"/>
      <c r="Q412" s="335"/>
      <c r="R412" s="335"/>
      <c r="S412" s="335"/>
      <c r="T412" s="335"/>
      <c r="U412" s="335"/>
      <c r="V412" s="335"/>
      <c r="W412" s="335"/>
      <c r="X412" s="335"/>
      <c r="Y412" s="121"/>
    </row>
    <row r="413" spans="10:25" x14ac:dyDescent="0.2">
      <c r="J413" s="335"/>
      <c r="K413" s="335"/>
      <c r="L413" s="335"/>
      <c r="M413" s="335"/>
      <c r="N413" s="335"/>
      <c r="O413" s="335"/>
      <c r="P413" s="335"/>
      <c r="Q413" s="335"/>
      <c r="R413" s="335"/>
      <c r="S413" s="335"/>
      <c r="T413" s="335"/>
      <c r="U413" s="335"/>
      <c r="V413" s="335"/>
      <c r="W413" s="335"/>
      <c r="X413" s="335"/>
      <c r="Y413" s="121"/>
    </row>
    <row r="414" spans="10:25" x14ac:dyDescent="0.2">
      <c r="J414" s="335"/>
      <c r="K414" s="335"/>
      <c r="L414" s="335"/>
      <c r="M414" s="335"/>
      <c r="N414" s="335"/>
      <c r="O414" s="335"/>
      <c r="P414" s="335"/>
      <c r="Q414" s="335"/>
      <c r="R414" s="335"/>
      <c r="S414" s="335"/>
      <c r="T414" s="335"/>
      <c r="U414" s="335"/>
      <c r="V414" s="335"/>
      <c r="W414" s="335"/>
      <c r="X414" s="335"/>
      <c r="Y414" s="121"/>
    </row>
    <row r="415" spans="10:25" x14ac:dyDescent="0.2">
      <c r="J415" s="335"/>
      <c r="K415" s="335"/>
      <c r="L415" s="335"/>
      <c r="M415" s="335"/>
      <c r="N415" s="335"/>
      <c r="O415" s="335"/>
      <c r="P415" s="335"/>
      <c r="Q415" s="335"/>
      <c r="R415" s="335"/>
      <c r="S415" s="335"/>
      <c r="T415" s="335"/>
      <c r="U415" s="335"/>
      <c r="V415" s="335"/>
      <c r="W415" s="335"/>
      <c r="X415" s="335"/>
      <c r="Y415" s="121"/>
    </row>
    <row r="416" spans="10:25" x14ac:dyDescent="0.2">
      <c r="J416" s="335"/>
      <c r="K416" s="335"/>
      <c r="L416" s="335"/>
      <c r="M416" s="335"/>
      <c r="N416" s="335"/>
      <c r="O416" s="335"/>
      <c r="P416" s="335"/>
      <c r="Q416" s="335"/>
      <c r="R416" s="335"/>
      <c r="S416" s="335"/>
      <c r="T416" s="335"/>
      <c r="U416" s="335"/>
      <c r="V416" s="335"/>
      <c r="W416" s="335"/>
      <c r="X416" s="335"/>
      <c r="Y416" s="121"/>
    </row>
    <row r="417" spans="10:25" x14ac:dyDescent="0.2">
      <c r="J417" s="335"/>
      <c r="K417" s="335"/>
      <c r="L417" s="335"/>
      <c r="M417" s="335"/>
      <c r="N417" s="335"/>
      <c r="O417" s="335"/>
      <c r="P417" s="335"/>
      <c r="Q417" s="335"/>
      <c r="R417" s="335"/>
      <c r="S417" s="335"/>
      <c r="T417" s="335"/>
      <c r="U417" s="335"/>
      <c r="V417" s="335"/>
      <c r="W417" s="335"/>
      <c r="X417" s="335"/>
      <c r="Y417" s="121"/>
    </row>
    <row r="418" spans="10:25" x14ac:dyDescent="0.2">
      <c r="J418" s="335"/>
      <c r="K418" s="335"/>
      <c r="L418" s="335"/>
      <c r="M418" s="335"/>
      <c r="N418" s="335"/>
      <c r="O418" s="335"/>
      <c r="P418" s="335"/>
      <c r="Q418" s="335"/>
      <c r="R418" s="335"/>
      <c r="S418" s="335"/>
      <c r="T418" s="335"/>
      <c r="U418" s="335"/>
      <c r="V418" s="335"/>
      <c r="W418" s="335"/>
      <c r="X418" s="335"/>
      <c r="Y418" s="121"/>
    </row>
    <row r="419" spans="10:25" x14ac:dyDescent="0.2">
      <c r="J419" s="335"/>
      <c r="K419" s="335"/>
      <c r="L419" s="335"/>
      <c r="M419" s="335"/>
      <c r="N419" s="335"/>
      <c r="O419" s="335"/>
      <c r="P419" s="335"/>
      <c r="Q419" s="335"/>
      <c r="R419" s="335"/>
      <c r="S419" s="335"/>
      <c r="T419" s="335"/>
      <c r="U419" s="335"/>
      <c r="V419" s="335"/>
      <c r="W419" s="335"/>
      <c r="X419" s="335"/>
      <c r="Y419" s="121"/>
    </row>
    <row r="420" spans="10:25" x14ac:dyDescent="0.2">
      <c r="J420" s="335"/>
      <c r="K420" s="335"/>
      <c r="L420" s="335"/>
      <c r="M420" s="335"/>
      <c r="N420" s="335"/>
      <c r="O420" s="335"/>
      <c r="P420" s="335"/>
      <c r="Q420" s="335"/>
      <c r="R420" s="335"/>
      <c r="S420" s="335"/>
      <c r="T420" s="335"/>
      <c r="U420" s="335"/>
      <c r="V420" s="335"/>
      <c r="W420" s="335"/>
      <c r="X420" s="335"/>
      <c r="Y420" s="121"/>
    </row>
    <row r="421" spans="10:25" x14ac:dyDescent="0.2">
      <c r="J421" s="335"/>
      <c r="K421" s="335"/>
      <c r="L421" s="335"/>
      <c r="M421" s="335"/>
      <c r="N421" s="335"/>
      <c r="O421" s="335"/>
      <c r="P421" s="335"/>
      <c r="Q421" s="335"/>
      <c r="R421" s="335"/>
      <c r="S421" s="335"/>
      <c r="T421" s="335"/>
      <c r="U421" s="335"/>
      <c r="V421" s="335"/>
      <c r="W421" s="335"/>
      <c r="X421" s="335"/>
      <c r="Y421" s="121"/>
    </row>
    <row r="422" spans="10:25" x14ac:dyDescent="0.2">
      <c r="J422" s="335"/>
      <c r="K422" s="335"/>
      <c r="L422" s="335"/>
      <c r="M422" s="335"/>
      <c r="N422" s="335"/>
      <c r="O422" s="335"/>
      <c r="P422" s="335"/>
      <c r="Q422" s="335"/>
      <c r="R422" s="335"/>
      <c r="S422" s="335"/>
      <c r="T422" s="335"/>
      <c r="U422" s="335"/>
      <c r="V422" s="335"/>
      <c r="W422" s="335"/>
      <c r="X422" s="335"/>
      <c r="Y422" s="121"/>
    </row>
    <row r="423" spans="10:25" x14ac:dyDescent="0.2">
      <c r="J423" s="335"/>
      <c r="K423" s="335"/>
      <c r="L423" s="335"/>
      <c r="M423" s="335"/>
      <c r="N423" s="335"/>
      <c r="O423" s="335"/>
      <c r="P423" s="335"/>
      <c r="Q423" s="335"/>
      <c r="R423" s="335"/>
      <c r="S423" s="335"/>
      <c r="T423" s="335"/>
      <c r="U423" s="335"/>
      <c r="V423" s="335"/>
      <c r="W423" s="335"/>
      <c r="X423" s="335"/>
      <c r="Y423" s="121"/>
    </row>
    <row r="424" spans="10:25" x14ac:dyDescent="0.2">
      <c r="J424" s="335"/>
      <c r="K424" s="335"/>
      <c r="L424" s="335"/>
      <c r="M424" s="335"/>
      <c r="N424" s="335"/>
      <c r="O424" s="335"/>
      <c r="P424" s="335"/>
      <c r="Q424" s="335"/>
      <c r="R424" s="335"/>
      <c r="S424" s="335"/>
      <c r="T424" s="335"/>
      <c r="U424" s="335"/>
      <c r="V424" s="335"/>
      <c r="W424" s="335"/>
      <c r="X424" s="335"/>
      <c r="Y424" s="121"/>
    </row>
    <row r="425" spans="10:25" x14ac:dyDescent="0.2">
      <c r="J425" s="335"/>
      <c r="K425" s="335"/>
      <c r="L425" s="335"/>
      <c r="M425" s="335"/>
      <c r="N425" s="335"/>
      <c r="O425" s="335"/>
      <c r="P425" s="335"/>
      <c r="Q425" s="335"/>
      <c r="R425" s="335"/>
      <c r="S425" s="335"/>
      <c r="T425" s="335"/>
      <c r="U425" s="335"/>
      <c r="V425" s="335"/>
      <c r="W425" s="335"/>
      <c r="X425" s="335"/>
      <c r="Y425" s="121"/>
    </row>
    <row r="426" spans="10:25" x14ac:dyDescent="0.2">
      <c r="J426" s="335"/>
      <c r="K426" s="335"/>
      <c r="L426" s="335"/>
      <c r="M426" s="335"/>
      <c r="N426" s="335"/>
      <c r="O426" s="335"/>
      <c r="P426" s="335"/>
      <c r="Q426" s="335"/>
      <c r="R426" s="335"/>
      <c r="S426" s="335"/>
      <c r="T426" s="335"/>
      <c r="U426" s="335"/>
      <c r="V426" s="335"/>
      <c r="W426" s="335"/>
      <c r="X426" s="335"/>
      <c r="Y426" s="121"/>
    </row>
    <row r="427" spans="10:25" x14ac:dyDescent="0.2">
      <c r="J427" s="335"/>
      <c r="K427" s="335"/>
      <c r="L427" s="335"/>
      <c r="M427" s="335"/>
      <c r="N427" s="335"/>
      <c r="O427" s="335"/>
      <c r="P427" s="335"/>
      <c r="Q427" s="335"/>
      <c r="R427" s="335"/>
      <c r="S427" s="335"/>
      <c r="T427" s="335"/>
      <c r="U427" s="335"/>
      <c r="V427" s="335"/>
      <c r="W427" s="335"/>
      <c r="X427" s="335"/>
      <c r="Y427" s="121"/>
    </row>
    <row r="428" spans="10:25" x14ac:dyDescent="0.2">
      <c r="J428" s="335"/>
      <c r="K428" s="335"/>
      <c r="L428" s="335"/>
      <c r="M428" s="335"/>
      <c r="N428" s="335"/>
      <c r="O428" s="335"/>
      <c r="P428" s="335"/>
      <c r="Q428" s="335"/>
      <c r="R428" s="335"/>
      <c r="S428" s="335"/>
      <c r="T428" s="335"/>
      <c r="U428" s="335"/>
      <c r="V428" s="335"/>
      <c r="W428" s="335"/>
      <c r="X428" s="335"/>
      <c r="Y428" s="121"/>
    </row>
    <row r="429" spans="10:25" x14ac:dyDescent="0.2">
      <c r="J429" s="335"/>
      <c r="K429" s="335"/>
      <c r="L429" s="335"/>
      <c r="M429" s="335"/>
      <c r="N429" s="335"/>
      <c r="O429" s="335"/>
      <c r="P429" s="335"/>
      <c r="Q429" s="335"/>
      <c r="R429" s="335"/>
      <c r="S429" s="335"/>
      <c r="T429" s="335"/>
      <c r="U429" s="335"/>
      <c r="V429" s="335"/>
      <c r="W429" s="335"/>
      <c r="X429" s="335"/>
      <c r="Y429" s="121"/>
    </row>
    <row r="430" spans="10:25" x14ac:dyDescent="0.2">
      <c r="J430" s="335"/>
      <c r="K430" s="335"/>
      <c r="L430" s="335"/>
      <c r="M430" s="335"/>
      <c r="N430" s="335"/>
      <c r="O430" s="335"/>
      <c r="P430" s="335"/>
      <c r="Q430" s="335"/>
      <c r="R430" s="335"/>
      <c r="S430" s="335"/>
      <c r="T430" s="335"/>
      <c r="U430" s="335"/>
      <c r="V430" s="335"/>
      <c r="W430" s="335"/>
      <c r="X430" s="335"/>
      <c r="Y430" s="121"/>
    </row>
    <row r="431" spans="10:25" x14ac:dyDescent="0.2">
      <c r="J431" s="335"/>
      <c r="K431" s="335"/>
      <c r="L431" s="335"/>
      <c r="M431" s="335"/>
      <c r="N431" s="335"/>
      <c r="O431" s="335"/>
      <c r="P431" s="335"/>
      <c r="Q431" s="335"/>
      <c r="R431" s="335"/>
      <c r="S431" s="335"/>
      <c r="T431" s="335"/>
      <c r="U431" s="335"/>
      <c r="V431" s="335"/>
      <c r="W431" s="335"/>
      <c r="X431" s="335"/>
      <c r="Y431" s="121"/>
    </row>
    <row r="432" spans="10:25" x14ac:dyDescent="0.2">
      <c r="J432" s="335"/>
      <c r="K432" s="335"/>
      <c r="L432" s="335"/>
      <c r="M432" s="335"/>
      <c r="N432" s="335"/>
      <c r="O432" s="335"/>
      <c r="P432" s="335"/>
      <c r="Q432" s="335"/>
      <c r="R432" s="335"/>
      <c r="S432" s="335"/>
      <c r="T432" s="335"/>
      <c r="U432" s="335"/>
      <c r="V432" s="335"/>
      <c r="W432" s="335"/>
      <c r="X432" s="335"/>
      <c r="Y432" s="121"/>
    </row>
    <row r="433" spans="10:25" x14ac:dyDescent="0.2">
      <c r="J433" s="335"/>
      <c r="K433" s="335"/>
      <c r="L433" s="335"/>
      <c r="M433" s="335"/>
      <c r="N433" s="335"/>
      <c r="O433" s="335"/>
      <c r="P433" s="335"/>
      <c r="Q433" s="335"/>
      <c r="R433" s="335"/>
      <c r="S433" s="335"/>
      <c r="T433" s="335"/>
      <c r="U433" s="335"/>
      <c r="V433" s="335"/>
      <c r="W433" s="335"/>
      <c r="X433" s="335"/>
      <c r="Y433" s="121"/>
    </row>
    <row r="434" spans="10:25" x14ac:dyDescent="0.2">
      <c r="J434" s="335"/>
      <c r="K434" s="335"/>
      <c r="L434" s="335"/>
      <c r="M434" s="335"/>
      <c r="N434" s="335"/>
      <c r="O434" s="335"/>
      <c r="P434" s="335"/>
      <c r="Q434" s="335"/>
      <c r="R434" s="335"/>
      <c r="S434" s="335"/>
      <c r="T434" s="335"/>
      <c r="U434" s="335"/>
      <c r="V434" s="335"/>
      <c r="W434" s="335"/>
      <c r="X434" s="335"/>
      <c r="Y434" s="121"/>
    </row>
    <row r="435" spans="10:25" x14ac:dyDescent="0.2">
      <c r="J435" s="335"/>
      <c r="K435" s="335"/>
      <c r="L435" s="121"/>
      <c r="M435" s="121"/>
      <c r="N435" s="121"/>
      <c r="O435" s="121"/>
      <c r="P435" s="121"/>
      <c r="Q435" s="121"/>
      <c r="R435" s="121"/>
      <c r="S435" s="121"/>
      <c r="T435" s="121"/>
      <c r="U435" s="121"/>
      <c r="V435" s="121"/>
      <c r="W435" s="121"/>
      <c r="X435" s="335"/>
      <c r="Y435" s="121"/>
    </row>
    <row r="436" spans="10:25" x14ac:dyDescent="0.2">
      <c r="J436" s="335"/>
      <c r="K436" s="335"/>
      <c r="X436" s="335"/>
      <c r="Y436" s="121"/>
    </row>
    <row r="437" spans="10:25" x14ac:dyDescent="0.2">
      <c r="X437" s="121"/>
      <c r="Y437" s="121"/>
    </row>
    <row r="438" spans="10:25" x14ac:dyDescent="0.2">
      <c r="Y438" s="121"/>
    </row>
    <row r="439" spans="10:25" x14ac:dyDescent="0.2">
      <c r="Y439" s="121"/>
    </row>
  </sheetData>
  <mergeCells count="1">
    <mergeCell ref="E20:F21"/>
  </mergeCells>
  <pageMargins left="0.26" right="0.16" top="0.35" bottom="0.19" header="0.17" footer="0.19"/>
  <pageSetup paperSize="9" scale="92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fspr">
    <tabColor rgb="FF7030A0"/>
    <pageSetUpPr autoPageBreaks="0"/>
  </sheetPr>
  <dimension ref="A1:Q146"/>
  <sheetViews>
    <sheetView zoomScaleNormal="100" workbookViewId="0">
      <selection activeCell="B90" sqref="B90"/>
    </sheetView>
  </sheetViews>
  <sheetFormatPr defaultColWidth="9.140625" defaultRowHeight="12.75" x14ac:dyDescent="0.2"/>
  <cols>
    <col min="1" max="1" width="3.140625" style="154" customWidth="1"/>
    <col min="2" max="16" width="5.7109375" style="154" customWidth="1"/>
    <col min="17" max="17" width="6.85546875" style="154" customWidth="1"/>
    <col min="18" max="20" width="5.7109375" style="154" customWidth="1"/>
    <col min="21" max="16384" width="9.140625" style="154"/>
  </cols>
  <sheetData>
    <row r="1" spans="1:17" x14ac:dyDescent="0.2">
      <c r="A1" s="355"/>
      <c r="B1" s="154" t="s">
        <v>520</v>
      </c>
      <c r="D1" s="510">
        <f>__1_Bed</f>
        <v>0</v>
      </c>
      <c r="L1" s="154" t="s">
        <v>521</v>
      </c>
      <c r="M1" s="957">
        <f ca="1">TODAY()</f>
        <v>42750</v>
      </c>
      <c r="N1" s="958"/>
      <c r="O1" s="156">
        <f ca="1">NOW()</f>
        <v>42750.22173391204</v>
      </c>
      <c r="P1" s="156"/>
    </row>
    <row r="2" spans="1:17" ht="6.75" customHeight="1" x14ac:dyDescent="0.2"/>
    <row r="3" spans="1:17" x14ac:dyDescent="0.2">
      <c r="B3" s="157" t="str">
        <f>NeoGuiInfB!B10</f>
        <v>Medische Afspraken</v>
      </c>
      <c r="J3" s="154" t="s">
        <v>345</v>
      </c>
      <c r="M3" s="959">
        <f>__0_PatNum</f>
        <v>0</v>
      </c>
      <c r="N3" s="959"/>
      <c r="O3" s="158"/>
    </row>
    <row r="4" spans="1:17" x14ac:dyDescent="0.2">
      <c r="B4" s="157" t="str">
        <f>NeoGuiInfB!B11</f>
        <v>Afdeling Neonatologie (IC-HC-MC)</v>
      </c>
      <c r="J4" s="154" t="str">
        <f>NeoGuiInfB!G11</f>
        <v>Naam:</v>
      </c>
      <c r="M4" s="159" t="str">
        <f>NeoGuiInfB!I11</f>
        <v xml:space="preserve">,  </v>
      </c>
      <c r="N4" s="160"/>
      <c r="O4" s="158"/>
    </row>
    <row r="5" spans="1:17" x14ac:dyDescent="0.2">
      <c r="B5" s="157" t="str">
        <f>NeoGuiInfB!B12</f>
        <v>Divisie Obstetrie Neonatologie en Gynaecologie</v>
      </c>
      <c r="J5" s="154" t="str">
        <f>NeoGuiInfB!G12</f>
        <v>Geboortedatum:</v>
      </c>
      <c r="M5" s="960">
        <f>NeoGuiInfB!I12</f>
        <v>1462</v>
      </c>
      <c r="N5" s="960"/>
      <c r="O5" s="960"/>
      <c r="P5" s="960"/>
    </row>
    <row r="6" spans="1:17" ht="15" x14ac:dyDescent="0.2">
      <c r="A6" s="355"/>
      <c r="B6" s="161"/>
      <c r="C6" s="162"/>
      <c r="D6" s="162"/>
      <c r="E6" s="162"/>
      <c r="F6" s="162"/>
      <c r="G6" s="162"/>
      <c r="H6" s="162"/>
      <c r="I6" s="162"/>
      <c r="J6" s="154" t="str">
        <f ca="1">"Leeftijd: "&amp;Var_Neo_Dag&amp;" dag(-en)"</f>
        <v>Leeftijd: 41289 dag(-en)</v>
      </c>
      <c r="N6" s="162" t="s">
        <v>522</v>
      </c>
      <c r="O6" s="162" t="str">
        <f>NeoGuiInfB!H13&amp;" weken en "&amp;NeoGuiInfB!J13&amp;" dagen"</f>
        <v>0 weken en 0 dagen</v>
      </c>
      <c r="Q6" s="162"/>
    </row>
    <row r="7" spans="1:17" ht="9" customHeight="1" x14ac:dyDescent="0.2">
      <c r="B7" s="163"/>
      <c r="C7" s="164"/>
      <c r="D7" s="164"/>
      <c r="E7" s="164"/>
      <c r="F7" s="164"/>
      <c r="G7" s="164"/>
      <c r="H7" s="164"/>
      <c r="I7" s="164"/>
      <c r="J7" s="164"/>
      <c r="K7" s="164"/>
      <c r="L7" s="164"/>
      <c r="M7" s="164"/>
      <c r="N7" s="164"/>
      <c r="O7" s="165"/>
      <c r="P7" s="165"/>
      <c r="Q7" s="164"/>
    </row>
    <row r="8" spans="1:17" x14ac:dyDescent="0.2">
      <c r="P8" s="166" t="s">
        <v>523</v>
      </c>
      <c r="Q8" s="167"/>
    </row>
    <row r="9" spans="1:17" x14ac:dyDescent="0.2">
      <c r="B9" s="154" t="str">
        <f>NeoGuiInfB!B14</f>
        <v>Datum:</v>
      </c>
      <c r="D9" s="961">
        <f>NeoGuiInfB!C14</f>
        <v>1462</v>
      </c>
      <c r="E9" s="961"/>
      <c r="F9" s="958"/>
      <c r="I9" s="154" t="str">
        <f>NeoGuiInfB!G16</f>
        <v>Gewicht:</v>
      </c>
      <c r="K9" s="154" t="str">
        <f>NeoGuiInfB!H16</f>
        <v>0 kg</v>
      </c>
      <c r="P9" s="166" t="s">
        <v>524</v>
      </c>
      <c r="Q9" s="167"/>
    </row>
    <row r="10" spans="1:17" x14ac:dyDescent="0.2">
      <c r="B10" s="154" t="str">
        <f>NeoGuiInfB!B15</f>
        <v>Bed:</v>
      </c>
      <c r="F10" s="154" t="e">
        <f>Var_Neo_InfB_Arts</f>
        <v>#NAME?</v>
      </c>
      <c r="I10" s="962" t="str">
        <f ca="1">"Leeftijd: "&amp;NeoGuiInfB!$H$15</f>
        <v xml:space="preserve">Leeftijd: </v>
      </c>
      <c r="J10" s="958"/>
      <c r="K10" s="958"/>
      <c r="L10" s="958"/>
      <c r="M10" s="958"/>
      <c r="N10" s="958"/>
      <c r="O10" s="963"/>
      <c r="P10" s="166"/>
      <c r="Q10" s="167"/>
    </row>
    <row r="11" spans="1:17" x14ac:dyDescent="0.2">
      <c r="B11" s="164" t="s">
        <v>525</v>
      </c>
      <c r="C11" s="164"/>
      <c r="D11" s="164"/>
      <c r="E11" s="164"/>
      <c r="F11" s="164"/>
      <c r="G11" s="164"/>
      <c r="H11" s="164"/>
      <c r="I11" s="164"/>
      <c r="J11" s="164"/>
      <c r="K11" s="164"/>
      <c r="L11" s="164"/>
      <c r="M11" s="164"/>
      <c r="N11" s="164"/>
      <c r="O11" s="164"/>
      <c r="P11" s="166"/>
      <c r="Q11" s="167"/>
    </row>
    <row r="12" spans="1:17" x14ac:dyDescent="0.2">
      <c r="P12" s="166"/>
      <c r="Q12" s="167"/>
    </row>
    <row r="13" spans="1:17" x14ac:dyDescent="0.2">
      <c r="B13" s="168" t="str">
        <f>NeoGuiInfB!B18</f>
        <v>Totale vochtintake</v>
      </c>
      <c r="C13" s="162"/>
      <c r="D13" s="162"/>
      <c r="E13" s="162"/>
      <c r="F13" s="169" t="e">
        <f ca="1">NeoGuiInfB!E18</f>
        <v>#DIV/0!</v>
      </c>
      <c r="G13" s="162" t="str">
        <f>NeoGuiInfB!F18</f>
        <v>ml/ kg/ 24 uur</v>
      </c>
      <c r="H13" s="162"/>
      <c r="I13" s="162"/>
      <c r="J13" s="154" t="str">
        <f>"= "&amp;NeoGuiInfB!K47&amp;" ml"</f>
        <v>= Advies ml</v>
      </c>
      <c r="P13" s="166"/>
      <c r="Q13" s="167"/>
    </row>
    <row r="14" spans="1:17" x14ac:dyDescent="0.2">
      <c r="B14" s="168"/>
      <c r="C14" s="162"/>
      <c r="D14" s="162"/>
      <c r="E14" s="162"/>
      <c r="F14" s="169"/>
      <c r="G14" s="162"/>
      <c r="H14" s="162"/>
      <c r="I14" s="162"/>
      <c r="P14" s="383"/>
      <c r="Q14" s="384"/>
    </row>
    <row r="15" spans="1:17" x14ac:dyDescent="0.2">
      <c r="B15" s="168"/>
      <c r="C15" s="162"/>
      <c r="D15" s="162"/>
      <c r="E15" s="162"/>
      <c r="F15" s="169"/>
      <c r="G15" s="162"/>
      <c r="H15" s="162"/>
      <c r="I15" s="162"/>
      <c r="J15" s="160" t="s">
        <v>1009</v>
      </c>
      <c r="P15" s="383"/>
      <c r="Q15" s="384"/>
    </row>
    <row r="16" spans="1:17" x14ac:dyDescent="0.2">
      <c r="B16" s="157" t="str">
        <f>NeoGuiInfB!H21</f>
        <v>Voeding:</v>
      </c>
      <c r="E16" s="154" t="str">
        <f>INDEX(tbl_Neo_Pos,NeoGuiInfB!D14,1)</f>
        <v>Nutrilon Caprilon</v>
      </c>
      <c r="I16" s="154" t="e">
        <f ca="1">IF(OR(J16&lt;&gt;0,J17&lt;&gt;0,J18&lt;&gt;0,J19&lt;&gt;0,J20&lt;&gt;0),"met","")</f>
        <v>#VALUE!</v>
      </c>
      <c r="J16" s="154" t="str">
        <f ca="1">IF(NeoGuiInfB!K52=0,"","BMF in MM")</f>
        <v>BMF in MM</v>
      </c>
      <c r="M16" s="160" t="str">
        <f ca="1">IF(J16&lt;&gt;0,NeoGuiInfB!K52,0)</f>
        <v/>
      </c>
      <c r="N16" s="154" t="str">
        <f ca="1">IF(M16&lt;&gt;0,"%","")</f>
        <v>%</v>
      </c>
      <c r="P16" s="383"/>
      <c r="Q16" s="384"/>
    </row>
    <row r="17" spans="1:17" x14ac:dyDescent="0.2">
      <c r="B17" s="170" t="str">
        <f>NeoGuiInfB!D21</f>
        <v>Hoeveelheid:</v>
      </c>
      <c r="E17" s="159">
        <f>NeoGuiInfB!$E$21</f>
        <v>4</v>
      </c>
      <c r="F17" s="154" t="str">
        <f>NeoGuiInfB!F21</f>
        <v>maal</v>
      </c>
      <c r="G17" s="160" t="str">
        <f>NeoGuiInfB!G21</f>
        <v>1 ml</v>
      </c>
      <c r="J17" s="154" t="e">
        <f>INDEX(tbl_Neo_ToevoegingenMMPrint,NeoGuiInfB!B53,1)</f>
        <v>#VALUE!</v>
      </c>
      <c r="M17" s="160" t="e">
        <f>IF(J17&lt;&gt;0,NeoGuiInfB!K53,0)</f>
        <v>#VALUE!</v>
      </c>
      <c r="N17" s="154" t="e">
        <f t="shared" ref="N17:N26" si="0">IF(M17&lt;&gt;0,"%","")</f>
        <v>#VALUE!</v>
      </c>
      <c r="P17" s="383"/>
      <c r="Q17" s="384"/>
    </row>
    <row r="18" spans="1:17" x14ac:dyDescent="0.2">
      <c r="C18" s="171" t="str">
        <f>IF(E18="","","en")</f>
        <v>en</v>
      </c>
      <c r="E18" s="159">
        <f>IF(NeoGuiInfB!G22&lt;&gt;"0 ml",NeoGuiInfB!$E$22,"")</f>
        <v>2</v>
      </c>
      <c r="F18" s="154" t="str">
        <f>IF(NeoGuiInfB!G22&lt;&gt;"0 ml",NeoGuiInfB!F22,"")</f>
        <v>maal</v>
      </c>
      <c r="G18" s="160" t="str">
        <f>IF(NeoGuiInfB!G22&lt;&gt;"0 ml",NeoGuiInfB!G22,"")</f>
        <v>2 ml</v>
      </c>
      <c r="J18" s="154" t="e">
        <f>INDEX(tbl_Neo_ToevoegingenMMPrint,NeoGuiInfB!B54,1)</f>
        <v>#VALUE!</v>
      </c>
      <c r="M18" s="160" t="e">
        <f>IF(J18&lt;&gt;0,NeoGuiInfB!K54,0)</f>
        <v>#VALUE!</v>
      </c>
      <c r="N18" s="154" t="e">
        <f t="shared" si="0"/>
        <v>#VALUE!</v>
      </c>
      <c r="P18" s="383"/>
      <c r="Q18" s="384"/>
    </row>
    <row r="19" spans="1:17" x14ac:dyDescent="0.2">
      <c r="J19" s="154" t="e">
        <f>INDEX(tbl_Neo_ToevoegingenMMPrint,NeoGuiInfB!B55,1)</f>
        <v>#VALUE!</v>
      </c>
      <c r="M19" s="160" t="e">
        <f>IF(J19&lt;&gt;0,NeoGuiInfB!K55,0)</f>
        <v>#VALUE!</v>
      </c>
      <c r="N19" s="154" t="e">
        <f t="shared" si="0"/>
        <v>#VALUE!</v>
      </c>
      <c r="P19" s="383"/>
      <c r="Q19" s="384"/>
    </row>
    <row r="20" spans="1:17" x14ac:dyDescent="0.2">
      <c r="B20" s="168"/>
      <c r="C20" s="162"/>
      <c r="D20" s="162"/>
      <c r="E20" s="162"/>
      <c r="F20" s="169"/>
      <c r="G20" s="162"/>
      <c r="H20" s="162"/>
      <c r="I20" s="162"/>
      <c r="J20" s="154" t="e">
        <f>INDEX(tbl_Neo_ToevoegingenMMPrint,NeoGuiInfB!B56,1)</f>
        <v>#VALUE!</v>
      </c>
      <c r="K20" s="162"/>
      <c r="L20" s="172"/>
      <c r="M20" s="160" t="e">
        <f>IF(J20&lt;&gt;0,NeoGuiInfB!K56,0)</f>
        <v>#VALUE!</v>
      </c>
      <c r="N20" s="154" t="e">
        <f t="shared" si="0"/>
        <v>#VALUE!</v>
      </c>
      <c r="P20" s="383"/>
      <c r="Q20" s="384"/>
    </row>
    <row r="21" spans="1:17" x14ac:dyDescent="0.2">
      <c r="B21" s="160"/>
      <c r="P21" s="166"/>
      <c r="Q21" s="167"/>
    </row>
    <row r="22" spans="1:17" x14ac:dyDescent="0.2">
      <c r="B22" s="160"/>
      <c r="I22" s="162"/>
      <c r="J22" s="160" t="s">
        <v>1010</v>
      </c>
      <c r="P22" s="383"/>
      <c r="Q22" s="384"/>
    </row>
    <row r="23" spans="1:17" x14ac:dyDescent="0.2">
      <c r="B23" s="160"/>
      <c r="I23" s="154" t="e">
        <f>IF(OR(J23&lt;&gt;0,J24&lt;&gt;0,J25&lt;&gt;0,J26&lt;&gt;0),"met","")</f>
        <v>#VALUE!</v>
      </c>
      <c r="J23" s="154" t="e">
        <f>INDEX(tbl_Neo_ToevoegingenKVPrint,NeoGuiInfB!B58,1)</f>
        <v>#VALUE!</v>
      </c>
      <c r="M23" s="160" t="e">
        <f>IF(J23&lt;&gt;0,NeoGuiInfB!K58,0)</f>
        <v>#VALUE!</v>
      </c>
      <c r="N23" s="154" t="e">
        <f t="shared" si="0"/>
        <v>#VALUE!</v>
      </c>
      <c r="P23" s="383"/>
      <c r="Q23" s="384"/>
    </row>
    <row r="24" spans="1:17" x14ac:dyDescent="0.2">
      <c r="B24" s="160"/>
      <c r="J24" s="154" t="e">
        <f>INDEX(tbl_Neo_ToevoegingenKVPrint,NeoGuiInfB!B59,1)</f>
        <v>#VALUE!</v>
      </c>
      <c r="M24" s="160" t="e">
        <f>IF(J24&lt;&gt;0,NeoGuiInfB!K59,0)</f>
        <v>#VALUE!</v>
      </c>
      <c r="N24" s="154" t="e">
        <f t="shared" si="0"/>
        <v>#VALUE!</v>
      </c>
      <c r="P24" s="383"/>
      <c r="Q24" s="384"/>
    </row>
    <row r="25" spans="1:17" x14ac:dyDescent="0.2">
      <c r="J25" s="154" t="e">
        <f>INDEX(tbl_Neo_ToevoegingenKVPrint,NeoGuiInfB!B60,1)</f>
        <v>#VALUE!</v>
      </c>
      <c r="M25" s="160" t="e">
        <f>IF(J25&lt;&gt;0,NeoGuiInfB!K60,0)</f>
        <v>#VALUE!</v>
      </c>
      <c r="N25" s="154" t="e">
        <f t="shared" si="0"/>
        <v>#VALUE!</v>
      </c>
      <c r="P25" s="166"/>
      <c r="Q25" s="167"/>
    </row>
    <row r="26" spans="1:17" x14ac:dyDescent="0.2">
      <c r="J26" s="154" t="e">
        <f>INDEX(tbl_Neo_ToevoegingenKVPrint,NeoGuiInfB!B61,1)</f>
        <v>#VALUE!</v>
      </c>
      <c r="M26" s="160" t="e">
        <f>IF(J26&lt;&gt;0,NeoGuiInfB!K61,0)</f>
        <v>#VALUE!</v>
      </c>
      <c r="N26" s="154" t="e">
        <f t="shared" si="0"/>
        <v>#VALUE!</v>
      </c>
      <c r="P26" s="166"/>
      <c r="Q26" s="167"/>
    </row>
    <row r="27" spans="1:17" x14ac:dyDescent="0.2">
      <c r="P27" s="166"/>
      <c r="Q27" s="167"/>
    </row>
    <row r="28" spans="1:17" x14ac:dyDescent="0.2">
      <c r="B28" s="173" t="str">
        <f>IF(NeoGuiInfB!J14=1,"De voeding is extra","")</f>
        <v/>
      </c>
      <c r="C28" s="164"/>
      <c r="D28" s="164"/>
      <c r="E28" s="164"/>
      <c r="F28" s="164"/>
      <c r="G28" s="164"/>
      <c r="H28" s="164"/>
      <c r="I28" s="164"/>
      <c r="J28" s="164"/>
      <c r="K28" s="164"/>
      <c r="L28" s="164"/>
      <c r="M28" s="164"/>
      <c r="N28" s="164"/>
      <c r="O28" s="164"/>
      <c r="P28" s="174"/>
      <c r="Q28" s="175"/>
    </row>
    <row r="29" spans="1:17" x14ac:dyDescent="0.2">
      <c r="P29" s="166"/>
      <c r="Q29" s="167"/>
    </row>
    <row r="30" spans="1:17" x14ac:dyDescent="0.2">
      <c r="B30" s="157" t="str">
        <f>NeoGuiInfB!B28</f>
        <v>Infuus/parenterale voeding:</v>
      </c>
      <c r="G30" s="160">
        <f ca="1">NeoGuiInfB!E28</f>
        <v>0</v>
      </c>
      <c r="H30" s="154" t="str">
        <f>NeoGuiInfB!F28</f>
        <v>ml/ 24 uur</v>
      </c>
      <c r="O30" s="167"/>
      <c r="P30" s="162"/>
      <c r="Q30" s="167"/>
    </row>
    <row r="31" spans="1:17" x14ac:dyDescent="0.2">
      <c r="O31" s="167"/>
      <c r="P31" s="176" t="s">
        <v>526</v>
      </c>
      <c r="Q31" s="167"/>
    </row>
    <row r="32" spans="1:17" ht="15.95" customHeight="1" x14ac:dyDescent="0.2">
      <c r="A32" s="154">
        <v>1</v>
      </c>
      <c r="B32" s="177" t="str">
        <f>IF(Var_Neo_InfB_Cont_ArtLijn&gt;0,NeoGuiInfB!B30,"")</f>
        <v/>
      </c>
      <c r="C32" s="177"/>
      <c r="D32" s="177"/>
      <c r="E32" s="177"/>
      <c r="F32" s="177"/>
      <c r="G32" s="177"/>
      <c r="H32" s="177"/>
      <c r="I32" s="177"/>
      <c r="J32" s="177"/>
      <c r="K32" s="178" t="str">
        <f>IF(NeoGuiInfB!G30&lt;&gt; "0 ml/uur",NeoGuiInfB!G30,"")</f>
        <v/>
      </c>
      <c r="L32" s="177"/>
      <c r="M32" s="177"/>
      <c r="N32" s="177"/>
      <c r="O32" s="179"/>
      <c r="P32" s="180" t="str">
        <f>IF(B32="","",IF(NeoGuiInfB!J18,"ja","nee"))</f>
        <v/>
      </c>
      <c r="Q32" s="181"/>
    </row>
    <row r="33" spans="1:17" ht="15.95" customHeight="1" x14ac:dyDescent="0.2">
      <c r="A33" s="154">
        <v>2</v>
      </c>
      <c r="B33" s="182" t="e">
        <f>INDEX(tbl_Neo_MedIV,NeoGuiInfB!B20,1)</f>
        <v>#VALUE!</v>
      </c>
      <c r="C33" s="177"/>
      <c r="D33" s="182"/>
      <c r="E33" s="183" t="str">
        <f>NeoGuiInfB!C32</f>
        <v/>
      </c>
      <c r="F33" s="182"/>
      <c r="G33" s="184" t="str">
        <f>NeoGuiInfB!D32</f>
        <v/>
      </c>
      <c r="H33" s="182"/>
      <c r="I33" s="185" t="e">
        <f>INDEX(tbl_Neo_Opl,NeoGuiInfB!E20,1)</f>
        <v>#VALUE!</v>
      </c>
      <c r="J33" s="182"/>
      <c r="K33" s="183" t="str">
        <f>NeoGuiInfB!G32</f>
        <v/>
      </c>
      <c r="L33" s="182"/>
      <c r="M33" s="186" t="str">
        <f>NeoGuiInfB!H32</f>
        <v/>
      </c>
      <c r="N33" s="187" t="e">
        <f>INDEX(tbl_Neo_Dose,NeoGuiInfB!G20,1)</f>
        <v>#VALUE!</v>
      </c>
      <c r="O33" s="188"/>
      <c r="P33" s="185" t="e">
        <f>IF(B33&lt;&gt;0,IF(NeoGuiInfB!J20,"ja","nee"),"")</f>
        <v>#VALUE!</v>
      </c>
      <c r="Q33" s="189"/>
    </row>
    <row r="34" spans="1:17" ht="15.95" customHeight="1" x14ac:dyDescent="0.2">
      <c r="A34" s="154">
        <v>3</v>
      </c>
      <c r="B34" s="182" t="e">
        <f>INDEX(tbl_Neo_MedIV,NeoGuiInfB!B21,1)</f>
        <v>#VALUE!</v>
      </c>
      <c r="C34" s="177"/>
      <c r="D34" s="182"/>
      <c r="E34" s="183" t="str">
        <f>NeoGuiInfB!C33</f>
        <v/>
      </c>
      <c r="F34" s="182"/>
      <c r="G34" s="184" t="str">
        <f>NeoGuiInfB!D33</f>
        <v/>
      </c>
      <c r="H34" s="182"/>
      <c r="I34" s="185" t="str">
        <f>INDEX(tbl_Neo_Opl,NeoGuiInfB!E21,1)</f>
        <v>glucose 15%</v>
      </c>
      <c r="J34" s="182"/>
      <c r="K34" s="183" t="str">
        <f>NeoGuiInfB!G33</f>
        <v/>
      </c>
      <c r="L34" s="182"/>
      <c r="M34" s="186" t="str">
        <f>NeoGuiInfB!H33</f>
        <v/>
      </c>
      <c r="N34" s="187" t="e">
        <f>INDEX(tbl_Neo_Dose,NeoGuiInfB!G21,1)</f>
        <v>#VALUE!</v>
      </c>
      <c r="O34" s="188"/>
      <c r="P34" s="185" t="e">
        <f>IF(B34&lt;&gt;0,IF(NeoGuiInfB!J21,"ja","nee"),"")</f>
        <v>#VALUE!</v>
      </c>
      <c r="Q34" s="181"/>
    </row>
    <row r="35" spans="1:17" ht="15.95" customHeight="1" x14ac:dyDescent="0.2">
      <c r="A35" s="154">
        <v>4</v>
      </c>
      <c r="B35" s="182" t="e">
        <f>INDEX(tbl_Neo_MedIV,NeoGuiInfB!B22,1)</f>
        <v>#VALUE!</v>
      </c>
      <c r="C35" s="177"/>
      <c r="D35" s="182"/>
      <c r="E35" s="183" t="str">
        <f>NeoGuiInfB!C34</f>
        <v/>
      </c>
      <c r="F35" s="182"/>
      <c r="G35" s="184" t="str">
        <f>NeoGuiInfB!D34</f>
        <v/>
      </c>
      <c r="H35" s="182"/>
      <c r="I35" s="185" t="str">
        <f>INDEX(tbl_Neo_Opl,NeoGuiInfB!E22,1)</f>
        <v>glucose 5%</v>
      </c>
      <c r="J35" s="182"/>
      <c r="K35" s="183" t="str">
        <f>NeoGuiInfB!G34</f>
        <v/>
      </c>
      <c r="L35" s="182"/>
      <c r="M35" s="186" t="str">
        <f>NeoGuiInfB!H34</f>
        <v/>
      </c>
      <c r="N35" s="187" t="e">
        <f>INDEX(tbl_Neo_Dose,NeoGuiInfB!G22,1)</f>
        <v>#VALUE!</v>
      </c>
      <c r="O35" s="188"/>
      <c r="P35" s="185" t="e">
        <f>IF(B35&lt;&gt;0,IF(NeoGuiInfB!J22,"ja","nee"),"")</f>
        <v>#VALUE!</v>
      </c>
      <c r="Q35" s="189"/>
    </row>
    <row r="36" spans="1:17" ht="15.95" customHeight="1" x14ac:dyDescent="0.2">
      <c r="A36" s="154">
        <v>5</v>
      </c>
      <c r="B36" s="182" t="e">
        <f>INDEX(tbl_Neo_MedIV,NeoGuiInfB!B23,1)</f>
        <v>#VALUE!</v>
      </c>
      <c r="C36" s="177"/>
      <c r="D36" s="182"/>
      <c r="E36" s="183" t="str">
        <f>NeoGuiInfB!C35</f>
        <v/>
      </c>
      <c r="F36" s="182"/>
      <c r="G36" s="184" t="str">
        <f>NeoGuiInfB!D35</f>
        <v/>
      </c>
      <c r="H36" s="182"/>
      <c r="I36" s="185" t="e">
        <f>INDEX(tbl_Neo_Opl,NeoGuiInfB!E23,1)</f>
        <v>#VALUE!</v>
      </c>
      <c r="J36" s="182"/>
      <c r="K36" s="183" t="str">
        <f>NeoGuiInfB!G35</f>
        <v/>
      </c>
      <c r="L36" s="182"/>
      <c r="M36" s="186" t="str">
        <f>NeoGuiInfB!H35</f>
        <v/>
      </c>
      <c r="N36" s="187" t="e">
        <f>INDEX(tbl_Neo_Dose,NeoGuiInfB!G23,1)</f>
        <v>#VALUE!</v>
      </c>
      <c r="O36" s="188"/>
      <c r="P36" s="185" t="e">
        <f>IF(B36&lt;&gt;0,IF(NeoGuiInfB!J23,"ja","nee"),"")</f>
        <v>#VALUE!</v>
      </c>
      <c r="Q36" s="181"/>
    </row>
    <row r="37" spans="1:17" ht="15.95" customHeight="1" x14ac:dyDescent="0.2">
      <c r="A37" s="154">
        <v>6</v>
      </c>
      <c r="B37" s="182" t="e">
        <f>INDEX(tbl_Neo_MedIV,NeoGuiInfB!B24,1)</f>
        <v>#VALUE!</v>
      </c>
      <c r="C37" s="177"/>
      <c r="D37" s="182"/>
      <c r="E37" s="183" t="str">
        <f>NeoGuiInfB!C36</f>
        <v/>
      </c>
      <c r="F37" s="182"/>
      <c r="G37" s="184" t="str">
        <f>NeoGuiInfB!D36</f>
        <v/>
      </c>
      <c r="H37" s="182"/>
      <c r="I37" s="185" t="e">
        <f>INDEX(tbl_Neo_Opl,NeoGuiInfB!E24,1)</f>
        <v>#VALUE!</v>
      </c>
      <c r="J37" s="182"/>
      <c r="K37" s="183" t="str">
        <f>NeoGuiInfB!G36</f>
        <v/>
      </c>
      <c r="L37" s="182"/>
      <c r="M37" s="186" t="str">
        <f>NeoGuiInfB!H36</f>
        <v/>
      </c>
      <c r="N37" s="187" t="e">
        <f>INDEX(tbl_Neo_Dose,NeoGuiInfB!G24,1)</f>
        <v>#VALUE!</v>
      </c>
      <c r="O37" s="188"/>
      <c r="P37" s="185" t="e">
        <f>IF(B37&lt;&gt;0,IF(NeoGuiInfB!J24,"ja","nee"),"")</f>
        <v>#VALUE!</v>
      </c>
      <c r="Q37" s="189"/>
    </row>
    <row r="38" spans="1:17" ht="15.95" customHeight="1" x14ac:dyDescent="0.2">
      <c r="A38" s="154">
        <v>7</v>
      </c>
      <c r="B38" s="182" t="e">
        <f>INDEX(tbl_Neo_MedIV,NeoGuiInfB!B25,1)</f>
        <v>#VALUE!</v>
      </c>
      <c r="C38" s="177"/>
      <c r="D38" s="182"/>
      <c r="E38" s="183" t="str">
        <f>NeoGuiInfB!C37</f>
        <v/>
      </c>
      <c r="F38" s="182"/>
      <c r="G38" s="184" t="str">
        <f>NeoGuiInfB!D37</f>
        <v/>
      </c>
      <c r="H38" s="182"/>
      <c r="I38" s="185" t="e">
        <f>INDEX(tbl_Neo_Opl,NeoGuiInfB!E25,1)</f>
        <v>#VALUE!</v>
      </c>
      <c r="J38" s="182"/>
      <c r="K38" s="183" t="str">
        <f>NeoGuiInfB!G37</f>
        <v/>
      </c>
      <c r="L38" s="182"/>
      <c r="M38" s="186" t="str">
        <f>NeoGuiInfB!H37</f>
        <v/>
      </c>
      <c r="N38" s="187" t="e">
        <f>INDEX(tbl_Neo_Dose,NeoGuiInfB!G25,1)</f>
        <v>#VALUE!</v>
      </c>
      <c r="O38" s="188"/>
      <c r="P38" s="185" t="e">
        <f>IF(B38&lt;&gt;0,IF(NeoGuiInfB!J25,"ja","nee"),"")</f>
        <v>#VALUE!</v>
      </c>
      <c r="Q38" s="181"/>
    </row>
    <row r="39" spans="1:17" ht="15.95" customHeight="1" x14ac:dyDescent="0.2">
      <c r="A39" s="154">
        <v>8</v>
      </c>
      <c r="B39" s="182" t="e">
        <f>INDEX(tbl_Neo_MedIV,NeoGuiInfB!B26,1)</f>
        <v>#VALUE!</v>
      </c>
      <c r="C39" s="177"/>
      <c r="D39" s="182"/>
      <c r="E39" s="183" t="str">
        <f>NeoGuiInfB!C38</f>
        <v/>
      </c>
      <c r="F39" s="182"/>
      <c r="G39" s="184" t="str">
        <f>NeoGuiInfB!D38</f>
        <v/>
      </c>
      <c r="H39" s="182"/>
      <c r="I39" s="185" t="e">
        <f>INDEX(tbl_Neo_Opl,NeoGuiInfB!E26,1)</f>
        <v>#VALUE!</v>
      </c>
      <c r="J39" s="182"/>
      <c r="K39" s="183" t="str">
        <f>NeoGuiInfB!G38</f>
        <v/>
      </c>
      <c r="L39" s="182"/>
      <c r="M39" s="186" t="str">
        <f>NeoGuiInfB!H38</f>
        <v/>
      </c>
      <c r="N39" s="187" t="e">
        <f>INDEX(tbl_Neo_Dose,NeoGuiInfB!G26,1)</f>
        <v>#VALUE!</v>
      </c>
      <c r="O39" s="188"/>
      <c r="P39" s="185" t="e">
        <f>IF(B39&lt;&gt;0,IF(NeoGuiInfB!J26,"ja","nee"),"")</f>
        <v>#VALUE!</v>
      </c>
      <c r="Q39" s="189"/>
    </row>
    <row r="40" spans="1:17" ht="15.95" customHeight="1" x14ac:dyDescent="0.2">
      <c r="A40" s="154">
        <v>9</v>
      </c>
      <c r="B40" s="182" t="e">
        <f>INDEX(tbl_Neo_MedIV,NeoGuiInfB!B27,1)</f>
        <v>#VALUE!</v>
      </c>
      <c r="C40" s="177"/>
      <c r="D40" s="182"/>
      <c r="E40" s="183" t="str">
        <f>NeoGuiInfB!C39</f>
        <v/>
      </c>
      <c r="F40" s="182"/>
      <c r="G40" s="184" t="str">
        <f>NeoGuiInfB!D39</f>
        <v/>
      </c>
      <c r="H40" s="182"/>
      <c r="I40" s="185" t="e">
        <f>INDEX(tbl_Neo_Opl,NeoGuiInfB!E27,1)</f>
        <v>#VALUE!</v>
      </c>
      <c r="J40" s="182"/>
      <c r="K40" s="183" t="str">
        <f>NeoGuiInfB!G39</f>
        <v/>
      </c>
      <c r="L40" s="182"/>
      <c r="M40" s="186" t="str">
        <f>NeoGuiInfB!H39</f>
        <v/>
      </c>
      <c r="N40" s="187" t="e">
        <f>INDEX(tbl_Neo_Dose,NeoGuiInfB!G27,1)</f>
        <v>#VALUE!</v>
      </c>
      <c r="O40" s="188"/>
      <c r="P40" s="185" t="e">
        <f>IF(B40&lt;&gt;0,IF(NeoGuiInfB!J27,"ja","nee"),"")</f>
        <v>#VALUE!</v>
      </c>
      <c r="Q40" s="181"/>
    </row>
    <row r="41" spans="1:17" ht="15.95" customHeight="1" x14ac:dyDescent="0.2">
      <c r="A41" s="154">
        <v>10</v>
      </c>
      <c r="B41" s="182" t="e">
        <f>INDEX(tbl_Neo_MedIV,NeoGuiInfB!B28,1)</f>
        <v>#VALUE!</v>
      </c>
      <c r="C41" s="177"/>
      <c r="D41" s="182"/>
      <c r="E41" s="183" t="str">
        <f>NeoGuiInfB!C40</f>
        <v/>
      </c>
      <c r="F41" s="182"/>
      <c r="G41" s="184" t="str">
        <f>NeoGuiInfB!D40</f>
        <v/>
      </c>
      <c r="H41" s="182"/>
      <c r="I41" s="185" t="e">
        <f ca="1">INDEX(tbl_Neo_Opl,NeoGuiInfB!E28,1)</f>
        <v>#VALUE!</v>
      </c>
      <c r="J41" s="182"/>
      <c r="K41" s="183" t="str">
        <f>NeoGuiInfB!G40</f>
        <v/>
      </c>
      <c r="L41" s="182"/>
      <c r="M41" s="186" t="str">
        <f>NeoGuiInfB!H40</f>
        <v/>
      </c>
      <c r="N41" s="187" t="e">
        <f>INDEX(tbl_Neo_Dose,NeoGuiInfB!G28,1)</f>
        <v>#VALUE!</v>
      </c>
      <c r="O41" s="188"/>
      <c r="P41" s="185" t="e">
        <f>IF(B41&lt;&gt;0,IF(NeoGuiInfB!J28,"ja","nee"),"")</f>
        <v>#VALUE!</v>
      </c>
      <c r="Q41" s="189"/>
    </row>
    <row r="42" spans="1:17" ht="15.95" customHeight="1" x14ac:dyDescent="0.2">
      <c r="A42" s="154">
        <v>11</v>
      </c>
      <c r="B42" s="182" t="str">
        <f>IF(I42&lt;&gt;"",NeoGuiInfB!B42,"")</f>
        <v/>
      </c>
      <c r="C42" s="177"/>
      <c r="D42" s="182"/>
      <c r="E42" s="183"/>
      <c r="F42" s="182"/>
      <c r="G42" s="183"/>
      <c r="H42" s="182"/>
      <c r="I42" s="185" t="str">
        <f>IFERROR(INDEX(tbl_Neo_Opl,NeoGuiInfB!E29,1),"")</f>
        <v/>
      </c>
      <c r="J42" s="182"/>
      <c r="K42" s="183" t="str">
        <f>NeoGuiInfB!G42</f>
        <v/>
      </c>
      <c r="L42" s="182"/>
      <c r="M42" s="186"/>
      <c r="N42" s="182"/>
      <c r="O42" s="188"/>
      <c r="P42" s="185" t="str">
        <f>IF(B42&lt;&gt;"",IF(NeoGuiInfB!J29,"ja","nee"),"")</f>
        <v/>
      </c>
      <c r="Q42" s="189"/>
    </row>
    <row r="43" spans="1:17" ht="15.95" customHeight="1" x14ac:dyDescent="0.2">
      <c r="A43" s="154">
        <v>12</v>
      </c>
      <c r="B43" s="182" t="str">
        <f>IF(I43&lt;&gt;"",NeoGuiInfB!B43,"")</f>
        <v/>
      </c>
      <c r="C43" s="177"/>
      <c r="D43" s="182"/>
      <c r="E43" s="183"/>
      <c r="F43" s="182"/>
      <c r="G43" s="183"/>
      <c r="H43" s="182"/>
      <c r="I43" s="185" t="str">
        <f>IFERROR(INDEX(tbl_Neo_Opl,NeoGuiInfB!E30,1),"")</f>
        <v/>
      </c>
      <c r="J43" s="182"/>
      <c r="K43" s="183" t="str">
        <f>NeoGuiInfB!G43</f>
        <v/>
      </c>
      <c r="L43" s="182"/>
      <c r="M43" s="186"/>
      <c r="N43" s="182"/>
      <c r="O43" s="188"/>
      <c r="P43" s="185" t="str">
        <f>IF(B43&lt;&gt;"",IF(NeoGuiInfB!J30,"ja","nee"),"")</f>
        <v/>
      </c>
      <c r="Q43" s="189"/>
    </row>
    <row r="44" spans="1:17" ht="15.95" customHeight="1" x14ac:dyDescent="0.2">
      <c r="A44" s="154">
        <v>13</v>
      </c>
      <c r="B44" s="182" t="str">
        <f>IF(I44&lt;&gt;"",NeoGuiInfB!B44,"")</f>
        <v/>
      </c>
      <c r="C44" s="177"/>
      <c r="D44" s="182"/>
      <c r="E44" s="183"/>
      <c r="F44" s="182"/>
      <c r="G44" s="183"/>
      <c r="H44" s="182"/>
      <c r="I44" s="185" t="str">
        <f>IFERROR(INDEX(tbl_Neo_Opl,NeoGuiInfB!E31,1),"")</f>
        <v/>
      </c>
      <c r="J44" s="182"/>
      <c r="K44" s="183" t="str">
        <f>NeoGuiInfB!G44</f>
        <v/>
      </c>
      <c r="L44" s="182"/>
      <c r="M44" s="182"/>
      <c r="N44" s="182"/>
      <c r="O44" s="188"/>
      <c r="P44" s="185" t="str">
        <f>IF(B44&lt;&gt;"",IF(NeoGuiInfB!J31,"ja","nee"),"")</f>
        <v/>
      </c>
      <c r="Q44" s="189"/>
    </row>
    <row r="45" spans="1:17" ht="15.95" customHeight="1" x14ac:dyDescent="0.2">
      <c r="A45" s="154">
        <v>14</v>
      </c>
      <c r="B45" s="182" t="str">
        <f>NeoGuiInfB!B45</f>
        <v/>
      </c>
      <c r="C45" s="177"/>
      <c r="D45" s="182"/>
      <c r="E45" s="183"/>
      <c r="F45" s="182"/>
      <c r="G45" s="183"/>
      <c r="H45" s="182"/>
      <c r="I45" s="182"/>
      <c r="J45" s="182"/>
      <c r="K45" s="183"/>
      <c r="L45" s="182"/>
      <c r="M45" s="182"/>
      <c r="N45" s="182"/>
      <c r="O45" s="188"/>
      <c r="P45" s="182"/>
      <c r="Q45" s="189"/>
    </row>
    <row r="46" spans="1:17" ht="15.95" customHeight="1" x14ac:dyDescent="0.2">
      <c r="A46" s="154">
        <v>15</v>
      </c>
      <c r="B46" s="182" t="str">
        <f>NeoGuiInfB!B46</f>
        <v/>
      </c>
      <c r="C46" s="177"/>
      <c r="D46" s="182"/>
      <c r="E46" s="183"/>
      <c r="F46" s="182"/>
      <c r="G46" s="183"/>
      <c r="H46" s="182"/>
      <c r="I46" s="182"/>
      <c r="J46" s="182"/>
      <c r="K46" s="183"/>
      <c r="L46" s="182"/>
      <c r="M46" s="182"/>
      <c r="N46" s="182"/>
      <c r="O46" s="188"/>
      <c r="P46" s="182"/>
      <c r="Q46" s="189"/>
    </row>
    <row r="47" spans="1:17" ht="15.75" customHeight="1" x14ac:dyDescent="0.2">
      <c r="A47" s="154">
        <v>16</v>
      </c>
      <c r="B47" s="182">
        <f>NeoGuiInfB!B48</f>
        <v>0</v>
      </c>
      <c r="C47" s="177"/>
      <c r="D47" s="182"/>
      <c r="E47" s="183"/>
      <c r="F47" s="182"/>
      <c r="G47" s="183" t="str">
        <f ca="1">NeoGuiInfB!E48</f>
        <v/>
      </c>
      <c r="H47" s="182"/>
      <c r="I47" s="182"/>
      <c r="J47" s="182"/>
      <c r="K47" s="183"/>
      <c r="L47" s="182"/>
      <c r="M47" s="182"/>
      <c r="N47" s="182"/>
      <c r="O47" s="188"/>
      <c r="P47" s="182"/>
      <c r="Q47" s="181"/>
    </row>
    <row r="48" spans="1:17" x14ac:dyDescent="0.2">
      <c r="O48" s="167"/>
      <c r="P48" s="162"/>
      <c r="Q48" s="167"/>
    </row>
    <row r="49" spans="2:17" x14ac:dyDescent="0.2">
      <c r="B49" s="157" t="str">
        <f>NeoGuiInfB!B51</f>
        <v>Samenstelling</v>
      </c>
      <c r="F49" s="154" t="s">
        <v>527</v>
      </c>
      <c r="I49" s="154" t="s">
        <v>528</v>
      </c>
      <c r="L49" s="154" t="s">
        <v>529</v>
      </c>
      <c r="P49" s="166"/>
      <c r="Q49" s="167"/>
    </row>
    <row r="50" spans="2:17" x14ac:dyDescent="0.2">
      <c r="F50" s="190" t="s">
        <v>530</v>
      </c>
      <c r="G50" s="191"/>
      <c r="H50" s="192"/>
      <c r="I50" s="193" t="s">
        <v>531</v>
      </c>
      <c r="J50" s="191"/>
      <c r="K50" s="194"/>
      <c r="L50" s="190" t="s">
        <v>531</v>
      </c>
      <c r="M50" s="191"/>
      <c r="N50" s="194"/>
      <c r="P50" s="166"/>
      <c r="Q50" s="167"/>
    </row>
    <row r="51" spans="2:17" x14ac:dyDescent="0.2">
      <c r="B51" s="193" t="str">
        <f>NeoGuiInfB!B52</f>
        <v>NaCl 2,9%</v>
      </c>
      <c r="C51" s="195"/>
      <c r="D51" s="195"/>
      <c r="E51" s="192"/>
      <c r="F51" s="196" t="str">
        <f ca="1">NeoGuiInfB!E52</f>
        <v>0 ml</v>
      </c>
      <c r="G51" s="197"/>
      <c r="H51" s="198"/>
      <c r="I51" s="196"/>
      <c r="J51" s="197"/>
      <c r="K51" s="198"/>
      <c r="L51" s="196" t="str">
        <f>NeoGuiInfB!I52</f>
        <v/>
      </c>
      <c r="M51" s="197"/>
      <c r="N51" s="198"/>
      <c r="P51" s="199"/>
      <c r="Q51" s="181"/>
    </row>
    <row r="52" spans="2:17" x14ac:dyDescent="0.2">
      <c r="B52" s="193" t="str">
        <f>NeoGuiInfB!B53</f>
        <v>Kacetaat</v>
      </c>
      <c r="C52" s="195"/>
      <c r="D52" s="195"/>
      <c r="E52" s="192"/>
      <c r="F52" s="196" t="str">
        <f ca="1">NeoGuiInfB!E53</f>
        <v>0 ml</v>
      </c>
      <c r="G52" s="197"/>
      <c r="H52" s="198"/>
      <c r="I52" s="196"/>
      <c r="J52" s="197"/>
      <c r="K52" s="198"/>
      <c r="L52" s="196" t="str">
        <f>NeoGuiInfB!I53</f>
        <v/>
      </c>
      <c r="M52" s="197"/>
      <c r="N52" s="198"/>
      <c r="P52" s="200"/>
      <c r="Q52" s="189"/>
    </row>
    <row r="53" spans="2:17" x14ac:dyDescent="0.2">
      <c r="B53" s="193" t="str">
        <f>NeoGuiInfB!B54</f>
        <v>CaCl2</v>
      </c>
      <c r="C53" s="195"/>
      <c r="D53" s="195"/>
      <c r="E53" s="192"/>
      <c r="F53" s="196" t="str">
        <f ca="1">NeoGuiInfB!E54</f>
        <v>0 ml</v>
      </c>
      <c r="G53" s="197"/>
      <c r="H53" s="198"/>
      <c r="I53" s="196"/>
      <c r="J53" s="197"/>
      <c r="K53" s="198"/>
      <c r="L53" s="196"/>
      <c r="M53" s="197"/>
      <c r="N53" s="198"/>
      <c r="P53" s="199"/>
      <c r="Q53" s="181"/>
    </row>
    <row r="54" spans="2:17" x14ac:dyDescent="0.2">
      <c r="B54" s="193" t="str">
        <f>NeoGuiInfB!B55</f>
        <v>MgCl2</v>
      </c>
      <c r="C54" s="195"/>
      <c r="D54" s="195"/>
      <c r="E54" s="192"/>
      <c r="F54" s="196" t="str">
        <f ca="1">NeoGuiInfB!E55</f>
        <v>0 ml</v>
      </c>
      <c r="G54" s="197"/>
      <c r="H54" s="198"/>
      <c r="I54" s="196"/>
      <c r="J54" s="197"/>
      <c r="K54" s="198"/>
      <c r="L54" s="196"/>
      <c r="M54" s="197"/>
      <c r="N54" s="198"/>
      <c r="P54" s="200"/>
      <c r="Q54" s="189"/>
    </row>
    <row r="55" spans="2:17" x14ac:dyDescent="0.2">
      <c r="B55" s="193" t="str">
        <f>NeoGuiInfB!B56</f>
        <v>Soluvit</v>
      </c>
      <c r="C55" s="195"/>
      <c r="D55" s="195"/>
      <c r="E55" s="192"/>
      <c r="F55" s="196" t="str">
        <f ca="1">NeoGuiInfB!E56</f>
        <v>0 ml</v>
      </c>
      <c r="G55" s="197"/>
      <c r="H55" s="198"/>
      <c r="I55" s="196"/>
      <c r="J55" s="197"/>
      <c r="K55" s="198"/>
      <c r="L55" s="196"/>
      <c r="M55" s="197"/>
      <c r="N55" s="198"/>
      <c r="P55" s="199"/>
      <c r="Q55" s="181"/>
    </row>
    <row r="56" spans="2:17" x14ac:dyDescent="0.2">
      <c r="B56" s="193" t="str">
        <f>NeoGuiInfB!B57</f>
        <v>Primene</v>
      </c>
      <c r="C56" s="195"/>
      <c r="D56" s="195"/>
      <c r="E56" s="192"/>
      <c r="F56" s="196" t="str">
        <f ca="1">NeoGuiInfB!E57</f>
        <v>0 ml</v>
      </c>
      <c r="G56" s="197"/>
      <c r="H56" s="198"/>
      <c r="I56" s="196"/>
      <c r="J56" s="197"/>
      <c r="K56" s="198"/>
      <c r="L56" s="196"/>
      <c r="M56" s="197"/>
      <c r="N56" s="198"/>
      <c r="P56" s="200"/>
      <c r="Q56" s="189"/>
    </row>
    <row r="57" spans="2:17" x14ac:dyDescent="0.2">
      <c r="B57" s="193" t="str">
        <f>NeoGuiInfB!B58</f>
        <v>NICU-mix</v>
      </c>
      <c r="C57" s="195"/>
      <c r="D57" s="195"/>
      <c r="E57" s="192"/>
      <c r="F57" s="196"/>
      <c r="G57" s="197"/>
      <c r="H57" s="198"/>
      <c r="I57" s="196" t="str">
        <f>NeoGuiInfB!G58</f>
        <v/>
      </c>
      <c r="J57" s="197"/>
      <c r="K57" s="198"/>
      <c r="L57" s="196"/>
      <c r="M57" s="197"/>
      <c r="N57" s="198"/>
      <c r="P57" s="199"/>
      <c r="Q57" s="181"/>
    </row>
    <row r="58" spans="2:17" x14ac:dyDescent="0.2">
      <c r="B58" s="193" t="str">
        <f>NeoGuiInfB!B59</f>
        <v>Samenstelling B</v>
      </c>
      <c r="C58" s="195"/>
      <c r="D58" s="195"/>
      <c r="E58" s="192"/>
      <c r="F58" s="196"/>
      <c r="G58" s="197"/>
      <c r="H58" s="198"/>
      <c r="I58" s="196"/>
      <c r="J58" s="197"/>
      <c r="K58" s="198"/>
      <c r="L58" s="196" t="str">
        <f>NeoGuiInfB!I59</f>
        <v/>
      </c>
      <c r="M58" s="197"/>
      <c r="N58" s="198"/>
      <c r="P58" s="200"/>
      <c r="Q58" s="189"/>
    </row>
    <row r="59" spans="2:17" x14ac:dyDescent="0.2">
      <c r="B59" s="193">
        <f>INDEX(tbl_Neo_Opl,NeoGuiInfB!D45+1,1)</f>
        <v>0</v>
      </c>
      <c r="C59" s="195"/>
      <c r="D59" s="195"/>
      <c r="E59" s="192"/>
      <c r="F59" s="196" t="str">
        <f>NeoGuiInfB!E60&amp;" "&amp;NeoGuiInfB!F60</f>
        <v>0 ml</v>
      </c>
      <c r="G59" s="197"/>
      <c r="H59" s="198"/>
      <c r="I59" s="196" t="str">
        <f>NeoGuiInfB!G60&amp;" "&amp;NeoGuiInfB!H60</f>
        <v xml:space="preserve"> </v>
      </c>
      <c r="J59" s="197"/>
      <c r="K59" s="198"/>
      <c r="L59" s="196" t="str">
        <f>NeoGuiInfB!I60&amp;" "&amp;NeoGuiInfB!J60</f>
        <v xml:space="preserve"> </v>
      </c>
      <c r="M59" s="197"/>
      <c r="N59" s="198"/>
      <c r="P59" s="201"/>
      <c r="Q59" s="202"/>
    </row>
    <row r="60" spans="2:17" ht="18.75" customHeight="1" x14ac:dyDescent="0.2">
      <c r="B60" s="157" t="str">
        <f>NeoGuiInfB!B19</f>
        <v>Fototherapie</v>
      </c>
      <c r="E60" s="160" t="str">
        <f>IF(NeoGuiInfB!B15=1,"ja","nee")</f>
        <v>nee</v>
      </c>
      <c r="P60" s="162"/>
      <c r="Q60" s="162"/>
    </row>
    <row r="61" spans="2:17" x14ac:dyDescent="0.2">
      <c r="B61" s="162"/>
      <c r="C61" s="162"/>
      <c r="D61" s="162"/>
      <c r="E61" s="162"/>
      <c r="F61" s="162"/>
      <c r="G61" s="162"/>
      <c r="H61" s="162"/>
      <c r="I61" s="162"/>
      <c r="J61" s="162"/>
      <c r="K61" s="162"/>
      <c r="L61" s="162"/>
      <c r="M61" s="162"/>
      <c r="N61" s="162"/>
      <c r="O61" s="162"/>
      <c r="P61" s="162"/>
      <c r="Q61" s="162"/>
    </row>
    <row r="62" spans="2:17" x14ac:dyDescent="0.2">
      <c r="B62" s="164" t="str">
        <f>NeoGuiInfB!B2</f>
        <v>Intake</v>
      </c>
      <c r="C62" s="164"/>
      <c r="D62" s="164" t="str">
        <f>NeoGuiInfB!C2</f>
        <v>Intraveneus</v>
      </c>
      <c r="E62" s="164"/>
      <c r="F62" s="164" t="str">
        <f>NeoGuiInfB!D2</f>
        <v>Oraal</v>
      </c>
      <c r="G62" s="164"/>
      <c r="H62" s="164" t="str">
        <f>NeoGuiInfB!E2</f>
        <v>Totaal</v>
      </c>
      <c r="I62" s="164"/>
      <c r="J62" s="164"/>
      <c r="K62" s="164" t="s">
        <v>355</v>
      </c>
      <c r="L62" s="164"/>
      <c r="M62" s="164" t="str">
        <f>NeoGuiInfB!H2</f>
        <v>Intraveneus</v>
      </c>
      <c r="N62" s="164"/>
      <c r="O62" s="164" t="str">
        <f>NeoGuiInfB!I2</f>
        <v>Oraal</v>
      </c>
      <c r="P62" s="164"/>
      <c r="Q62" s="164" t="str">
        <f>NeoGuiInfB!J2</f>
        <v>Totaal</v>
      </c>
    </row>
    <row r="63" spans="2:17" x14ac:dyDescent="0.2">
      <c r="B63" s="312" t="str">
        <f>NeoGuiInfB!B3</f>
        <v>Volume</v>
      </c>
      <c r="D63" s="860" t="e">
        <f ca="1">NeoGuiInfB!C3</f>
        <v>#DIV/0!</v>
      </c>
      <c r="E63" s="203"/>
      <c r="F63" s="203" t="e">
        <f>NeoGuiInfB!D3</f>
        <v>#DIV/0!</v>
      </c>
      <c r="H63" s="203" t="e">
        <f ca="1">NeoGuiInfB!E3</f>
        <v>#DIV/0!</v>
      </c>
      <c r="K63" s="154" t="str">
        <f>NeoGuiInfB!G3</f>
        <v>Natrium</v>
      </c>
      <c r="M63" s="203" t="e">
        <f ca="1">NeoGuiInfB!H3</f>
        <v>#DIV/0!</v>
      </c>
      <c r="N63" s="203"/>
      <c r="O63" s="203" t="e">
        <f>NeoGuiInfB!I3</f>
        <v>#DIV/0!</v>
      </c>
      <c r="Q63" s="203" t="e">
        <f ca="1">NeoGuiInfB!J3</f>
        <v>#DIV/0!</v>
      </c>
    </row>
    <row r="64" spans="2:17" x14ac:dyDescent="0.2">
      <c r="B64" s="154" t="str">
        <f>NeoGuiInfB!B4</f>
        <v>Eiwit</v>
      </c>
      <c r="D64" s="203" t="e">
        <f ca="1">NeoGuiInfB!C4</f>
        <v>#DIV/0!</v>
      </c>
      <c r="E64" s="203"/>
      <c r="F64" s="203" t="e">
        <f>NeoGuiInfB!D4</f>
        <v>#DIV/0!</v>
      </c>
      <c r="H64" s="203" t="e">
        <f ca="1">NeoGuiInfB!E4</f>
        <v>#DIV/0!</v>
      </c>
      <c r="K64" s="154" t="str">
        <f>NeoGuiInfB!G4</f>
        <v>Kalium</v>
      </c>
      <c r="M64" s="203" t="e">
        <f ca="1">NeoGuiInfB!H4</f>
        <v>#DIV/0!</v>
      </c>
      <c r="N64" s="203"/>
      <c r="O64" s="203" t="e">
        <f>NeoGuiInfB!I4</f>
        <v>#DIV/0!</v>
      </c>
      <c r="Q64" s="203" t="e">
        <f ca="1">NeoGuiInfB!J4</f>
        <v>#DIV/0!</v>
      </c>
    </row>
    <row r="65" spans="2:17" x14ac:dyDescent="0.2">
      <c r="B65" s="312" t="str">
        <f>NeoGuiInfB!B5</f>
        <v>Vet</v>
      </c>
      <c r="D65" s="203" t="e">
        <f ca="1">NeoGuiInfB!C5</f>
        <v>#DIV/0!</v>
      </c>
      <c r="E65" s="203"/>
      <c r="F65" s="203" t="e">
        <f>NeoGuiInfB!D5</f>
        <v>#DIV/0!</v>
      </c>
      <c r="H65" s="203" t="e">
        <f ca="1">NeoGuiInfB!E5</f>
        <v>#DIV/0!</v>
      </c>
      <c r="K65" s="154" t="str">
        <f>NeoGuiInfB!G5</f>
        <v>Calcium</v>
      </c>
      <c r="M65" s="203" t="e">
        <f ca="1">NeoGuiInfB!H5</f>
        <v>#DIV/0!</v>
      </c>
      <c r="N65" s="203"/>
      <c r="O65" s="203" t="e">
        <f>NeoGuiInfB!I5</f>
        <v>#DIV/0!</v>
      </c>
      <c r="Q65" s="203" t="e">
        <f ca="1">NeoGuiInfB!J5</f>
        <v>#DIV/0!</v>
      </c>
    </row>
    <row r="66" spans="2:17" x14ac:dyDescent="0.2">
      <c r="B66" s="307" t="str">
        <f>NeoGuiInfB!B6</f>
        <v>Glucose</v>
      </c>
      <c r="D66" s="203" t="e">
        <f>NeoGuiInfB!C6</f>
        <v>#DIV/0!</v>
      </c>
      <c r="E66" s="203"/>
      <c r="F66" s="203" t="e">
        <f>NeoGuiInfB!D6</f>
        <v>#DIV/0!</v>
      </c>
      <c r="H66" s="203" t="e">
        <f>NeoGuiInfB!E6</f>
        <v>#DIV/0!</v>
      </c>
      <c r="K66" s="154" t="str">
        <f>NeoGuiInfB!G6</f>
        <v>Magnesium</v>
      </c>
      <c r="M66" s="203" t="e">
        <f ca="1">NeoGuiInfB!H6</f>
        <v>#DIV/0!</v>
      </c>
      <c r="N66" s="203"/>
      <c r="O66" s="203" t="e">
        <f>NeoGuiInfB!I6</f>
        <v>#DIV/0!</v>
      </c>
      <c r="Q66" s="203" t="e">
        <f ca="1">NeoGuiInfB!J6</f>
        <v>#DIV/0!</v>
      </c>
    </row>
    <row r="67" spans="2:17" x14ac:dyDescent="0.2">
      <c r="B67" s="154" t="str">
        <f>NeoGuiInfB!B7</f>
        <v>Energie</v>
      </c>
      <c r="D67" s="203" t="e">
        <f ca="1">NeoGuiInfB!C7</f>
        <v>#DIV/0!</v>
      </c>
      <c r="E67" s="203"/>
      <c r="F67" s="203" t="e">
        <f>NeoGuiInfB!D7</f>
        <v>#DIV/0!</v>
      </c>
      <c r="H67" s="203" t="e">
        <f ca="1">NeoGuiInfB!E7</f>
        <v>#DIV/0!</v>
      </c>
      <c r="K67" s="154" t="str">
        <f>NeoGuiInfB!G7</f>
        <v>Chloor</v>
      </c>
      <c r="M67" s="203" t="e">
        <f ca="1">NeoGuiInfB!H7</f>
        <v>#DIV/0!</v>
      </c>
      <c r="N67" s="203"/>
      <c r="O67" s="203" t="e">
        <f>NeoGuiInfB!I7</f>
        <v>#DIV/0!</v>
      </c>
      <c r="Q67" s="203" t="e">
        <f ca="1">NeoGuiInfB!J7</f>
        <v>#DIV/0!</v>
      </c>
    </row>
    <row r="68" spans="2:17" x14ac:dyDescent="0.2">
      <c r="B68" s="154" t="str">
        <f>NeoGuiInfB!B8</f>
        <v>Vit D</v>
      </c>
      <c r="D68" s="203" t="str">
        <f ca="1">NeoGuiInfB!C8</f>
        <v>0 IE</v>
      </c>
      <c r="E68" s="203"/>
      <c r="F68" s="203" t="str">
        <f>NeoGuiInfB!D8</f>
        <v>10 IE</v>
      </c>
      <c r="H68" s="203" t="str">
        <f ca="1">NeoGuiInfB!E8</f>
        <v>10 IE</v>
      </c>
      <c r="K68" s="154" t="str">
        <f>NeoGuiInfB!G8</f>
        <v>Fosfaat</v>
      </c>
      <c r="M68" s="203" t="e">
        <f>NeoGuiInfB!H8</f>
        <v>#DIV/0!</v>
      </c>
      <c r="N68" s="203"/>
      <c r="O68" s="203" t="e">
        <f>NeoGuiInfB!I8</f>
        <v>#DIV/0!</v>
      </c>
      <c r="Q68" s="203" t="e">
        <f>NeoGuiInfB!J8</f>
        <v>#DIV/0!</v>
      </c>
    </row>
    <row r="70" spans="2:17" x14ac:dyDescent="0.2">
      <c r="B70" s="956" t="s">
        <v>116</v>
      </c>
      <c r="C70" s="956"/>
      <c r="D70" s="956"/>
      <c r="E70" s="956"/>
      <c r="F70" s="956"/>
      <c r="G70" s="956"/>
      <c r="H70" s="956"/>
      <c r="I70" s="956"/>
      <c r="J70" s="956"/>
      <c r="K70" s="956"/>
      <c r="L70" s="956"/>
      <c r="M70" s="956"/>
      <c r="N70" s="956"/>
      <c r="O70" s="956"/>
      <c r="P70" s="956"/>
      <c r="Q70" s="956"/>
    </row>
    <row r="71" spans="2:17" x14ac:dyDescent="0.2">
      <c r="B71" s="154" t="s">
        <v>378</v>
      </c>
      <c r="D71" s="154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P71" s="162"/>
      <c r="Q71" s="162"/>
    </row>
    <row r="72" spans="2:17" x14ac:dyDescent="0.2">
      <c r="B72" s="154" t="s">
        <v>735</v>
      </c>
      <c r="D72" s="154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P72" s="162"/>
      <c r="Q72" s="162"/>
    </row>
    <row r="73" spans="2:17" x14ac:dyDescent="0.2">
      <c r="B73" s="154" t="s">
        <v>736</v>
      </c>
      <c r="D73" s="154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P73" s="162"/>
      <c r="Q73" s="162"/>
    </row>
    <row r="74" spans="2:17" x14ac:dyDescent="0.2">
      <c r="B74" s="154" t="s">
        <v>737</v>
      </c>
      <c r="D74" s="154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P74" s="162"/>
      <c r="Q74" s="162"/>
    </row>
    <row r="75" spans="2:17" x14ac:dyDescent="0.2">
      <c r="B75" s="154" t="s">
        <v>148</v>
      </c>
      <c r="D75" s="154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P75" s="162"/>
      <c r="Q75" s="162"/>
    </row>
    <row r="76" spans="2:17" x14ac:dyDescent="0.2">
      <c r="B76" s="154" t="s">
        <v>738</v>
      </c>
      <c r="D76" s="154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P76" s="162"/>
      <c r="Q76" s="162"/>
    </row>
    <row r="77" spans="2:17" x14ac:dyDescent="0.2">
      <c r="B77" s="154" t="s">
        <v>742</v>
      </c>
      <c r="D77" s="154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P77" s="162"/>
      <c r="Q77" s="162"/>
    </row>
    <row r="78" spans="2:17" x14ac:dyDescent="0.2">
      <c r="B78" s="154" t="s">
        <v>292</v>
      </c>
      <c r="D78" s="154" t="str">
        <f>IF(_Neo_Lab_Opm=0,"",_Neo_Lab_Opm)</f>
        <v/>
      </c>
      <c r="P78" s="162"/>
      <c r="Q78" s="162"/>
    </row>
    <row r="79" spans="2:17" x14ac:dyDescent="0.2">
      <c r="P79" s="162"/>
      <c r="Q79" s="162"/>
    </row>
    <row r="80" spans="2:17" x14ac:dyDescent="0.2">
      <c r="P80" s="162"/>
      <c r="Q80" s="162"/>
    </row>
    <row r="81" spans="2:17" x14ac:dyDescent="0.2">
      <c r="B81" s="956" t="s">
        <v>69</v>
      </c>
      <c r="C81" s="956"/>
      <c r="D81" s="956"/>
      <c r="E81" s="956"/>
      <c r="F81" s="956"/>
      <c r="G81" s="956"/>
      <c r="H81" s="956"/>
      <c r="I81" s="956"/>
      <c r="J81" s="956"/>
      <c r="K81" s="956"/>
      <c r="L81" s="956"/>
      <c r="M81" s="956"/>
      <c r="N81" s="956"/>
      <c r="O81" s="956"/>
      <c r="P81" s="956"/>
      <c r="Q81" s="956"/>
    </row>
    <row r="82" spans="2:17" x14ac:dyDescent="0.2">
      <c r="B82" s="154" t="s">
        <v>745</v>
      </c>
      <c r="D82" s="154" t="str">
        <f>IFERROR(LEFT(Var_Neo_AfsprControles,LEN(Var_Neo_AfsprControles)-3),"")</f>
        <v/>
      </c>
      <c r="P82" s="162"/>
      <c r="Q82" s="162"/>
    </row>
    <row r="83" spans="2:17" x14ac:dyDescent="0.2">
      <c r="B83" s="154" t="s">
        <v>751</v>
      </c>
      <c r="D83" s="154" t="str">
        <f>IFERROR(LEFT(Var_Neo_AfsprOnderzoek,LEN(Var_Neo_AfsprOnderzoek)-3),"")</f>
        <v/>
      </c>
      <c r="P83" s="162"/>
      <c r="Q83" s="162"/>
    </row>
    <row r="84" spans="2:17" x14ac:dyDescent="0.2">
      <c r="B84" s="154" t="s">
        <v>683</v>
      </c>
      <c r="D84" s="154" t="str">
        <f>IFERROR(LEFT(Var_Neo_AfsprKweken,LEN(Var_Neo_AfsprKweken)-3),"")</f>
        <v/>
      </c>
      <c r="P84" s="162"/>
      <c r="Q84" s="162"/>
    </row>
    <row r="85" spans="2:17" x14ac:dyDescent="0.2">
      <c r="B85" s="154" t="s">
        <v>989</v>
      </c>
      <c r="D85" s="154" t="str">
        <f>IFERROR(LEFT(Var_Neo_AfsprInstellingen,LEN(Var_Neo_AfsprInstellingen)-3),"")</f>
        <v/>
      </c>
      <c r="P85" s="162"/>
      <c r="Q85" s="162"/>
    </row>
    <row r="86" spans="2:17" x14ac:dyDescent="0.2">
      <c r="B86" s="154" t="s">
        <v>729</v>
      </c>
      <c r="D86" s="154" t="str">
        <f>IFERROR(LEFT(Var_Neo_AfsprOverig,LEN(Var_Neo_AfsprOverig)-3),"")</f>
        <v/>
      </c>
      <c r="P86" s="162"/>
      <c r="Q86" s="162"/>
    </row>
    <row r="87" spans="2:17" x14ac:dyDescent="0.2">
      <c r="P87" s="162"/>
      <c r="Q87" s="162"/>
    </row>
    <row r="88" spans="2:17" x14ac:dyDescent="0.2">
      <c r="P88" s="162"/>
      <c r="Q88" s="162"/>
    </row>
    <row r="89" spans="2:17" x14ac:dyDescent="0.2">
      <c r="P89" s="162"/>
      <c r="Q89" s="162"/>
    </row>
    <row r="90" spans="2:17" x14ac:dyDescent="0.2">
      <c r="P90" s="162"/>
      <c r="Q90" s="162"/>
    </row>
    <row r="91" spans="2:17" x14ac:dyDescent="0.2">
      <c r="P91" s="162"/>
      <c r="Q91" s="162"/>
    </row>
    <row r="92" spans="2:17" x14ac:dyDescent="0.2">
      <c r="P92" s="162"/>
      <c r="Q92" s="162"/>
    </row>
    <row r="93" spans="2:17" x14ac:dyDescent="0.2">
      <c r="P93" s="162"/>
      <c r="Q93" s="162"/>
    </row>
    <row r="94" spans="2:17" x14ac:dyDescent="0.2">
      <c r="P94" s="162"/>
      <c r="Q94" s="162"/>
    </row>
    <row r="95" spans="2:17" x14ac:dyDescent="0.2">
      <c r="P95" s="162"/>
      <c r="Q95" s="162"/>
    </row>
    <row r="96" spans="2:17" x14ac:dyDescent="0.2">
      <c r="P96" s="162"/>
      <c r="Q96" s="162"/>
    </row>
    <row r="97" spans="16:17" x14ac:dyDescent="0.2">
      <c r="P97" s="162"/>
      <c r="Q97" s="162"/>
    </row>
    <row r="98" spans="16:17" x14ac:dyDescent="0.2">
      <c r="P98" s="162"/>
      <c r="Q98" s="162"/>
    </row>
    <row r="99" spans="16:17" x14ac:dyDescent="0.2">
      <c r="P99" s="162"/>
      <c r="Q99" s="162"/>
    </row>
    <row r="100" spans="16:17" x14ac:dyDescent="0.2">
      <c r="P100" s="162"/>
      <c r="Q100" s="162"/>
    </row>
    <row r="101" spans="16:17" x14ac:dyDescent="0.2">
      <c r="P101" s="162"/>
      <c r="Q101" s="162"/>
    </row>
    <row r="102" spans="16:17" x14ac:dyDescent="0.2">
      <c r="P102" s="162"/>
      <c r="Q102" s="162"/>
    </row>
    <row r="103" spans="16:17" x14ac:dyDescent="0.2">
      <c r="P103" s="162"/>
      <c r="Q103" s="162"/>
    </row>
    <row r="104" spans="16:17" x14ac:dyDescent="0.2">
      <c r="P104" s="162"/>
      <c r="Q104" s="162"/>
    </row>
    <row r="105" spans="16:17" x14ac:dyDescent="0.2">
      <c r="P105" s="162"/>
      <c r="Q105" s="162"/>
    </row>
    <row r="106" spans="16:17" x14ac:dyDescent="0.2">
      <c r="P106" s="162"/>
      <c r="Q106" s="162"/>
    </row>
    <row r="107" spans="16:17" x14ac:dyDescent="0.2">
      <c r="P107" s="162"/>
      <c r="Q107" s="162"/>
    </row>
    <row r="108" spans="16:17" x14ac:dyDescent="0.2">
      <c r="P108" s="162"/>
      <c r="Q108" s="162"/>
    </row>
    <row r="109" spans="16:17" x14ac:dyDescent="0.2">
      <c r="P109" s="162"/>
      <c r="Q109" s="162"/>
    </row>
    <row r="110" spans="16:17" x14ac:dyDescent="0.2">
      <c r="P110" s="162"/>
      <c r="Q110" s="162"/>
    </row>
    <row r="111" spans="16:17" x14ac:dyDescent="0.2">
      <c r="P111" s="162"/>
      <c r="Q111" s="162"/>
    </row>
    <row r="112" spans="16:17" x14ac:dyDescent="0.2">
      <c r="P112" s="162"/>
      <c r="Q112" s="162"/>
    </row>
    <row r="113" spans="16:17" x14ac:dyDescent="0.2">
      <c r="P113" s="162"/>
      <c r="Q113" s="162"/>
    </row>
    <row r="114" spans="16:17" x14ac:dyDescent="0.2">
      <c r="P114" s="162"/>
      <c r="Q114" s="162"/>
    </row>
    <row r="115" spans="16:17" x14ac:dyDescent="0.2">
      <c r="P115" s="162"/>
      <c r="Q115" s="162"/>
    </row>
    <row r="116" spans="16:17" x14ac:dyDescent="0.2">
      <c r="P116" s="162"/>
      <c r="Q116" s="162"/>
    </row>
    <row r="117" spans="16:17" x14ac:dyDescent="0.2">
      <c r="P117" s="162"/>
      <c r="Q117" s="162"/>
    </row>
    <row r="118" spans="16:17" x14ac:dyDescent="0.2">
      <c r="P118" s="162"/>
      <c r="Q118" s="162"/>
    </row>
    <row r="119" spans="16:17" x14ac:dyDescent="0.2">
      <c r="P119" s="162"/>
      <c r="Q119" s="162"/>
    </row>
    <row r="120" spans="16:17" x14ac:dyDescent="0.2">
      <c r="P120" s="162"/>
      <c r="Q120" s="162"/>
    </row>
    <row r="121" spans="16:17" x14ac:dyDescent="0.2">
      <c r="P121" s="162"/>
      <c r="Q121" s="162"/>
    </row>
    <row r="122" spans="16:17" x14ac:dyDescent="0.2">
      <c r="P122" s="162"/>
      <c r="Q122" s="162"/>
    </row>
    <row r="123" spans="16:17" x14ac:dyDescent="0.2">
      <c r="P123" s="162"/>
      <c r="Q123" s="162"/>
    </row>
    <row r="124" spans="16:17" x14ac:dyDescent="0.2">
      <c r="P124" s="162"/>
      <c r="Q124" s="162"/>
    </row>
    <row r="125" spans="16:17" x14ac:dyDescent="0.2">
      <c r="P125" s="162"/>
      <c r="Q125" s="162"/>
    </row>
    <row r="126" spans="16:17" x14ac:dyDescent="0.2">
      <c r="P126" s="162"/>
      <c r="Q126" s="162"/>
    </row>
    <row r="127" spans="16:17" x14ac:dyDescent="0.2">
      <c r="P127" s="162"/>
      <c r="Q127" s="162"/>
    </row>
    <row r="128" spans="16:17" x14ac:dyDescent="0.2">
      <c r="P128" s="162"/>
      <c r="Q128" s="162"/>
    </row>
    <row r="129" spans="16:17" x14ac:dyDescent="0.2">
      <c r="P129" s="162"/>
      <c r="Q129" s="162"/>
    </row>
    <row r="130" spans="16:17" x14ac:dyDescent="0.2">
      <c r="P130" s="162"/>
      <c r="Q130" s="162"/>
    </row>
    <row r="131" spans="16:17" x14ac:dyDescent="0.2">
      <c r="P131" s="162"/>
      <c r="Q131" s="162"/>
    </row>
    <row r="132" spans="16:17" x14ac:dyDescent="0.2">
      <c r="P132" s="162"/>
      <c r="Q132" s="162"/>
    </row>
    <row r="133" spans="16:17" x14ac:dyDescent="0.2">
      <c r="P133" s="162"/>
      <c r="Q133" s="162"/>
    </row>
    <row r="134" spans="16:17" x14ac:dyDescent="0.2">
      <c r="P134" s="162"/>
      <c r="Q134" s="162"/>
    </row>
    <row r="135" spans="16:17" x14ac:dyDescent="0.2">
      <c r="P135" s="162"/>
      <c r="Q135" s="162"/>
    </row>
    <row r="136" spans="16:17" x14ac:dyDescent="0.2">
      <c r="P136" s="162"/>
      <c r="Q136" s="162"/>
    </row>
    <row r="137" spans="16:17" x14ac:dyDescent="0.2">
      <c r="P137" s="162"/>
      <c r="Q137" s="162"/>
    </row>
    <row r="138" spans="16:17" x14ac:dyDescent="0.2">
      <c r="P138" s="162"/>
      <c r="Q138" s="162"/>
    </row>
    <row r="139" spans="16:17" x14ac:dyDescent="0.2">
      <c r="P139" s="162"/>
      <c r="Q139" s="162"/>
    </row>
    <row r="140" spans="16:17" x14ac:dyDescent="0.2">
      <c r="P140" s="162"/>
      <c r="Q140" s="162"/>
    </row>
    <row r="141" spans="16:17" x14ac:dyDescent="0.2">
      <c r="P141" s="162"/>
      <c r="Q141" s="162"/>
    </row>
    <row r="142" spans="16:17" x14ac:dyDescent="0.2">
      <c r="P142" s="162"/>
      <c r="Q142" s="162"/>
    </row>
    <row r="143" spans="16:17" x14ac:dyDescent="0.2">
      <c r="P143" s="162"/>
      <c r="Q143" s="162"/>
    </row>
    <row r="144" spans="16:17" x14ac:dyDescent="0.2">
      <c r="P144" s="162"/>
      <c r="Q144" s="162"/>
    </row>
    <row r="145" spans="16:17" x14ac:dyDescent="0.2">
      <c r="P145" s="162"/>
      <c r="Q145" s="162"/>
    </row>
    <row r="146" spans="16:17" x14ac:dyDescent="0.2">
      <c r="P146" s="162"/>
      <c r="Q146" s="162"/>
    </row>
  </sheetData>
  <mergeCells count="7">
    <mergeCell ref="B70:Q70"/>
    <mergeCell ref="B81:Q81"/>
    <mergeCell ref="M1:N1"/>
    <mergeCell ref="M3:N3"/>
    <mergeCell ref="M5:P5"/>
    <mergeCell ref="D9:F9"/>
    <mergeCell ref="I10:O10"/>
  </mergeCells>
  <pageMargins left="0.25" right="0.24" top="0.25" bottom="0.2" header="0.15748031496062992" footer="0.15748031496062992"/>
  <pageSetup paperSize="9" orientation="portrait" r:id="rId1"/>
  <headerFooter alignWithMargins="0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poth">
    <tabColor rgb="FF7030A0"/>
    <pageSetUpPr autoPageBreaks="0"/>
  </sheetPr>
  <dimension ref="A1:T73"/>
  <sheetViews>
    <sheetView zoomScaleNormal="100" workbookViewId="0">
      <selection activeCell="D1" sqref="D1"/>
    </sheetView>
  </sheetViews>
  <sheetFormatPr defaultColWidth="9.140625" defaultRowHeight="12.75" x14ac:dyDescent="0.2"/>
  <cols>
    <col min="1" max="13" width="5.7109375" style="154" customWidth="1"/>
    <col min="14" max="15" width="11.28515625" style="154" bestFit="1" customWidth="1"/>
    <col min="16" max="17" width="5.7109375" style="154" customWidth="1"/>
    <col min="18" max="16384" width="9.140625" style="154"/>
  </cols>
  <sheetData>
    <row r="1" spans="1:20" x14ac:dyDescent="0.2">
      <c r="A1" s="355"/>
      <c r="B1" s="154" t="s">
        <v>554</v>
      </c>
      <c r="H1" s="154" t="s">
        <v>534</v>
      </c>
      <c r="J1" s="964">
        <f ca="1">TODAY()</f>
        <v>42750</v>
      </c>
      <c r="K1" s="964"/>
      <c r="L1" s="964"/>
      <c r="M1" s="154" t="s">
        <v>519</v>
      </c>
      <c r="N1" s="176">
        <f>__1_Bed</f>
        <v>0</v>
      </c>
    </row>
    <row r="2" spans="1:20" x14ac:dyDescent="0.2">
      <c r="B2" s="154" t="s">
        <v>533</v>
      </c>
      <c r="D2" s="160" t="str">
        <f>__3_VoorNaam&amp;" "&amp;__2_AchterNaam</f>
        <v xml:space="preserve"> </v>
      </c>
      <c r="H2" s="154" t="s">
        <v>537</v>
      </c>
      <c r="J2" s="160" t="e">
        <f>IF(Var_Neo_InfB_Arts&gt;0,Var_Neo_InfB_Arts,"")</f>
        <v>#NAME?</v>
      </c>
      <c r="M2" s="154" t="s">
        <v>535</v>
      </c>
      <c r="N2" s="965">
        <f ca="1">NOW()</f>
        <v>42750.22173391204</v>
      </c>
      <c r="O2" s="965"/>
    </row>
    <row r="3" spans="1:20" x14ac:dyDescent="0.2">
      <c r="B3" s="154" t="s">
        <v>536</v>
      </c>
      <c r="D3" s="160">
        <f>(_Pat_Gewicht/10)</f>
        <v>0</v>
      </c>
      <c r="E3" s="154" t="s">
        <v>657</v>
      </c>
      <c r="J3" s="162"/>
      <c r="K3" s="162"/>
      <c r="L3" s="162"/>
      <c r="M3" s="154" t="s">
        <v>555</v>
      </c>
    </row>
    <row r="4" spans="1:20" ht="9" customHeight="1" x14ac:dyDescent="0.2">
      <c r="H4" s="162"/>
      <c r="I4" s="162"/>
      <c r="J4" s="162"/>
      <c r="K4" s="162"/>
    </row>
    <row r="5" spans="1:20" ht="15.75" x14ac:dyDescent="0.25">
      <c r="A5" s="253">
        <v>1</v>
      </c>
      <c r="B5" s="254" t="str">
        <f>IF(NeoPrtWerkbr!C26&lt;&gt;"zijlijn",NeoPrtWerkbr!A26,"")</f>
        <v/>
      </c>
      <c r="C5" s="254"/>
      <c r="D5" s="255" t="str">
        <f>NeoPrtWerkbr!C26</f>
        <v/>
      </c>
      <c r="E5" s="256"/>
      <c r="F5" s="257" t="str">
        <f>IF(NeoPrtWerkbr!E26&lt;&gt;"",IF(D5&lt;&gt;"lidocaine",IF(NeoPrtWerkbr!M28&lt;25,NeoPrtWerkbr!E26*2,NeoPrtWerkbr!E26),NeoPrtWerkbr!E26*1.5),"")</f>
        <v/>
      </c>
      <c r="G5" s="256" t="str">
        <f>NeoPrtWerkbr!F26</f>
        <v>mg</v>
      </c>
      <c r="H5" s="258" t="str">
        <f>NeoPrtWerkbr!G26</f>
        <v>(</v>
      </c>
      <c r="I5" s="256" t="str">
        <f>NeoPrtWerkbr!H26</f>
        <v/>
      </c>
      <c r="J5" s="256" t="str">
        <f>NeoPrtWerkbr!I26</f>
        <v>mg=</v>
      </c>
      <c r="K5" s="256" t="str">
        <f>NeoPrtWerkbr!J26</f>
        <v/>
      </c>
      <c r="L5" s="256" t="str">
        <f>NeoPrtWerkbr!K26</f>
        <v>ml)</v>
      </c>
      <c r="M5" s="256"/>
      <c r="N5" s="259" t="str">
        <f>IF(B5&lt;&gt;"",IF(B5&gt;0,TRUNC((K5/I5)*F5),0),"")</f>
        <v/>
      </c>
      <c r="O5" s="260" t="str">
        <f>IF(B5&lt;&gt;"",(ROUND((K5/I5)*F5,2)-N5)*100,"")</f>
        <v/>
      </c>
      <c r="P5" s="162"/>
      <c r="Q5" s="162"/>
      <c r="R5" s="162"/>
    </row>
    <row r="6" spans="1:20" ht="15.75" x14ac:dyDescent="0.25">
      <c r="A6" s="376"/>
      <c r="B6" s="254"/>
      <c r="C6" s="254"/>
      <c r="D6" s="261" t="str">
        <f>NeoPrtWerkbr!C28</f>
        <v/>
      </c>
      <c r="E6" s="262"/>
      <c r="F6" s="262" t="str">
        <f>NeoPrtWerkbr!E28</f>
        <v/>
      </c>
      <c r="G6" s="262"/>
      <c r="H6" s="263"/>
      <c r="I6" s="262"/>
      <c r="J6" s="262" t="str">
        <f>NeoPrtWerkbr!I27</f>
        <v>in</v>
      </c>
      <c r="K6" s="264" t="str">
        <f>IF(AND(D5&lt;&gt;"Nepresol (dihydralazine)",D5&lt;&gt;"Flolan (epoprostenol)"),NeoPrtWerkbr!J27,"NaCl 0,9%")</f>
        <v/>
      </c>
      <c r="L6" s="262"/>
      <c r="M6" s="262"/>
      <c r="N6" s="265" t="str">
        <f>IF(B5&lt;&gt;"",TRUNC(N7+O7/100-N5-O5/100),"")</f>
        <v/>
      </c>
      <c r="O6" s="266" t="str">
        <f>IF(B5&lt;&gt;"",(N7+O7/100-N5-O5/100-N6)*100,"")</f>
        <v/>
      </c>
      <c r="P6" s="162"/>
      <c r="Q6" s="162"/>
      <c r="R6" s="162"/>
    </row>
    <row r="7" spans="1:20" ht="15.75" x14ac:dyDescent="0.25">
      <c r="A7" s="253"/>
      <c r="B7" s="254"/>
      <c r="C7" s="254"/>
      <c r="D7" s="267" t="s">
        <v>556</v>
      </c>
      <c r="E7" s="268"/>
      <c r="F7" s="269" t="str">
        <f>IF(D5&lt;&gt;"",INDEX(tbl_Neo_MedIV,NeoBerInfB!B20,2),"")</f>
        <v/>
      </c>
      <c r="G7" s="268"/>
      <c r="H7" s="268"/>
      <c r="I7" s="270"/>
      <c r="J7" s="270"/>
      <c r="K7" s="271" t="str">
        <f>NeoPrtWerkbr!J28</f>
        <v>Totaal</v>
      </c>
      <c r="L7" s="270"/>
      <c r="M7" s="270"/>
      <c r="N7" s="272" t="str">
        <f>IF(B5&lt;&gt;"",IF(D5&lt;&gt;"lidocaine",IF(_Neo_1700_Cont_OplHoev_1&lt;25,2*TRUNC(_Neo_1700_Cont_OplHoev_1),TRUNC(_Neo_1700_Cont_OplHoev_1)),TRUNC(_Neo_1700_Cont_OplHoev_1*1.5)),"")</f>
        <v/>
      </c>
      <c r="O7" s="273" t="str">
        <f>IF(B5&lt;&gt;"",IF(D5&lt;&gt;"lidocaine",IF(_Neo_1700_Cont_OplHoev_1&lt;25,(2*_Neo_1700_Cont_OplHoev_1-N7)*100,(_Neo_1700_Cont_OplHoev_1-N7)*100),1.5*_Neo_1700_Cont_OplHoev_1-N7),"")</f>
        <v/>
      </c>
      <c r="P7" s="162"/>
      <c r="Q7" s="162"/>
      <c r="R7" s="162"/>
    </row>
    <row r="8" spans="1:20" ht="9.9499999999999993" customHeight="1" x14ac:dyDescent="0.25">
      <c r="A8" s="253"/>
      <c r="B8" s="227"/>
      <c r="C8" s="227"/>
      <c r="D8" s="211"/>
      <c r="E8" s="211"/>
      <c r="F8" s="274"/>
      <c r="G8" s="211"/>
      <c r="H8" s="211"/>
      <c r="I8" s="211"/>
      <c r="J8" s="211"/>
      <c r="K8" s="212"/>
      <c r="L8" s="211"/>
      <c r="M8" s="211"/>
      <c r="N8" s="275"/>
      <c r="O8" s="276"/>
      <c r="P8" s="162"/>
      <c r="Q8" s="162"/>
      <c r="R8" s="162"/>
    </row>
    <row r="9" spans="1:20" ht="15.75" x14ac:dyDescent="0.25">
      <c r="A9" s="253">
        <v>2</v>
      </c>
      <c r="B9" s="277" t="str">
        <f>IF(NeoPrtWerkbr!C29&lt;&gt;"zijlijn",NeoPrtWerkbr!A29,"")</f>
        <v/>
      </c>
      <c r="C9" s="277"/>
      <c r="D9" s="190" t="str">
        <f>NeoPrtWerkbr!C29</f>
        <v/>
      </c>
      <c r="E9" s="191"/>
      <c r="F9" s="278" t="str">
        <f>IF(NeoPrtWerkbr!E29&lt;&gt;"",IF(D9&lt;&gt;"lidocaine",IF(NeoPrtWerkbr!M31&lt;25,NeoPrtWerkbr!E29*2,NeoPrtWerkbr!E29),NeoPrtWerkbr!E29*1.5),"")</f>
        <v/>
      </c>
      <c r="G9" s="191" t="str">
        <f>NeoPrtWerkbr!F29</f>
        <v>mg</v>
      </c>
      <c r="H9" s="279" t="str">
        <f>NeoPrtWerkbr!G29</f>
        <v>(</v>
      </c>
      <c r="I9" s="191" t="str">
        <f>NeoPrtWerkbr!H29</f>
        <v/>
      </c>
      <c r="J9" s="191" t="str">
        <f>NeoPrtWerkbr!I29</f>
        <v>mg=</v>
      </c>
      <c r="K9" s="191" t="str">
        <f>NeoPrtWerkbr!J29</f>
        <v/>
      </c>
      <c r="L9" s="191" t="str">
        <f>NeoPrtWerkbr!K29</f>
        <v>ml)</v>
      </c>
      <c r="M9" s="191"/>
      <c r="N9" s="280" t="str">
        <f>IF(B9&lt;&gt;"",IF(B9&gt;0,TRUNC((K9/I9)*F9),0),"")</f>
        <v/>
      </c>
      <c r="O9" s="281" t="str">
        <f>IF(B9&lt;&gt;"",(IF(B9&gt;0,ROUND((K9/I9)*F9,2),0)-N9)*100,"")</f>
        <v/>
      </c>
      <c r="P9" s="162"/>
      <c r="Q9" s="162"/>
      <c r="R9" s="162"/>
    </row>
    <row r="10" spans="1:20" ht="15.75" x14ac:dyDescent="0.25">
      <c r="A10" s="253"/>
      <c r="B10" s="277"/>
      <c r="C10" s="277"/>
      <c r="D10" s="282" t="str">
        <f>NeoPrtWerkbr!C31</f>
        <v/>
      </c>
      <c r="E10" s="162"/>
      <c r="F10" s="162" t="str">
        <f>NeoPrtWerkbr!E31</f>
        <v/>
      </c>
      <c r="G10" s="162"/>
      <c r="H10" s="283"/>
      <c r="I10" s="162"/>
      <c r="J10" s="162" t="str">
        <f>NeoPrtWerkbr!I30</f>
        <v>in</v>
      </c>
      <c r="K10" s="169" t="str">
        <f>IF(AND(D9&lt;&gt;"Nepresol (dihydralazine)",D9&lt;&gt;"Flolan (epoprostenol)"),NeoPrtWerkbr!J30,"NaCl 0,9%")</f>
        <v/>
      </c>
      <c r="L10" s="162"/>
      <c r="M10" s="162"/>
      <c r="N10" s="280" t="str">
        <f>IF(B9&lt;&gt;"",TRUNC(IF(B9&gt;0,N11+O11/100-N9-O9/100,0)),"")</f>
        <v/>
      </c>
      <c r="O10" s="281" t="str">
        <f>IF(B9&lt;&gt;"",(IF(B9&gt;0,N11+O11/100-N9-O9/100,0)-N10)*100,"")</f>
        <v/>
      </c>
      <c r="P10" s="162"/>
      <c r="Q10" s="162"/>
      <c r="R10" s="162"/>
    </row>
    <row r="11" spans="1:20" ht="15.75" x14ac:dyDescent="0.25">
      <c r="A11" s="253"/>
      <c r="B11" s="277"/>
      <c r="C11" s="277"/>
      <c r="D11" s="284" t="s">
        <v>556</v>
      </c>
      <c r="E11" s="285"/>
      <c r="F11" s="286" t="str">
        <f>IF(D9&lt;&gt;"",INDEX(tbl_Neo_MedIV,NeoBerInfB!B21,2),"")</f>
        <v/>
      </c>
      <c r="G11" s="285"/>
      <c r="H11" s="287"/>
      <c r="I11" s="288"/>
      <c r="J11" s="288"/>
      <c r="K11" s="289" t="str">
        <f>NeoPrtWerkbr!J31</f>
        <v>Totaal</v>
      </c>
      <c r="L11" s="288"/>
      <c r="M11" s="288"/>
      <c r="N11" s="290" t="str">
        <f>IF(B9&lt;&gt;"",IF(D9&lt;&gt;"lidocaine",IF(_Neo_1700_Cont_OplHoev_2&lt;25,2*TRUNC(_Neo_1700_Cont_OplHoev_2),TRUNC(_Neo_1700_Cont_OplHoev_2)),TRUNC(_Neo_1700_Cont_OplHoev_2*1.5)),"")</f>
        <v/>
      </c>
      <c r="O11" s="291" t="str">
        <f>IF(B9&lt;&gt;"",IF(D9&lt;&gt;"lidocaine",IF(_Neo_1700_Cont_OplHoev_2&lt;25,(2*_Neo_1700_Cont_OplHoev_2-N11)*100,(_Neo_1700_Cont_OplHoev_2-N11)*100),1.5*_Neo_1700_Cont_OplHoev_2-N11),"")</f>
        <v/>
      </c>
      <c r="P11" s="162"/>
      <c r="Q11" s="162"/>
      <c r="R11" s="162"/>
    </row>
    <row r="12" spans="1:20" ht="9.9499999999999993" customHeight="1" x14ac:dyDescent="0.25">
      <c r="A12" s="253"/>
      <c r="B12" s="292"/>
      <c r="C12" s="292"/>
      <c r="D12" s="191"/>
      <c r="E12" s="191"/>
      <c r="F12" s="293"/>
      <c r="G12" s="191"/>
      <c r="H12" s="279"/>
      <c r="I12" s="191"/>
      <c r="J12" s="191"/>
      <c r="K12" s="278"/>
      <c r="L12" s="191"/>
      <c r="M12" s="191"/>
      <c r="N12" s="294"/>
      <c r="O12" s="295"/>
      <c r="P12" s="162"/>
      <c r="Q12" s="162"/>
      <c r="R12" s="162"/>
    </row>
    <row r="13" spans="1:20" ht="15.75" x14ac:dyDescent="0.25">
      <c r="A13" s="253">
        <v>3</v>
      </c>
      <c r="B13" s="254" t="str">
        <f>IF(NeoPrtWerkbr!C32&lt;&gt;"zijlijn",NeoPrtWerkbr!A32,"")</f>
        <v/>
      </c>
      <c r="C13" s="254"/>
      <c r="D13" s="255" t="str">
        <f>NeoPrtWerkbr!C32</f>
        <v/>
      </c>
      <c r="E13" s="256"/>
      <c r="F13" s="257" t="str">
        <f>IF(NeoPrtWerkbr!E32&lt;&gt;"",IF(D13&lt;&gt;"lidocaine",IF(NeoPrtWerkbr!M34&lt;25,NeoPrtWerkbr!E32*2,NeoPrtWerkbr!E32),NeoPrtWerkbr!E32*1.5),"")</f>
        <v/>
      </c>
      <c r="G13" s="256" t="str">
        <f>NeoPrtWerkbr!F32</f>
        <v>mg</v>
      </c>
      <c r="H13" s="258" t="str">
        <f>NeoPrtWerkbr!G32</f>
        <v>(</v>
      </c>
      <c r="I13" s="256" t="str">
        <f>NeoPrtWerkbr!H32</f>
        <v/>
      </c>
      <c r="J13" s="256" t="str">
        <f>NeoPrtWerkbr!I32</f>
        <v>mg=</v>
      </c>
      <c r="K13" s="256" t="str">
        <f>NeoPrtWerkbr!J32</f>
        <v/>
      </c>
      <c r="L13" s="256" t="str">
        <f>NeoPrtWerkbr!K32</f>
        <v>ml)</v>
      </c>
      <c r="M13" s="256"/>
      <c r="N13" s="259" t="str">
        <f>IF(B13&lt;&gt;"",IF(B13&gt;0,TRUNC((K13/I13)*F13),0),"")</f>
        <v/>
      </c>
      <c r="O13" s="260" t="str">
        <f>IF(B13&lt;&gt;"",(IF(B13&gt;0,ROUND((K13/I13)*F13,2),0)-N13)*100,"")</f>
        <v/>
      </c>
      <c r="P13" s="162"/>
      <c r="Q13" s="162"/>
      <c r="R13" s="162"/>
      <c r="T13" s="170"/>
    </row>
    <row r="14" spans="1:20" ht="15.75" x14ac:dyDescent="0.25">
      <c r="A14" s="253"/>
      <c r="B14" s="254"/>
      <c r="C14" s="254"/>
      <c r="D14" s="261" t="str">
        <f>NeoPrtWerkbr!C34</f>
        <v/>
      </c>
      <c r="E14" s="262"/>
      <c r="F14" s="262" t="str">
        <f>NeoPrtWerkbr!E34</f>
        <v/>
      </c>
      <c r="G14" s="262"/>
      <c r="H14" s="263"/>
      <c r="I14" s="262"/>
      <c r="J14" s="262" t="str">
        <f>NeoPrtWerkbr!I33</f>
        <v>in</v>
      </c>
      <c r="K14" s="264" t="str">
        <f>IF(AND(D13&lt;&gt;"Nepresol (dihydralazine)",D13&lt;&gt;"Flolan (epoprostenol)"),NeoPrtWerkbr!J33,"NaCl 0,9%")</f>
        <v/>
      </c>
      <c r="L14" s="262"/>
      <c r="M14" s="262"/>
      <c r="N14" s="265" t="str">
        <f>IF(B13&lt;&gt;"",TRUNC(IF(B13&gt;0,N15+O15/100-N13-O13/100,0)),"")</f>
        <v/>
      </c>
      <c r="O14" s="266" t="str">
        <f>IF(B13&lt;&gt;"",(IF(B13&gt;0,N15+O15/100-N13-O13/100,0)-N14)*100,"")</f>
        <v/>
      </c>
      <c r="P14" s="162"/>
      <c r="Q14" s="162"/>
      <c r="R14" s="162"/>
    </row>
    <row r="15" spans="1:20" ht="15.75" x14ac:dyDescent="0.25">
      <c r="A15" s="253"/>
      <c r="B15" s="254"/>
      <c r="C15" s="254"/>
      <c r="D15" s="267" t="s">
        <v>556</v>
      </c>
      <c r="E15" s="268"/>
      <c r="F15" s="269" t="str">
        <f>IF(D13&lt;&gt;"",INDEX(tbl_Neo_MedIV,NeoBerInfB!B22,2),"")</f>
        <v/>
      </c>
      <c r="G15" s="268"/>
      <c r="H15" s="270"/>
      <c r="I15" s="270"/>
      <c r="J15" s="270"/>
      <c r="K15" s="271" t="str">
        <f>NeoPrtWerkbr!J34</f>
        <v>Totaal</v>
      </c>
      <c r="L15" s="270"/>
      <c r="M15" s="270"/>
      <c r="N15" s="272" t="str">
        <f>IF(B13&lt;&gt;"",IF(D13&lt;&gt;"lidocaine",IF(_Neo_1700_Cont_OplHoev_3&lt;25,2*TRUNC(_Neo_1700_Cont_OplHoev_3),TRUNC(_Neo_1700_Cont_OplHoev_3)),TRUNC(_Neo_1700_Cont_OplHoev_3*1.5)),"")</f>
        <v/>
      </c>
      <c r="O15" s="273" t="str">
        <f>IF(B13&lt;&gt;"",IF(D13&lt;&gt;"lidocaine",IF(_Neo_1700_Cont_OplHoev_3&lt;25,(2*_Neo_1700_Cont_OplHoev_3-N15)*100,(_Neo_1700_Cont_OplHoev_3-N15)*100),1.5*_Neo_1700_Cont_OplHoev_3-N15),"")</f>
        <v/>
      </c>
      <c r="P15" s="162"/>
      <c r="Q15" s="162"/>
      <c r="R15" s="162"/>
    </row>
    <row r="16" spans="1:20" ht="9.9499999999999993" customHeight="1" x14ac:dyDescent="0.25">
      <c r="A16" s="253"/>
      <c r="B16" s="227"/>
      <c r="C16" s="227"/>
      <c r="D16" s="211"/>
      <c r="E16" s="211"/>
      <c r="F16" s="274"/>
      <c r="G16" s="211"/>
      <c r="H16" s="211"/>
      <c r="I16" s="211"/>
      <c r="J16" s="211"/>
      <c r="K16" s="212"/>
      <c r="L16" s="211"/>
      <c r="M16" s="211"/>
      <c r="N16" s="275"/>
      <c r="O16" s="276"/>
      <c r="P16" s="162"/>
      <c r="Q16" s="162"/>
      <c r="R16" s="162"/>
    </row>
    <row r="17" spans="1:18" ht="15.75" x14ac:dyDescent="0.25">
      <c r="A17" s="253">
        <v>4</v>
      </c>
      <c r="B17" s="277" t="str">
        <f>IF(NeoPrtWerkbr!C35&lt;&gt;"zijlijn",NeoPrtWerkbr!A35,"")</f>
        <v/>
      </c>
      <c r="C17" s="277"/>
      <c r="D17" s="190" t="str">
        <f>NeoPrtWerkbr!C35</f>
        <v/>
      </c>
      <c r="E17" s="191"/>
      <c r="F17" s="278" t="str">
        <f>IF(NeoPrtWerkbr!E35&lt;&gt;"",IF(D17&lt;&gt;"lidocaine",IF(NeoPrtWerkbr!M37&lt;25,NeoPrtWerkbr!E35*2,NeoPrtWerkbr!E35),NeoPrtWerkbr!E35*1.5),"")</f>
        <v/>
      </c>
      <c r="G17" s="191" t="str">
        <f>NeoPrtWerkbr!F35</f>
        <v>mg</v>
      </c>
      <c r="H17" s="279" t="str">
        <f>NeoPrtWerkbr!G35</f>
        <v>(</v>
      </c>
      <c r="I17" s="191" t="str">
        <f>NeoPrtWerkbr!H35</f>
        <v/>
      </c>
      <c r="J17" s="191" t="str">
        <f>NeoPrtWerkbr!I35</f>
        <v>mg=</v>
      </c>
      <c r="K17" s="191" t="str">
        <f>NeoPrtWerkbr!J35</f>
        <v/>
      </c>
      <c r="L17" s="191" t="str">
        <f>NeoPrtWerkbr!K35</f>
        <v>ml)</v>
      </c>
      <c r="M17" s="191"/>
      <c r="N17" s="280" t="str">
        <f>IF(B17&lt;&gt;"",IF(B17&gt;0,TRUNC((K17/I17)*F17),0),"")</f>
        <v/>
      </c>
      <c r="O17" s="281" t="str">
        <f>IF(B17&lt;&gt;"",(IF(B17&gt;0,ROUND((K17/I17)*F17,2),0)-N17)*100,"")</f>
        <v/>
      </c>
      <c r="P17" s="162"/>
      <c r="Q17" s="162"/>
      <c r="R17" s="162"/>
    </row>
    <row r="18" spans="1:18" ht="15.75" x14ac:dyDescent="0.25">
      <c r="A18" s="253"/>
      <c r="B18" s="277"/>
      <c r="C18" s="277"/>
      <c r="D18" s="282" t="str">
        <f>NeoPrtWerkbr!C37</f>
        <v/>
      </c>
      <c r="E18" s="162"/>
      <c r="F18" s="162" t="str">
        <f>NeoPrtWerkbr!E37</f>
        <v/>
      </c>
      <c r="G18" s="162"/>
      <c r="H18" s="283"/>
      <c r="I18" s="162"/>
      <c r="J18" s="162" t="str">
        <f>NeoPrtWerkbr!I36</f>
        <v>in</v>
      </c>
      <c r="K18" s="169" t="str">
        <f>IF(AND(D17&lt;&gt;"Nepresol (dihydralazine)",D17&lt;&gt;"Flolan (epoprostenol)"),NeoPrtWerkbr!J36,"NaCl 0,9%")</f>
        <v/>
      </c>
      <c r="L18" s="162"/>
      <c r="M18" s="162"/>
      <c r="N18" s="280" t="str">
        <f>IF(B17&lt;&gt;"",TRUNC(IF(B17&gt;0,N19+O19/100-N17-O17/100,0)),"")</f>
        <v/>
      </c>
      <c r="O18" s="281" t="str">
        <f>IF(B17&lt;&gt;"",(IF(B17&gt;0,N19+O19/100-N17-O17/100,0)-N18)*100,"")</f>
        <v/>
      </c>
      <c r="P18" s="162"/>
      <c r="Q18" s="162"/>
      <c r="R18" s="162"/>
    </row>
    <row r="19" spans="1:18" ht="15.75" x14ac:dyDescent="0.25">
      <c r="A19" s="253"/>
      <c r="B19" s="277"/>
      <c r="C19" s="277"/>
      <c r="D19" s="284" t="s">
        <v>556</v>
      </c>
      <c r="E19" s="285"/>
      <c r="F19" s="286" t="str">
        <f>IF(D17&lt;&gt;"",INDEX(tbl_Neo_MedIV,NeoBerInfB!B23,2),"")</f>
        <v/>
      </c>
      <c r="G19" s="285"/>
      <c r="H19" s="285"/>
      <c r="I19" s="288"/>
      <c r="J19" s="288"/>
      <c r="K19" s="289" t="str">
        <f>NeoPrtWerkbr!J37</f>
        <v>Totaal</v>
      </c>
      <c r="L19" s="288"/>
      <c r="M19" s="288"/>
      <c r="N19" s="290" t="str">
        <f>IF(B17&lt;&gt;"",IF(D17&lt;&gt;"lidocaine",IF(_Neo_1700_Cont_OplHoev_4&lt;25,2*TRUNC(_Neo_1700_Cont_OplHoev_4),TRUNC(_Neo_1700_Cont_OplHoev_4)),TRUNC(_Neo_1700_Cont_OplHoev_4*1.5)),"")</f>
        <v/>
      </c>
      <c r="O19" s="291" t="str">
        <f>IF(B17&lt;&gt;"",IF(D17&lt;&gt;"lidocaine",IF(_Neo_1700_Cont_OplHoev_4&lt;25,(2*_Neo_1700_Cont_OplHoev_4-N19)*100,(_Neo_1700_Cont_OplHoev_4-N19)*100),1.5*_Neo_1700_Cont_OplHoev_4-N19),"")</f>
        <v/>
      </c>
      <c r="P19" s="162"/>
      <c r="Q19" s="162"/>
      <c r="R19" s="162"/>
    </row>
    <row r="20" spans="1:18" ht="9.9499999999999993" customHeight="1" x14ac:dyDescent="0.25">
      <c r="A20" s="253"/>
      <c r="B20" s="292"/>
      <c r="C20" s="292"/>
      <c r="D20" s="191"/>
      <c r="E20" s="191"/>
      <c r="F20" s="293"/>
      <c r="G20" s="191"/>
      <c r="H20" s="191"/>
      <c r="I20" s="191"/>
      <c r="J20" s="191"/>
      <c r="K20" s="278"/>
      <c r="L20" s="191"/>
      <c r="M20" s="191"/>
      <c r="N20" s="294"/>
      <c r="O20" s="295"/>
      <c r="P20" s="162"/>
      <c r="Q20" s="162"/>
      <c r="R20" s="162"/>
    </row>
    <row r="21" spans="1:18" ht="15.75" x14ac:dyDescent="0.25">
      <c r="A21" s="253">
        <v>5</v>
      </c>
      <c r="B21" s="254" t="str">
        <f>IF(NeoPrtWerkbr!C38&lt;&gt;"zijlijn",NeoPrtWerkbr!A38,"")</f>
        <v/>
      </c>
      <c r="C21" s="254"/>
      <c r="D21" s="255" t="str">
        <f>NeoPrtWerkbr!C38</f>
        <v/>
      </c>
      <c r="E21" s="256"/>
      <c r="F21" s="257" t="str">
        <f>IF(NeoPrtWerkbr!E38&lt;&gt;"",IF(D21&lt;&gt;"lidocaine",IF(NeoPrtWerkbr!M40&lt;25,NeoPrtWerkbr!E38*2,NeoPrtWerkbr!E38),NeoPrtWerkbr!E38*1.5),"")</f>
        <v/>
      </c>
      <c r="G21" s="256" t="str">
        <f>NeoPrtWerkbr!F38</f>
        <v>mg</v>
      </c>
      <c r="H21" s="258" t="str">
        <f>NeoPrtWerkbr!G38</f>
        <v>(</v>
      </c>
      <c r="I21" s="256" t="str">
        <f>NeoPrtWerkbr!H38</f>
        <v/>
      </c>
      <c r="J21" s="256" t="str">
        <f>NeoPrtWerkbr!I38</f>
        <v>mg=</v>
      </c>
      <c r="K21" s="256" t="str">
        <f>NeoPrtWerkbr!J38</f>
        <v/>
      </c>
      <c r="L21" s="256" t="str">
        <f>NeoPrtWerkbr!K38</f>
        <v>ml)</v>
      </c>
      <c r="M21" s="256"/>
      <c r="N21" s="259" t="str">
        <f>IF(B21&lt;&gt;"",IF(B21&gt;0,TRUNC((K21/I21)*F21),0),"")</f>
        <v/>
      </c>
      <c r="O21" s="260" t="str">
        <f>IF(B21&lt;&gt;"",(IF(B21&gt;0,ROUND((K21/I21)*F21,2),0)-N21)*100,"")</f>
        <v/>
      </c>
      <c r="P21" s="162"/>
      <c r="Q21" s="162"/>
      <c r="R21" s="162"/>
    </row>
    <row r="22" spans="1:18" ht="15.75" x14ac:dyDescent="0.25">
      <c r="A22" s="253"/>
      <c r="B22" s="254"/>
      <c r="C22" s="254"/>
      <c r="D22" s="261" t="str">
        <f>NeoPrtWerkbr!C40</f>
        <v/>
      </c>
      <c r="E22" s="262"/>
      <c r="F22" s="262" t="str">
        <f>NeoPrtWerkbr!E40</f>
        <v/>
      </c>
      <c r="G22" s="262"/>
      <c r="H22" s="263"/>
      <c r="I22" s="262"/>
      <c r="J22" s="262" t="str">
        <f>NeoPrtWerkbr!I39</f>
        <v>in</v>
      </c>
      <c r="K22" s="264" t="str">
        <f>IF(AND(D21&lt;&gt;"Nepresol (dihydralazine)",D21&lt;&gt;"Flolan (epoprostenol)"),NeoPrtWerkbr!J39,"NaCl 0,9%")</f>
        <v/>
      </c>
      <c r="L22" s="262"/>
      <c r="M22" s="262"/>
      <c r="N22" s="265" t="str">
        <f>IF(B21&lt;&gt;"",TRUNC(IF(B21&gt;0,N23+O23/100-N21-O21/100,0)),"")</f>
        <v/>
      </c>
      <c r="O22" s="266" t="str">
        <f>IF(B21&lt;&gt;"",(IF(B21&gt;0,N23+O23/100-N21-O21/100,0)-N22)*100,"")</f>
        <v/>
      </c>
      <c r="P22" s="162"/>
      <c r="Q22" s="162"/>
      <c r="R22" s="162"/>
    </row>
    <row r="23" spans="1:18" ht="15.75" x14ac:dyDescent="0.25">
      <c r="A23" s="253"/>
      <c r="B23" s="254"/>
      <c r="C23" s="254"/>
      <c r="D23" s="267" t="s">
        <v>556</v>
      </c>
      <c r="E23" s="268"/>
      <c r="F23" s="269" t="str">
        <f>IF(D21&lt;&gt;"",INDEX(tbl_Neo_MedIV,NeoBerInfB!B24,2),"")</f>
        <v/>
      </c>
      <c r="G23" s="268"/>
      <c r="H23" s="296"/>
      <c r="I23" s="270"/>
      <c r="J23" s="270"/>
      <c r="K23" s="271" t="str">
        <f>NeoPrtWerkbr!J40</f>
        <v>Totaal</v>
      </c>
      <c r="L23" s="270"/>
      <c r="M23" s="270"/>
      <c r="N23" s="272" t="str">
        <f>IF(B21&lt;&gt;"",IF(D21&lt;&gt;"lidocaine",IF(_Neo_1700_Cont_OplHoev_5&lt;25,2*TRUNC(_Neo_1700_Cont_OplHoev_5),TRUNC(_Neo_1700_Cont_OplHoev_5)),TRUNC(_Neo_1700_Cont_OplHoev_5*1.5)),"")</f>
        <v/>
      </c>
      <c r="O23" s="273" t="str">
        <f>IF(B21&lt;&gt;"",IF(D21&lt;&gt;"lidocaine",IF(_Neo_1700_Cont_OplHoev_5&lt;25,(2*_Neo_1700_Cont_OplHoev_5-N23)*100,(_Neo_1700_Cont_OplHoev_5-N23)*100),1.5*_Neo_1700_Cont_OplHoev_5-N23),"")</f>
        <v/>
      </c>
      <c r="P23" s="162"/>
      <c r="Q23" s="162"/>
      <c r="R23" s="162"/>
    </row>
    <row r="24" spans="1:18" ht="9.9499999999999993" customHeight="1" x14ac:dyDescent="0.25">
      <c r="A24" s="253"/>
      <c r="B24" s="227"/>
      <c r="C24" s="227"/>
      <c r="D24" s="211"/>
      <c r="E24" s="211"/>
      <c r="F24" s="274"/>
      <c r="G24" s="211"/>
      <c r="H24" s="239"/>
      <c r="I24" s="211"/>
      <c r="J24" s="211"/>
      <c r="K24" s="212"/>
      <c r="L24" s="211"/>
      <c r="M24" s="211"/>
      <c r="N24" s="275"/>
      <c r="O24" s="276"/>
      <c r="P24" s="162"/>
      <c r="Q24" s="162"/>
      <c r="R24" s="162"/>
    </row>
    <row r="25" spans="1:18" ht="15.75" x14ac:dyDescent="0.25">
      <c r="A25" s="253">
        <v>6</v>
      </c>
      <c r="B25" s="277" t="str">
        <f>IF(NeoPrtWerkbr!C41&lt;&gt;"zijlijn",NeoPrtWerkbr!A41,"")</f>
        <v/>
      </c>
      <c r="C25" s="277"/>
      <c r="D25" s="190" t="str">
        <f>NeoPrtWerkbr!C41</f>
        <v/>
      </c>
      <c r="E25" s="191"/>
      <c r="F25" s="278" t="str">
        <f>IF(NeoPrtWerkbr!E41&lt;&gt;"",IF(D25&lt;&gt;"lidocaine",IF(NeoPrtWerkbr!M43&lt;25,NeoPrtWerkbr!E41*2,NeoPrtWerkbr!E41),NeoPrtWerkbr!E41*1.5),"")</f>
        <v/>
      </c>
      <c r="G25" s="191" t="str">
        <f>NeoPrtWerkbr!F41</f>
        <v>mg</v>
      </c>
      <c r="H25" s="279" t="str">
        <f>NeoPrtWerkbr!G41</f>
        <v>(</v>
      </c>
      <c r="I25" s="191" t="str">
        <f>NeoPrtWerkbr!H41</f>
        <v/>
      </c>
      <c r="J25" s="191" t="str">
        <f>NeoPrtWerkbr!I41</f>
        <v>mg=</v>
      </c>
      <c r="K25" s="191" t="str">
        <f>NeoPrtWerkbr!J41</f>
        <v/>
      </c>
      <c r="L25" s="191" t="str">
        <f>NeoPrtWerkbr!K41</f>
        <v>ml)</v>
      </c>
      <c r="M25" s="191"/>
      <c r="N25" s="280" t="str">
        <f>IF(B25&lt;&gt;"",IF(B25&gt;0,TRUNC((K25/I25)*F25),0),"")</f>
        <v/>
      </c>
      <c r="O25" s="281" t="str">
        <f>IF(B25&lt;&gt;"",(IF(B25&gt;0,ROUND((K25/I25)*F25,2),0)-N25)*100,"")</f>
        <v/>
      </c>
      <c r="P25" s="162"/>
      <c r="Q25" s="162"/>
      <c r="R25" s="162"/>
    </row>
    <row r="26" spans="1:18" ht="15.75" x14ac:dyDescent="0.25">
      <c r="A26" s="253"/>
      <c r="B26" s="277"/>
      <c r="C26" s="277"/>
      <c r="D26" s="282" t="str">
        <f>NeoPrtWerkbr!C43</f>
        <v/>
      </c>
      <c r="E26" s="162"/>
      <c r="F26" s="162" t="str">
        <f>NeoPrtWerkbr!E43</f>
        <v/>
      </c>
      <c r="G26" s="162"/>
      <c r="H26" s="283"/>
      <c r="I26" s="162"/>
      <c r="J26" s="162" t="str">
        <f>NeoPrtWerkbr!I42</f>
        <v>in</v>
      </c>
      <c r="K26" s="169" t="str">
        <f>IF(AND(D25&lt;&gt;"Nepresol (dihydralazine)",D25&lt;&gt;"Flolan (epoprostenol)"),NeoPrtWerkbr!J42,"NaCl 0,9%")</f>
        <v/>
      </c>
      <c r="L26" s="162"/>
      <c r="M26" s="162"/>
      <c r="N26" s="280" t="str">
        <f>IF(B25&lt;&gt;"",TRUNC(IF(B25&gt;0,N27+O27/100-N25-O25/100,0)),"")</f>
        <v/>
      </c>
      <c r="O26" s="281" t="str">
        <f>IF(B25&lt;&gt;"",(IF(B25&gt;0,N27+O27/100-N25-O25/100,0)-N26)*100,"")</f>
        <v/>
      </c>
      <c r="P26" s="162"/>
      <c r="Q26" s="162"/>
      <c r="R26" s="162"/>
    </row>
    <row r="27" spans="1:18" ht="15.75" x14ac:dyDescent="0.25">
      <c r="A27" s="253"/>
      <c r="B27" s="277"/>
      <c r="C27" s="277"/>
      <c r="D27" s="284" t="s">
        <v>556</v>
      </c>
      <c r="E27" s="285"/>
      <c r="F27" s="286" t="str">
        <f>IF(D25&lt;&gt;"",INDEX(tbl_Neo_MedIV,NeoBerInfB!B25,2),"")</f>
        <v/>
      </c>
      <c r="G27" s="285"/>
      <c r="H27" s="297"/>
      <c r="I27" s="288"/>
      <c r="J27" s="288"/>
      <c r="K27" s="289" t="str">
        <f>NeoPrtWerkbr!J43</f>
        <v>Totaal</v>
      </c>
      <c r="L27" s="288"/>
      <c r="M27" s="288"/>
      <c r="N27" s="290" t="str">
        <f>IF(B25&lt;&gt;"",IF(D25&lt;&gt;"lidocaine",IF(_Neo_1700_Cont_OplHoev_6&lt;25,2*TRUNC(_Neo_1700_Cont_OplHoev_6),TRUNC(_Neo_1700_Cont_OplHoev_6)),TRUNC(_Neo_1700_Cont_OplHoev_6*1.5)),"")</f>
        <v/>
      </c>
      <c r="O27" s="291" t="str">
        <f>IF(B25&lt;&gt;"",IF(D25&lt;&gt;"lidocaine",IF(_Neo_1700_Cont_OplHoev_6&lt;25,(2*_Neo_1700_Cont_OplHoev_6-N27)*100,(_Neo_1700_Cont_OplHoev_6-N27)*100),1.5*_Neo_1700_Cont_OplHoev_6-N27),"")</f>
        <v/>
      </c>
      <c r="P27" s="162"/>
      <c r="Q27" s="162"/>
      <c r="R27" s="162"/>
    </row>
    <row r="28" spans="1:18" ht="9.9499999999999993" customHeight="1" x14ac:dyDescent="0.25">
      <c r="A28" s="253"/>
      <c r="B28" s="292"/>
      <c r="C28" s="292"/>
      <c r="D28" s="191"/>
      <c r="E28" s="191"/>
      <c r="F28" s="293"/>
      <c r="G28" s="191"/>
      <c r="H28" s="279"/>
      <c r="I28" s="191"/>
      <c r="J28" s="191"/>
      <c r="K28" s="278"/>
      <c r="L28" s="191"/>
      <c r="M28" s="191"/>
      <c r="N28" s="294"/>
      <c r="O28" s="295"/>
      <c r="P28" s="162"/>
      <c r="Q28" s="162"/>
      <c r="R28" s="162"/>
    </row>
    <row r="29" spans="1:18" ht="15.75" x14ac:dyDescent="0.25">
      <c r="A29" s="253">
        <v>7</v>
      </c>
      <c r="B29" s="254" t="str">
        <f>IF(NeoPrtWerkbr!C44&lt;&gt;"zijlijn",NeoPrtWerkbr!A44,"")</f>
        <v/>
      </c>
      <c r="C29" s="254"/>
      <c r="D29" s="255" t="str">
        <f>NeoPrtWerkbr!C44</f>
        <v/>
      </c>
      <c r="E29" s="256"/>
      <c r="F29" s="257" t="str">
        <f>IF(NeoPrtWerkbr!E44&lt;&gt;"",IF(D29&lt;&gt;"lidocaine",IF(NeoPrtWerkbr!M46&lt;25,NeoPrtWerkbr!E44*2,NeoPrtWerkbr!E44),NeoPrtWerkbr!E44*1.5),"")</f>
        <v/>
      </c>
      <c r="G29" s="256" t="str">
        <f>NeoPrtWerkbr!F44</f>
        <v>mg</v>
      </c>
      <c r="H29" s="258" t="str">
        <f>NeoPrtWerkbr!G44</f>
        <v>(</v>
      </c>
      <c r="I29" s="256" t="str">
        <f>NeoPrtWerkbr!H44</f>
        <v/>
      </c>
      <c r="J29" s="256" t="str">
        <f>NeoPrtWerkbr!I44</f>
        <v>mg=</v>
      </c>
      <c r="K29" s="256" t="str">
        <f>NeoPrtWerkbr!J44</f>
        <v/>
      </c>
      <c r="L29" s="256" t="str">
        <f>NeoPrtWerkbr!K44</f>
        <v>ml)</v>
      </c>
      <c r="M29" s="256"/>
      <c r="N29" s="259" t="str">
        <f>IF(B29&lt;&gt;"",IF(B29&gt;0,TRUNC((K29/I29)*F29),0),"")</f>
        <v/>
      </c>
      <c r="O29" s="260" t="str">
        <f>IF(B29&lt;&gt;"",(IF(B29&gt;0,ROUND((K29/I29)*F29,2),0)-N29)*100,"")</f>
        <v/>
      </c>
      <c r="P29" s="162"/>
      <c r="Q29" s="162"/>
      <c r="R29" s="162"/>
    </row>
    <row r="30" spans="1:18" ht="15.75" x14ac:dyDescent="0.25">
      <c r="A30" s="253"/>
      <c r="B30" s="254"/>
      <c r="C30" s="254"/>
      <c r="D30" s="261" t="str">
        <f>NeoPrtWerkbr!C46</f>
        <v/>
      </c>
      <c r="E30" s="262"/>
      <c r="F30" s="262" t="str">
        <f>NeoPrtWerkbr!E46</f>
        <v/>
      </c>
      <c r="G30" s="262"/>
      <c r="H30" s="263"/>
      <c r="I30" s="262"/>
      <c r="J30" s="262" t="str">
        <f>NeoPrtWerkbr!I45</f>
        <v>in</v>
      </c>
      <c r="K30" s="264" t="str">
        <f>IF(AND(D29&lt;&gt;"Nepresol (dihydralazine)",D29&lt;&gt;"Flolan (epoprostenol)"),NeoPrtWerkbr!J45,"NaCl 0,9%")</f>
        <v/>
      </c>
      <c r="L30" s="262"/>
      <c r="M30" s="262"/>
      <c r="N30" s="265" t="str">
        <f>IF(B29&lt;&gt;"",TRUNC(IF(B29&gt;0,N31+O31/100-N29-O29/100,0)),"")</f>
        <v/>
      </c>
      <c r="O30" s="266" t="str">
        <f>IF(B29&lt;&gt;"",(IF(B29&gt;0,N31+O31/100-N29-O29/100,0)-N30)*100,"")</f>
        <v/>
      </c>
      <c r="P30" s="162"/>
      <c r="Q30" s="162"/>
      <c r="R30" s="162"/>
    </row>
    <row r="31" spans="1:18" ht="15.75" x14ac:dyDescent="0.25">
      <c r="A31" s="253"/>
      <c r="B31" s="254"/>
      <c r="C31" s="254"/>
      <c r="D31" s="267" t="s">
        <v>556</v>
      </c>
      <c r="E31" s="268"/>
      <c r="F31" s="268" t="str">
        <f>IF(D29&lt;&gt;"",INDEX(tbl_Neo_MedIV,NeoBerInfB!B26,2),"")</f>
        <v/>
      </c>
      <c r="G31" s="268"/>
      <c r="H31" s="270"/>
      <c r="I31" s="270"/>
      <c r="J31" s="270"/>
      <c r="K31" s="271" t="str">
        <f>NeoPrtWerkbr!J46</f>
        <v>Totaal</v>
      </c>
      <c r="L31" s="270"/>
      <c r="M31" s="270"/>
      <c r="N31" s="272" t="str">
        <f>IF(B29&lt;&gt;"",IF(D29&lt;&gt;"lidocaine",IF(_Neo_1700_Cont_OplHoev_7&lt;25,2*TRUNC(_Neo_1700_Cont_OplHoev_7),TRUNC(_Neo_1700_Cont_OplHoev_7)),TRUNC(_Neo_1700_Cont_OplHoev_7*1.5)),"")</f>
        <v/>
      </c>
      <c r="O31" s="273" t="str">
        <f>IF(B29&lt;&gt;"",IF(D29&lt;&gt;"lidocaine",IF(_Neo_1700_Cont_OplHoev_7&lt;25,(2*_Neo_1700_Cont_OplHoev_7-N31)*100,(_Neo_1700_Cont_OplHoev_7-N31)*100),1.5*_Neo_1700_Cont_OplHoev_7-N31),"")</f>
        <v/>
      </c>
      <c r="P31" s="162"/>
      <c r="Q31" s="162"/>
      <c r="R31" s="162"/>
    </row>
    <row r="32" spans="1:18" ht="9.9499999999999993" customHeight="1" x14ac:dyDescent="0.25">
      <c r="A32" s="253"/>
      <c r="B32" s="227"/>
      <c r="C32" s="227"/>
      <c r="D32" s="211"/>
      <c r="E32" s="211"/>
      <c r="F32" s="211"/>
      <c r="G32" s="211"/>
      <c r="H32" s="211"/>
      <c r="I32" s="211"/>
      <c r="J32" s="211"/>
      <c r="K32" s="212"/>
      <c r="L32" s="211"/>
      <c r="M32" s="211"/>
      <c r="N32" s="275"/>
      <c r="O32" s="276"/>
      <c r="P32" s="162"/>
      <c r="Q32" s="162"/>
      <c r="R32" s="162"/>
    </row>
    <row r="33" spans="1:18" ht="15.75" x14ac:dyDescent="0.25">
      <c r="A33" s="253">
        <v>8</v>
      </c>
      <c r="B33" s="277" t="str">
        <f>IF(NeoPrtWerkbr!C47&lt;&gt;"zijlijn",NeoPrtWerkbr!A47,"")</f>
        <v/>
      </c>
      <c r="C33" s="277"/>
      <c r="D33" s="190" t="str">
        <f>NeoPrtWerkbr!C47</f>
        <v/>
      </c>
      <c r="E33" s="191"/>
      <c r="F33" s="278" t="str">
        <f>IF(NeoPrtWerkbr!E47&lt;&gt;"",IF(D33&lt;&gt;"lidocaine",IF(NeoPrtWerkbr!M49&lt;25,NeoPrtWerkbr!E47*2,NeoPrtWerkbr!E47),NeoPrtWerkbr!E47*1.5),"")</f>
        <v/>
      </c>
      <c r="G33" s="191" t="str">
        <f>NeoPrtWerkbr!F47</f>
        <v>mg</v>
      </c>
      <c r="H33" s="279" t="str">
        <f>NeoPrtWerkbr!G47</f>
        <v>(</v>
      </c>
      <c r="I33" s="191" t="str">
        <f>NeoPrtWerkbr!H47</f>
        <v/>
      </c>
      <c r="J33" s="191" t="str">
        <f>NeoPrtWerkbr!I47</f>
        <v>mg=</v>
      </c>
      <c r="K33" s="191" t="str">
        <f>NeoPrtWerkbr!J47</f>
        <v/>
      </c>
      <c r="L33" s="191" t="str">
        <f>NeoPrtWerkbr!K47</f>
        <v>ml)</v>
      </c>
      <c r="M33" s="191"/>
      <c r="N33" s="280" t="str">
        <f>IF(B33&lt;&gt;"",IF(B33&gt;0,TRUNC((K33/I33)*F33),0),"")</f>
        <v/>
      </c>
      <c r="O33" s="281" t="str">
        <f>IF(B33&lt;&gt;"",(IF(B33&gt;0,ROUND((K33/I33)*F33,2),0)-N33)*100,"")</f>
        <v/>
      </c>
      <c r="P33" s="162"/>
      <c r="Q33" s="162"/>
      <c r="R33" s="162"/>
    </row>
    <row r="34" spans="1:18" ht="15.75" x14ac:dyDescent="0.25">
      <c r="A34" s="253"/>
      <c r="B34" s="277"/>
      <c r="C34" s="277"/>
      <c r="D34" s="282" t="str">
        <f>NeoPrtWerkbr!C49</f>
        <v/>
      </c>
      <c r="E34" s="162"/>
      <c r="F34" s="162" t="str">
        <f>NeoPrtWerkbr!E49</f>
        <v/>
      </c>
      <c r="G34" s="162"/>
      <c r="H34" s="283"/>
      <c r="I34" s="162"/>
      <c r="J34" s="162" t="str">
        <f>NeoPrtWerkbr!I48</f>
        <v>in</v>
      </c>
      <c r="K34" s="169" t="str">
        <f>IF(AND(D33&lt;&gt;"Nepresol (dihydralazine)",D33&lt;&gt;"Flolan (epoprostenol)"),NeoPrtWerkbr!J48,"NaCl 0,9%")</f>
        <v/>
      </c>
      <c r="L34" s="162"/>
      <c r="M34" s="162"/>
      <c r="N34" s="280" t="str">
        <f>IF(B33&lt;&gt;"",TRUNC(IF(B33&gt;0,N35+O35/100-N33-O33/100,0)),"")</f>
        <v/>
      </c>
      <c r="O34" s="281" t="str">
        <f>IF(B33&lt;&gt;"",(IF(B33&gt;0,N35+O35/100-N33-O33/100,0)-N34)*100,"")</f>
        <v/>
      </c>
      <c r="P34" s="162"/>
      <c r="Q34" s="162"/>
      <c r="R34" s="162"/>
    </row>
    <row r="35" spans="1:18" ht="15.75" x14ac:dyDescent="0.25">
      <c r="A35" s="253"/>
      <c r="B35" s="277"/>
      <c r="C35" s="277"/>
      <c r="D35" s="284" t="s">
        <v>556</v>
      </c>
      <c r="E35" s="285"/>
      <c r="F35" s="285" t="str">
        <f>IF(D33&lt;&gt;"",INDEX(tbl_Neo_MedIV,NeoBerInfB!B27,2),"")</f>
        <v/>
      </c>
      <c r="G35" s="285"/>
      <c r="H35" s="288"/>
      <c r="I35" s="288"/>
      <c r="J35" s="288"/>
      <c r="K35" s="289" t="str">
        <f>NeoPrtWerkbr!J49</f>
        <v>Totaal</v>
      </c>
      <c r="L35" s="288"/>
      <c r="M35" s="288"/>
      <c r="N35" s="290" t="str">
        <f>IF(B33&lt;&gt;"",IF(D33&lt;&gt;"lidocaine",IF(_Neo_1700_Cont_OplHoev_8&lt;25,2*TRUNC(_Neo_1700_Cont_OplHoev_8),TRUNC(_Neo_1700_Cont_OplHoev_8)),TRUNC(_Neo_1700_Cont_OplHoev_8*1.5)),"")</f>
        <v/>
      </c>
      <c r="O35" s="291" t="str">
        <f>IF(B33&lt;&gt;"",IF(D33&lt;&gt;"lidocaine",IF(_Neo_1700_Cont_OplHoev_8&lt;25,(2*_Neo_1700_Cont_OplHoev_8-N35)*100,(_Neo_1700_Cont_OplHoev_8-N35)*100),1.5*_Neo_1700_Cont_OplHoev_8-N35),"")</f>
        <v/>
      </c>
      <c r="P35" s="162"/>
      <c r="Q35" s="162"/>
      <c r="R35" s="162"/>
    </row>
    <row r="36" spans="1:18" ht="9.9499999999999993" customHeight="1" x14ac:dyDescent="0.25">
      <c r="A36" s="253"/>
      <c r="B36" s="292"/>
      <c r="C36" s="292"/>
      <c r="D36" s="191"/>
      <c r="E36" s="191"/>
      <c r="F36" s="191"/>
      <c r="G36" s="191"/>
      <c r="H36" s="191"/>
      <c r="I36" s="191"/>
      <c r="J36" s="191"/>
      <c r="K36" s="278"/>
      <c r="L36" s="191"/>
      <c r="M36" s="191"/>
      <c r="N36" s="294"/>
      <c r="O36" s="295"/>
      <c r="P36" s="162"/>
      <c r="Q36" s="162"/>
      <c r="R36" s="162"/>
    </row>
    <row r="37" spans="1:18" ht="15.75" x14ac:dyDescent="0.25">
      <c r="A37" s="253">
        <v>9</v>
      </c>
      <c r="B37" s="254" t="str">
        <f>IF(NeoPrtWerkbr!C50&lt;&gt;"zijlijn",NeoPrtWerkbr!A50,"")</f>
        <v/>
      </c>
      <c r="C37" s="254"/>
      <c r="D37" s="255" t="str">
        <f>NeoPrtWerkbr!C50</f>
        <v/>
      </c>
      <c r="E37" s="256"/>
      <c r="F37" s="257" t="str">
        <f>IF(NeoPrtWerkbr!E50&lt;&gt;"",IF(D37&lt;&gt;"lidocaine",IF(NeoPrtWerkbr!M52&lt;25,NeoPrtWerkbr!E50*2,NeoPrtWerkbr!E50),NeoPrtWerkbr!E50*1.5),"")</f>
        <v/>
      </c>
      <c r="G37" s="256" t="str">
        <f>NeoPrtWerkbr!F50</f>
        <v>mg</v>
      </c>
      <c r="H37" s="258" t="str">
        <f>NeoPrtWerkbr!G50</f>
        <v>(</v>
      </c>
      <c r="I37" s="256" t="str">
        <f>NeoPrtWerkbr!H50</f>
        <v/>
      </c>
      <c r="J37" s="256" t="str">
        <f>NeoPrtWerkbr!I50</f>
        <v>mg=</v>
      </c>
      <c r="K37" s="256" t="str">
        <f>NeoPrtWerkbr!J50</f>
        <v/>
      </c>
      <c r="L37" s="256" t="str">
        <f>NeoPrtWerkbr!K50</f>
        <v>ml)</v>
      </c>
      <c r="M37" s="256"/>
      <c r="N37" s="259" t="str">
        <f>IF(B37&lt;&gt;"",IF(B37&gt;0,TRUNC((K37/I37)*F37),0),"")</f>
        <v/>
      </c>
      <c r="O37" s="260" t="str">
        <f>IF(B37&lt;&gt;"",(IF(B37&gt;0,ROUND((K37/I37)*F37,2),0)-N37)*100,"")</f>
        <v/>
      </c>
      <c r="P37" s="162"/>
      <c r="Q37" s="162"/>
      <c r="R37" s="162"/>
    </row>
    <row r="38" spans="1:18" ht="15.75" x14ac:dyDescent="0.25">
      <c r="A38" s="253"/>
      <c r="B38" s="254"/>
      <c r="C38" s="254"/>
      <c r="D38" s="261" t="str">
        <f>NeoPrtWerkbr!C52</f>
        <v/>
      </c>
      <c r="E38" s="262"/>
      <c r="F38" s="262" t="str">
        <f>NeoPrtWerkbr!E52</f>
        <v/>
      </c>
      <c r="G38" s="262"/>
      <c r="H38" s="263"/>
      <c r="I38" s="262"/>
      <c r="J38" s="262" t="str">
        <f>NeoPrtWerkbr!I51</f>
        <v>in</v>
      </c>
      <c r="K38" s="264" t="str">
        <f>IF(AND(D37&lt;&gt;"Nepresol (dihydralazine)",D37&lt;&gt;"Flolan (epoprostenol)"),NeoPrtWerkbr!J51,"NaCl 0,9%")</f>
        <v/>
      </c>
      <c r="L38" s="262"/>
      <c r="M38" s="262"/>
      <c r="N38" s="265" t="str">
        <f>IF(B37&lt;&gt;"",TRUNC(IF(B37&gt;0,N39+O39/100-N37-O37/100,0)),"")</f>
        <v/>
      </c>
      <c r="O38" s="266" t="str">
        <f>IF(B37&lt;&gt;"",(IF(B37&gt;0,N39+O39/100-N37-O37/100,0)-N38)*100,"")</f>
        <v/>
      </c>
      <c r="P38" s="162"/>
      <c r="Q38" s="162"/>
      <c r="R38" s="162"/>
    </row>
    <row r="39" spans="1:18" ht="15.75" x14ac:dyDescent="0.25">
      <c r="A39" s="253"/>
      <c r="B39" s="254"/>
      <c r="C39" s="254"/>
      <c r="D39" s="267" t="s">
        <v>556</v>
      </c>
      <c r="E39" s="268"/>
      <c r="F39" s="268" t="str">
        <f>IF(D37&lt;&gt;"",INDEX(tbl_Neo_MedIV,NeoBerInfB!B28,2),"")</f>
        <v/>
      </c>
      <c r="G39" s="268"/>
      <c r="H39" s="270"/>
      <c r="I39" s="270"/>
      <c r="J39" s="270"/>
      <c r="K39" s="271" t="str">
        <f>NeoPrtWerkbr!J52</f>
        <v>Totaal</v>
      </c>
      <c r="L39" s="270"/>
      <c r="M39" s="270"/>
      <c r="N39" s="272" t="str">
        <f>IF(B37&lt;&gt;"",IF(D37&lt;&gt;"lidocaine",IF(_Neo_1700_Cont_OplHoev_9&lt;25,2*TRUNC(_Neo_1700_Cont_OplHoev_9),TRUNC(_Neo_1700_Cont_OplHoev_9)),TRUNC(_Neo_1700_Cont_OplHoev_9*1.5)),"")</f>
        <v/>
      </c>
      <c r="O39" s="273" t="str">
        <f>IF(B37&lt;&gt;"",IF(D37&lt;&gt;"lidocaine",IF(_Neo_1700_Cont_OplHoev_9&lt;25,(2*_Neo_1700_Cont_OplHoev_9-N39)*100,(_Neo_1700_Cont_OplHoev_9-N39)*100),1.5*_Neo_1700_Cont_OplHoev_9-N39),"")</f>
        <v/>
      </c>
      <c r="P39" s="162"/>
      <c r="Q39" s="162"/>
      <c r="R39" s="162"/>
    </row>
    <row r="40" spans="1:18" ht="9.75" customHeight="1" x14ac:dyDescent="0.2">
      <c r="A40" s="253"/>
      <c r="D40" s="162"/>
      <c r="E40" s="162"/>
      <c r="F40" s="162"/>
      <c r="G40" s="162"/>
      <c r="H40" s="162"/>
      <c r="I40" s="162"/>
      <c r="J40" s="162"/>
      <c r="K40" s="162"/>
      <c r="L40" s="162"/>
      <c r="M40" s="162"/>
      <c r="N40" s="283"/>
      <c r="O40" s="298"/>
      <c r="P40" s="162"/>
      <c r="Q40" s="162"/>
      <c r="R40" s="162"/>
    </row>
    <row r="41" spans="1:18" ht="14.25" x14ac:dyDescent="0.2">
      <c r="A41" s="253">
        <v>10</v>
      </c>
      <c r="B41" s="193" t="str">
        <f>NeoPrtAfspr!B45</f>
        <v/>
      </c>
      <c r="C41" s="195"/>
      <c r="D41" s="299"/>
      <c r="E41" s="195"/>
      <c r="F41" s="195"/>
      <c r="G41" s="195"/>
      <c r="H41" s="298"/>
      <c r="I41" s="195"/>
      <c r="J41" s="195"/>
      <c r="K41" s="195"/>
      <c r="L41" s="195"/>
      <c r="M41" s="195"/>
      <c r="N41" s="298"/>
      <c r="O41" s="300"/>
      <c r="P41" s="162"/>
      <c r="Q41" s="162"/>
      <c r="R41" s="162"/>
    </row>
    <row r="42" spans="1:18" ht="14.25" x14ac:dyDescent="0.2">
      <c r="A42" s="253">
        <v>11</v>
      </c>
      <c r="B42" s="193" t="str">
        <f>NeoPrtAfspr!B46</f>
        <v/>
      </c>
      <c r="C42" s="195"/>
      <c r="D42" s="299"/>
      <c r="E42" s="195"/>
      <c r="F42" s="195"/>
      <c r="G42" s="195"/>
      <c r="H42" s="298"/>
      <c r="I42" s="195"/>
      <c r="J42" s="195"/>
      <c r="K42" s="195"/>
      <c r="L42" s="195"/>
      <c r="M42" s="195"/>
      <c r="N42" s="298"/>
      <c r="O42" s="300"/>
      <c r="P42" s="162"/>
      <c r="Q42" s="162"/>
      <c r="R42" s="162"/>
    </row>
    <row r="43" spans="1:18" ht="14.25" x14ac:dyDescent="0.2">
      <c r="A43" s="253">
        <v>12</v>
      </c>
      <c r="B43" s="193">
        <f>NeoPrtAfspr!B47</f>
        <v>0</v>
      </c>
      <c r="C43" s="195"/>
      <c r="D43" s="299"/>
      <c r="E43" s="195"/>
      <c r="F43" s="195"/>
      <c r="G43" s="195"/>
      <c r="H43" s="298"/>
      <c r="I43" s="195"/>
      <c r="J43" s="195"/>
      <c r="K43" s="195"/>
      <c r="L43" s="195"/>
      <c r="M43" s="195"/>
      <c r="N43" s="298"/>
      <c r="O43" s="300"/>
      <c r="P43" s="162"/>
      <c r="Q43" s="162"/>
      <c r="R43" s="162"/>
    </row>
    <row r="44" spans="1:18" x14ac:dyDescent="0.2">
      <c r="B44" s="162"/>
      <c r="C44" s="162"/>
      <c r="D44" s="168"/>
      <c r="E44" s="162"/>
      <c r="F44" s="162"/>
      <c r="G44" s="162"/>
      <c r="H44" s="283"/>
      <c r="I44" s="162"/>
      <c r="J44" s="162"/>
      <c r="K44" s="162"/>
      <c r="L44" s="162"/>
      <c r="M44" s="162"/>
      <c r="N44" s="283"/>
      <c r="O44" s="283"/>
      <c r="P44" s="162"/>
      <c r="Q44" s="162"/>
      <c r="R44" s="162"/>
    </row>
    <row r="45" spans="1:18" x14ac:dyDescent="0.2">
      <c r="B45" s="162"/>
      <c r="C45" s="162"/>
      <c r="D45" s="168"/>
      <c r="E45" s="162"/>
      <c r="F45" s="162"/>
      <c r="G45" s="162"/>
      <c r="H45" s="283"/>
      <c r="I45" s="162"/>
      <c r="J45" s="162"/>
      <c r="K45" s="162"/>
      <c r="L45" s="162"/>
      <c r="M45" s="162"/>
      <c r="N45" s="283"/>
      <c r="O45" s="283"/>
      <c r="P45" s="162"/>
      <c r="Q45" s="162"/>
      <c r="R45" s="162"/>
    </row>
    <row r="47" spans="1:18" s="203" customFormat="1" ht="9.75" customHeight="1" x14ac:dyDescent="0.2">
      <c r="A47" s="966">
        <f ca="1">TODAY()</f>
        <v>42750</v>
      </c>
      <c r="B47" s="966"/>
      <c r="C47" s="203" t="str">
        <f>"Bed "&amp;__1_Bed</f>
        <v xml:space="preserve">Bed </v>
      </c>
      <c r="E47" s="203">
        <v>1</v>
      </c>
      <c r="G47" s="966">
        <f ca="1">TODAY()</f>
        <v>42750</v>
      </c>
      <c r="H47" s="966"/>
      <c r="I47" s="203" t="str">
        <f>"Bed "&amp;__1_Bed</f>
        <v xml:space="preserve">Bed </v>
      </c>
      <c r="K47" s="203">
        <v>2</v>
      </c>
      <c r="M47" s="966">
        <f ca="1">TODAY()</f>
        <v>42750</v>
      </c>
      <c r="N47" s="967"/>
      <c r="O47" s="203" t="str">
        <f>"Bed "&amp;__1_Bed</f>
        <v xml:space="preserve">Bed </v>
      </c>
      <c r="Q47" s="203">
        <v>3</v>
      </c>
    </row>
    <row r="48" spans="1:18" ht="9.9499999999999993" customHeight="1" x14ac:dyDescent="0.2">
      <c r="A48" s="301" t="str">
        <f>IF(D5&lt;&gt;"",__3_VoorNaam&amp;" "&amp;__2_AchterNaam,"")</f>
        <v/>
      </c>
      <c r="B48" s="203"/>
      <c r="C48" s="203"/>
      <c r="E48" s="203"/>
      <c r="F48" s="203"/>
      <c r="G48" s="301" t="str">
        <f>IF(D9&lt;&gt;"",__3_VoorNaam&amp;" "&amp;__2_AchterNaam,"")</f>
        <v/>
      </c>
      <c r="H48" s="203"/>
      <c r="I48" s="203"/>
      <c r="J48" s="203"/>
      <c r="K48" s="203"/>
      <c r="L48" s="203"/>
      <c r="M48" s="301" t="str">
        <f>IF(D13&lt;&gt;"",__3_VoorNaam&amp;" "&amp;__2_AchterNaam,"")</f>
        <v/>
      </c>
      <c r="N48" s="203"/>
      <c r="O48" s="203"/>
      <c r="P48" s="203"/>
      <c r="Q48" s="203"/>
    </row>
    <row r="49" spans="1:18" ht="9.9499999999999993" customHeight="1" x14ac:dyDescent="0.2">
      <c r="A49" s="203" t="str">
        <f>IF(D5&lt;&gt;"",D5&amp;" "&amp;NeoPrtWerkbr!E26&amp;" "&amp;G5,"")</f>
        <v/>
      </c>
      <c r="B49" s="203"/>
      <c r="C49" s="203"/>
      <c r="E49" s="203"/>
      <c r="F49" s="203"/>
      <c r="G49" s="203" t="str">
        <f>IF(D9&lt;&gt;"",D9&amp;" "&amp;NeoPrtWerkbr!E29&amp;" "&amp;G9,"")</f>
        <v/>
      </c>
      <c r="H49" s="203"/>
      <c r="I49" s="203"/>
      <c r="K49" s="203"/>
      <c r="L49" s="203"/>
      <c r="M49" s="203" t="str">
        <f>IF(D13&lt;&gt;"",D13&amp;" "&amp;NeoPrtWerkbr!E32&amp;" "&amp;G13,"")</f>
        <v/>
      </c>
      <c r="N49" s="203"/>
      <c r="O49" s="203"/>
      <c r="Q49" s="203"/>
    </row>
    <row r="50" spans="1:18" ht="9.9499999999999993" customHeight="1" x14ac:dyDescent="0.2">
      <c r="A50" s="302" t="str">
        <f>NeoPrtAfspr!G33&amp;" "&amp;K6</f>
        <v xml:space="preserve"> </v>
      </c>
      <c r="B50" s="302"/>
      <c r="C50" s="302"/>
      <c r="D50" s="203" t="str">
        <f>IF(_Neo_1700_Cont_OplHoev_1&gt;0,"("&amp;N7-_Neo_1700_Cont_OplHoev_1&amp;" ml extra)","")</f>
        <v/>
      </c>
      <c r="E50" s="302"/>
      <c r="F50" s="203"/>
      <c r="G50" s="203" t="str">
        <f>NeoPrtAfspr!G34&amp;" "&amp;K10</f>
        <v xml:space="preserve"> </v>
      </c>
      <c r="H50" s="203"/>
      <c r="I50" s="203"/>
      <c r="J50" s="203" t="str">
        <f>IF(_Neo_1700_Cont_OplHoev_2&gt;0,"("&amp;N11-_Neo_1700_Cont_OplHoev_2&amp;" ml extra)","")</f>
        <v/>
      </c>
      <c r="K50" s="203"/>
      <c r="L50" s="203"/>
      <c r="M50" s="203" t="str">
        <f>NeoPrtAfspr!G35&amp;" "&amp;K14</f>
        <v xml:space="preserve"> </v>
      </c>
      <c r="N50" s="203"/>
      <c r="O50" s="203"/>
      <c r="P50" s="203" t="str">
        <f>IF(_Neo_1700_Cont_OplHoev_3&gt;0,"("&amp;N15-_Neo_1700_Cont_OplHoev_3&amp;" ml extra)","")</f>
        <v/>
      </c>
      <c r="Q50" s="203"/>
    </row>
    <row r="51" spans="1:18" ht="9.9499999999999993" customHeight="1" x14ac:dyDescent="0.2">
      <c r="A51" s="203" t="str">
        <f>IF(D6&lt;&gt;"",D6,"")</f>
        <v/>
      </c>
      <c r="B51" s="203"/>
      <c r="C51" s="203" t="str">
        <f>F6</f>
        <v/>
      </c>
      <c r="D51" s="203"/>
      <c r="E51" s="203"/>
      <c r="F51" s="203"/>
      <c r="G51" s="203" t="str">
        <f>IF(D10&lt;&gt;"",D10,"")</f>
        <v/>
      </c>
      <c r="H51" s="203"/>
      <c r="I51" s="203" t="str">
        <f>IF(F10&lt;&gt;"",F10,"")</f>
        <v/>
      </c>
      <c r="J51" s="203"/>
      <c r="K51" s="203"/>
      <c r="L51" s="203"/>
      <c r="M51" s="203" t="str">
        <f>IF(D14&lt;&gt;"",$D$14,"")</f>
        <v/>
      </c>
      <c r="N51" s="203"/>
      <c r="O51" s="203" t="str">
        <f>IF(F14&lt;&gt;"",$F$14,"")</f>
        <v/>
      </c>
      <c r="P51" s="203"/>
      <c r="Q51" s="203"/>
    </row>
    <row r="52" spans="1:18" ht="9.9499999999999993" customHeight="1" x14ac:dyDescent="0.2">
      <c r="A52" s="203"/>
      <c r="B52" s="203"/>
      <c r="D52" s="203" t="str">
        <f>"Exp: "</f>
        <v xml:space="preserve">Exp: </v>
      </c>
      <c r="E52" s="966">
        <f ca="1">TODAY()+1</f>
        <v>42751</v>
      </c>
      <c r="F52" s="966"/>
      <c r="G52" s="203"/>
      <c r="H52" s="203"/>
      <c r="I52" s="203"/>
      <c r="J52" s="203" t="str">
        <f>"Exp: "</f>
        <v xml:space="preserve">Exp: </v>
      </c>
      <c r="K52" s="966">
        <f ca="1">TODAY()+1</f>
        <v>42751</v>
      </c>
      <c r="L52" s="966"/>
      <c r="M52" s="203"/>
      <c r="N52" s="203"/>
      <c r="O52" s="203"/>
      <c r="P52" s="203" t="str">
        <f>"Exp: "</f>
        <v xml:space="preserve">Exp: </v>
      </c>
      <c r="Q52" s="966">
        <f ca="1">TODAY()+1</f>
        <v>42751</v>
      </c>
      <c r="R52" s="966"/>
    </row>
    <row r="53" spans="1:18" ht="9.9499999999999993" customHeight="1" x14ac:dyDescent="0.2"/>
    <row r="54" spans="1:18" ht="9.9499999999999993" customHeight="1" x14ac:dyDescent="0.2">
      <c r="A54" s="203"/>
      <c r="B54" s="203"/>
      <c r="C54" s="203"/>
      <c r="D54" s="203"/>
      <c r="E54" s="203"/>
      <c r="F54" s="203"/>
      <c r="G54" s="203"/>
      <c r="H54" s="203"/>
      <c r="I54" s="203"/>
      <c r="J54" s="203"/>
      <c r="K54" s="203"/>
      <c r="L54" s="203"/>
      <c r="M54" s="203"/>
      <c r="N54" s="203"/>
      <c r="O54" s="203"/>
      <c r="P54" s="203"/>
      <c r="Q54" s="203"/>
    </row>
    <row r="55" spans="1:18" ht="9.9499999999999993" customHeight="1" x14ac:dyDescent="0.2">
      <c r="A55" s="203"/>
      <c r="B55" s="203"/>
      <c r="C55" s="203"/>
      <c r="D55" s="203"/>
      <c r="E55" s="203"/>
      <c r="F55" s="203"/>
      <c r="G55" s="203"/>
      <c r="H55" s="203"/>
      <c r="I55" s="203"/>
      <c r="J55" s="203"/>
      <c r="K55" s="203"/>
      <c r="L55" s="203"/>
      <c r="M55" s="203"/>
      <c r="N55" s="203"/>
      <c r="O55" s="203"/>
      <c r="P55" s="203"/>
      <c r="Q55" s="203"/>
    </row>
    <row r="56" spans="1:18" ht="9.9499999999999993" customHeight="1" x14ac:dyDescent="0.2">
      <c r="A56" s="203"/>
      <c r="B56" s="203"/>
      <c r="C56" s="203"/>
      <c r="D56" s="203"/>
      <c r="E56" s="203"/>
      <c r="F56" s="203"/>
      <c r="G56" s="203"/>
      <c r="H56" s="203"/>
      <c r="I56" s="203"/>
      <c r="J56" s="203"/>
      <c r="K56" s="203"/>
      <c r="L56" s="203"/>
      <c r="M56" s="203"/>
      <c r="N56" s="203"/>
      <c r="O56" s="203"/>
      <c r="P56" s="203"/>
      <c r="Q56" s="203"/>
    </row>
    <row r="57" spans="1:18" ht="15.75" customHeight="1" x14ac:dyDescent="0.2">
      <c r="A57" s="203"/>
      <c r="B57" s="203"/>
      <c r="C57" s="203"/>
      <c r="D57" s="203"/>
      <c r="E57" s="203"/>
      <c r="F57" s="203"/>
      <c r="G57" s="203"/>
      <c r="H57" s="203"/>
      <c r="I57" s="203"/>
      <c r="J57" s="203"/>
      <c r="K57" s="203"/>
      <c r="L57" s="203"/>
      <c r="M57" s="203"/>
      <c r="N57" s="203"/>
      <c r="O57" s="203"/>
      <c r="P57" s="203"/>
      <c r="Q57" s="203"/>
    </row>
    <row r="58" spans="1:18" ht="9.75" customHeight="1" x14ac:dyDescent="0.2">
      <c r="A58" s="966">
        <f ca="1">TODAY()</f>
        <v>42750</v>
      </c>
      <c r="B58" s="967"/>
      <c r="C58" s="203" t="str">
        <f>"Bed "&amp;__1_Bed</f>
        <v xml:space="preserve">Bed </v>
      </c>
      <c r="D58" s="203"/>
      <c r="E58" s="203">
        <v>4</v>
      </c>
      <c r="F58" s="203"/>
      <c r="G58" s="966">
        <f ca="1">TODAY()</f>
        <v>42750</v>
      </c>
      <c r="H58" s="967"/>
      <c r="I58" s="203" t="str">
        <f>"Bed "&amp;__1_Bed</f>
        <v xml:space="preserve">Bed </v>
      </c>
      <c r="J58" s="203"/>
      <c r="K58" s="203">
        <v>5</v>
      </c>
      <c r="L58" s="203"/>
      <c r="M58" s="966">
        <f ca="1">TODAY()</f>
        <v>42750</v>
      </c>
      <c r="N58" s="967"/>
      <c r="O58" s="203" t="str">
        <f>"Bed "&amp;__1_Bed</f>
        <v xml:space="preserve">Bed </v>
      </c>
      <c r="P58" s="203"/>
      <c r="Q58" s="203">
        <v>6</v>
      </c>
    </row>
    <row r="59" spans="1:18" ht="9.9499999999999993" customHeight="1" x14ac:dyDescent="0.2">
      <c r="A59" s="301" t="str">
        <f>IF(D17&lt;&gt;"",__3_VoorNaam&amp;" "&amp;__2_AchterNaam,"")</f>
        <v/>
      </c>
      <c r="B59" s="203"/>
      <c r="C59" s="203"/>
      <c r="D59" s="203"/>
      <c r="E59" s="203"/>
      <c r="F59" s="203"/>
      <c r="G59" s="301" t="str">
        <f>IF(D21&lt;&gt;"",__3_VoorNaam&amp;" "&amp;__2_AchterNaam,"")</f>
        <v/>
      </c>
      <c r="H59" s="203"/>
      <c r="I59" s="203"/>
      <c r="J59" s="203"/>
      <c r="K59" s="203"/>
      <c r="L59" s="203"/>
      <c r="M59" s="301" t="str">
        <f>IF(D25&lt;&gt;"",__3_VoorNaam&amp;" "&amp;__2_AchterNaam,"")</f>
        <v/>
      </c>
      <c r="N59" s="203"/>
      <c r="O59" s="203"/>
      <c r="P59" s="203"/>
      <c r="Q59" s="203"/>
    </row>
    <row r="60" spans="1:18" ht="9.9499999999999993" customHeight="1" x14ac:dyDescent="0.2">
      <c r="A60" s="203" t="str">
        <f>IF(D17&lt;&gt;"",D17&amp;" "&amp;NeoPrtWerkbr!E35&amp;" "&amp;G17,"")</f>
        <v/>
      </c>
      <c r="B60" s="203"/>
      <c r="C60" s="203"/>
      <c r="E60" s="203"/>
      <c r="F60" s="203"/>
      <c r="G60" s="203" t="str">
        <f>IF(D21&lt;&gt;"",D21&amp;" "&amp;NeoPrtWerkbr!E38&amp;" "&amp;G21,"")</f>
        <v/>
      </c>
      <c r="H60" s="203"/>
      <c r="I60" s="203"/>
      <c r="K60" s="203"/>
      <c r="L60" s="203"/>
      <c r="M60" s="203" t="str">
        <f>IF(D25&lt;&gt;"",D25&amp;" "&amp;NeoPrtWerkbr!E41&amp;" "&amp;G25,"")</f>
        <v/>
      </c>
      <c r="N60" s="203"/>
      <c r="O60" s="203"/>
      <c r="Q60" s="203"/>
    </row>
    <row r="61" spans="1:18" ht="9.9499999999999993" customHeight="1" x14ac:dyDescent="0.2">
      <c r="A61" s="203" t="str">
        <f>NeoPrtAfspr!G36&amp;" "&amp;K18</f>
        <v xml:space="preserve"> </v>
      </c>
      <c r="B61" s="203"/>
      <c r="C61" s="203"/>
      <c r="D61" s="203" t="str">
        <f>IF(_Neo_1700_Cont_OplHoev_4&gt;0,"("&amp;N19-_Neo_1700_Cont_OplHoev_4&amp;" ml extra)","")</f>
        <v/>
      </c>
      <c r="E61" s="203"/>
      <c r="F61" s="203"/>
      <c r="G61" s="203" t="str">
        <f>NeoPrtAfspr!G37&amp;" "&amp;K22</f>
        <v xml:space="preserve"> </v>
      </c>
      <c r="H61" s="203"/>
      <c r="I61" s="203"/>
      <c r="J61" s="203" t="str">
        <f>IF(_Neo_1700_Cont_OplHoev_5&gt;0,"("&amp;N23-_Neo_1700_Cont_OplHoev_5&amp;" ml extra)","")</f>
        <v/>
      </c>
      <c r="K61" s="203"/>
      <c r="L61" s="203"/>
      <c r="M61" s="203" t="str">
        <f>NeoPrtAfspr!G38&amp;" "&amp;K26</f>
        <v xml:space="preserve"> </v>
      </c>
      <c r="N61" s="203"/>
      <c r="O61" s="203"/>
      <c r="P61" s="203" t="str">
        <f>IF(_Neo_1700_Cont_OplHoev_6&gt;0,"("&amp;N27-_Neo_1700_Cont_OplHoev_6&amp;" ml extra)","")</f>
        <v/>
      </c>
      <c r="Q61" s="203"/>
    </row>
    <row r="62" spans="1:18" ht="9.9499999999999993" customHeight="1" x14ac:dyDescent="0.2">
      <c r="A62" s="203" t="str">
        <f>IF(D18&lt;&gt;"",D18,"")</f>
        <v/>
      </c>
      <c r="B62" s="203"/>
      <c r="C62" s="203" t="str">
        <f>F18</f>
        <v/>
      </c>
      <c r="D62" s="203"/>
      <c r="E62" s="203"/>
      <c r="F62" s="203"/>
      <c r="G62" s="203" t="str">
        <f>IF(D22&lt;&gt;"",D22,"")</f>
        <v/>
      </c>
      <c r="H62" s="203"/>
      <c r="I62" s="203" t="str">
        <f>IF(F22&lt;&gt;"",F22,"")</f>
        <v/>
      </c>
      <c r="J62" s="203"/>
      <c r="K62" s="203"/>
      <c r="L62" s="203"/>
      <c r="M62" s="203" t="str">
        <f>IF(D26&lt;&gt;"",$D$26,"")</f>
        <v/>
      </c>
      <c r="N62" s="203"/>
      <c r="O62" s="203" t="str">
        <f>IF(F26&lt;&gt;"",$F$26,"")</f>
        <v/>
      </c>
      <c r="P62" s="203"/>
      <c r="Q62" s="203"/>
    </row>
    <row r="63" spans="1:18" ht="9.9499999999999993" customHeight="1" x14ac:dyDescent="0.2">
      <c r="A63" s="203"/>
      <c r="B63" s="203"/>
      <c r="C63" s="203"/>
      <c r="D63" s="203" t="str">
        <f>"Exp: "</f>
        <v xml:space="preserve">Exp: </v>
      </c>
      <c r="E63" s="966">
        <f ca="1">TODAY()+1</f>
        <v>42751</v>
      </c>
      <c r="F63" s="966"/>
      <c r="G63" s="203"/>
      <c r="H63" s="203"/>
      <c r="I63" s="203"/>
      <c r="J63" s="203" t="str">
        <f>"Exp: "</f>
        <v xml:space="preserve">Exp: </v>
      </c>
      <c r="K63" s="966">
        <f ca="1">TODAY()+1</f>
        <v>42751</v>
      </c>
      <c r="L63" s="966"/>
      <c r="M63" s="203"/>
      <c r="N63" s="203"/>
      <c r="O63" s="203"/>
      <c r="P63" s="203" t="str">
        <f>"Exp: "</f>
        <v xml:space="preserve">Exp: </v>
      </c>
      <c r="Q63" s="966">
        <f ca="1">TODAY()+1</f>
        <v>42751</v>
      </c>
      <c r="R63" s="966"/>
    </row>
    <row r="64" spans="1:18" ht="9.9499999999999993" customHeight="1" x14ac:dyDescent="0.2"/>
    <row r="65" spans="4:4" ht="9.9499999999999993" customHeight="1" x14ac:dyDescent="0.2"/>
    <row r="66" spans="4:4" ht="9.9499999999999993" customHeight="1" x14ac:dyDescent="0.2"/>
    <row r="67" spans="4:4" ht="9.9499999999999993" customHeight="1" x14ac:dyDescent="0.2"/>
    <row r="68" spans="4:4" ht="9.9499999999999993" customHeight="1" x14ac:dyDescent="0.2"/>
    <row r="73" spans="4:4" x14ac:dyDescent="0.2">
      <c r="D73" s="463"/>
    </row>
  </sheetData>
  <mergeCells count="14">
    <mergeCell ref="Q52:R52"/>
    <mergeCell ref="A58:B58"/>
    <mergeCell ref="G58:H58"/>
    <mergeCell ref="M58:N58"/>
    <mergeCell ref="E63:F63"/>
    <mergeCell ref="K63:L63"/>
    <mergeCell ref="Q63:R63"/>
    <mergeCell ref="E52:F52"/>
    <mergeCell ref="K52:L52"/>
    <mergeCell ref="J1:L1"/>
    <mergeCell ref="N2:O2"/>
    <mergeCell ref="A47:B47"/>
    <mergeCell ref="G47:H47"/>
    <mergeCell ref="M47:N47"/>
  </mergeCells>
  <pageMargins left="0.27" right="0.19" top="0.25" bottom="0.27" header="0.17" footer="0.27"/>
  <pageSetup paperSize="9" orientation="portrait" r:id="rId1"/>
  <headerFooter alignWithMargins="0"/>
</worksheet>
</file>

<file path=customUI/_rels/customUI.xml.rels><?xml version="1.0" encoding="UTF-8" standalone="yes"?>
<Relationships xmlns="http://schemas.openxmlformats.org/package/2006/relationships"><Relationship Id="Critical" Type="http://schemas.openxmlformats.org/officeDocument/2006/relationships/image" Target="images/Critical.ico"/><Relationship Id="MapOpen" Type="http://schemas.openxmlformats.org/officeDocument/2006/relationships/image" Target="images/MapOpen.ico"/><Relationship Id="MapClosed" Type="http://schemas.openxmlformats.org/officeDocument/2006/relationships/image" Target="images/MapClosed.ico"/><Relationship Id="PillGreen" Type="http://schemas.openxmlformats.org/officeDocument/2006/relationships/image" Target="images/PillGreen.ico"/><Relationship Id="EditCapsule" Type="http://schemas.openxmlformats.org/officeDocument/2006/relationships/image" Target="images/EditCapsule.ico"/><Relationship Id="CleanDisc" Type="http://schemas.openxmlformats.org/officeDocument/2006/relationships/image" Target="images/CleanDisc.ico"/><Relationship Id="PrintDoc" Type="http://schemas.openxmlformats.org/officeDocument/2006/relationships/image" Target="images/PrintDoc.ico"/><Relationship Id="customize_toolbar" Type="http://schemas.openxmlformats.org/officeDocument/2006/relationships/image" Target="images/customize_toolbar.ico"/><Relationship Id="Spuit" Type="http://schemas.openxmlformats.org/officeDocument/2006/relationships/image" Target="images/Spuit.ico"/><Relationship Id="Preferences" Type="http://schemas.openxmlformats.org/officeDocument/2006/relationships/image" Target="images/Preferences.ico"/><Relationship Id="Users" Type="http://schemas.openxmlformats.org/officeDocument/2006/relationships/image" Target="images/Users.ico"/><Relationship Id="DocPen" Type="http://schemas.openxmlformats.org/officeDocument/2006/relationships/image" Target="images/DocPen.ico"/></Relationships>
</file>

<file path=customUI/customUI.xml><?xml version="1.0" encoding="utf-8"?>
<!--RibbonX Visual Designer 1.93 for Microsoft Excel 14.0. XML Code produced on 2014-03-25-->
<customUI xmlns="http://schemas.microsoft.com/office/2006/01/customui" onLoad="RibbonOnLoad">
  <ribbon startFromScratch="false">
    <tabs>
      <tab id="tabMetavision" label="Metavision">
        <group id="grpAfspraken" label="Afspraken">
          <button id="btnClose" label="Programma Afsluiten" image="Critical" onAction="ButtonOnAction"/>
          <button id="btnClear" label="Alles Verwijderen" image="CleanDisc" onAction="ButtonOnAction"/>
        </group>
        <group id="grpBedden" label="Bedden">
          <button id="btnOpenBed" label="Bed Openen" image="MapOpen" onAction="ButtonOnAction"/>
          <button id="btnSaveBed" label="Bed Opslaan" image="MapClosed" onAction="ButtonOnAction"/>
          <button id="btnEnterPatient" label="Patient Gegevens" image="Users" onAction="ButtonOnAction"/>
        </group>
        <group id="grpPediatrie" label="Pediatrie" getVisible="GetVisiblePed">
          <button id="btnPedMedIV" label="Continue IV Medicatie" image="EditCapsule" onAction="ButtonOnAction"/>
          <button id="btnPedMedDisc" label="Discontinue Medicatie" image="EditCapsule" onAction="ButtonOnAction"/>
          <button id="btnPedIVandPM" label="Lijnen en Pacemaker" image="DocPen" onAction="ButtonOnAction"/>
          <button id="btnPedEntTPN" label="Voeding en TPN" image="EditCapsule" onAction="ButtonOnAction"/>
          <button id="btnPedLab" label="Lab Aanvragen" image="DocPen" onAction="ButtonOnAction"/>
          <button id="btnPedExtra" label="Afspraken en Controles" image="DocPen" onAction="ButtonOnAction"/>
        </group>
        <group id="grpNeonatologie" label="Neonatologie" getVisible="GetVisibleNeo">
          <button id="btnNeoMedIV" label="Infuusbrief" image="EditCapsule" onAction="ButtonOnAction"/>
          <button id="btnNeoMedDisc" label="Discontinue Medicatie" image="EditCapsule" onAction="ButtonOnAction"/>
          <button id="btnNeoExtra" label="Afspraken en Controles" image="DocPen" onAction="ButtonOnAction"/>
          <button id="btnNeoLab" label="Lab Aanvragen" image="DocPen" onAction="ButtonOnAction"/>
          <button id="btnNeo1700" label="Infuusbrief 17:00" image="EditCapsule" onAction="ButtonOnAction"/>
        </group>
        <group id="grpRemoveData" label="Acties">
          <button id="btnRemoveLab" label="Lab Verwijderen" image="CleanDisc" onAction="ButtonOnAction"/>
          <button id="btnRemoveExtra" label="Afspraken Controles Verwijderen" image="CleanDisc" onAction="ButtonOnAction"/>
        </group>
        <group id="grpNeoActions" label="Infuusbrief Overzetten" getVisible="GetVisibleNeo">
          <button id="btnCopy1700" label="17:00 uur Overzetten" image="DocPen" onAction="ButtonOnAction"/>
          <button id="btnCopyCurrent" label="Actueel Overzetten" image="DocPen" onAction="ButtonOnAction"/>
        </group>
        <group id="grpPedPrint" label="Print Pediatrie" getVisible="GetVisiblePed">
          <button id="btnPedPrintAcuut" label="Acute blad" image="PrintDoc" onAction="ButtonOnAction"/>
          <button id="btnPedPrintMedIV" label="Medicatie IV" image="PrintDoc" onAction="ButtonOnAction"/>
          <button id="btnPedPrintMedDisc" label="Medicatie Discontinu" image="PrintDoc" onAction="ButtonOnAction"/>
          <button id="btnPedPrintTPN" label="TPN Brief" image="PrintDoc" onAction="ButtonOnAction"/>
        </group>
        <group id="grpNeoPrint" label="Print Neonatologie" getVisible="GetVisibleNeo">
          <button id="btnNeoPrintAcuut" label="Acute blad" image="PrintDoc" onAction="ButtonOnAction"/>
          <button id="btnNeoPrintMedIV" label="Infuusbrief" image="PrintDoc" onAction="ButtonOnAction"/>
          <button id="btnNeoPrintMedDisc" label="Medicatie Discontinu" image="PrintDoc" onAction="ButtonOnAction"/>
          <button id="btnNeoPrintApoth" label="Apotheek" image="PrintDoc" onAction="ButtonOnAction"/>
          <button id="btnNeoPrintWerkbr" label="Werkbrief" image="PrintDoc" onAction="ButtonOnAction"/>
        </group>
      </tab>
      <tab id="tabDevelopment" label="Development" getVisible="GetVisibleDevelopment">
        <group id="grpDevelopment" label="Development">
          <button id="btnDevMode" label="Development Mode" image="Preferences" onAction="ButtonOnAction"/>
          <button id="btnToggleLogging" label="Toggle Logging" image="Preferences" onAction="ButtonOnAction"/>
          <button id="btnRangeNames" label="Name Range" image="Preferences" onAction="ButtonOnAction"/>
          <button id="btnWriteNames" label="Write Names" image="Preferences" onAction="ButtonOnAction"/>
          <button id="btnReplaceNames" label="Replace Names" image="Preferences" onAction="ButtonOnAction"/>
          <button id="btnRefreshPatientData" label="Refresh Patient Data" image="Preferences" onAction="ButtonOnAction"/>
          <button id="btnExportSource" label="Export To Source" image="Preferences" onAction="ButtonOnAction"/>
        </group>
      </tab>
      <tab id="tabAdmin" label="Administratie" getVisible="GetVisibleAdmin">
        <group id="grpAdmin" label="Administratie">
          <button id="btnOpenSettings" label="Instellingen" image="Preferences" onAction="ButtonOnAction"/>
          <button id="btnSetColors" label="Kleuren Instellen" image="Preferences" onAction="ButtonOnAction"/>
          <button id="btnCreatePedData" label="Pediatrie DataFiles" image="Preferences" onAction="ButtonOnAction"/>
          <button id="btnCreateNeoData" label="Neonatologie DataFiles" image="Preferences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63</vt:i4>
      </vt:variant>
      <vt:variant>
        <vt:lpstr>Named Ranges</vt:lpstr>
      </vt:variant>
      <vt:variant>
        <vt:i4>1884</vt:i4>
      </vt:variant>
    </vt:vector>
  </HeadingPairs>
  <TitlesOfParts>
    <vt:vector size="1947" baseType="lpstr">
      <vt:lpstr>Global--&gt;</vt:lpstr>
      <vt:lpstr>GlobGuiMedDisc</vt:lpstr>
      <vt:lpstr>GlobBerMedDisc</vt:lpstr>
      <vt:lpstr>GlobSettings</vt:lpstr>
      <vt:lpstr>GlobNames</vt:lpstr>
      <vt:lpstr>GlobBerOpm</vt:lpstr>
      <vt:lpstr>GlobBerConv</vt:lpstr>
      <vt:lpstr>GlobTblParEnt</vt:lpstr>
      <vt:lpstr>GlobTblEnt</vt:lpstr>
      <vt:lpstr>GlobBerNorm</vt:lpstr>
      <vt:lpstr>GlobTemp</vt:lpstr>
      <vt:lpstr>Patient--&gt;</vt:lpstr>
      <vt:lpstr>PatText</vt:lpstr>
      <vt:lpstr>PatData</vt:lpstr>
      <vt:lpstr>PatDetails</vt:lpstr>
      <vt:lpstr>Pediatrie--&gt;</vt:lpstr>
      <vt:lpstr>PedGuiMedIV</vt:lpstr>
      <vt:lpstr>PedBerMedIV</vt:lpstr>
      <vt:lpstr>PedTblMedIV</vt:lpstr>
      <vt:lpstr>PedTblMedDisc</vt:lpstr>
      <vt:lpstr>PedGuiLijnPM</vt:lpstr>
      <vt:lpstr>PedBerIVenPM</vt:lpstr>
      <vt:lpstr>PedTblIV</vt:lpstr>
      <vt:lpstr>PedGuiEntTPN</vt:lpstr>
      <vt:lpstr>PedBerEnt</vt:lpstr>
      <vt:lpstr>PedBerTPN</vt:lpstr>
      <vt:lpstr>PedBerTot</vt:lpstr>
      <vt:lpstr>PedTblParEnt</vt:lpstr>
      <vt:lpstr>PedTblEnt</vt:lpstr>
      <vt:lpstr>PedGuiLab</vt:lpstr>
      <vt:lpstr>PedBerLab</vt:lpstr>
      <vt:lpstr>PedGuiAfspr</vt:lpstr>
      <vt:lpstr>PedBerAfspr</vt:lpstr>
      <vt:lpstr>PedTblAfspr</vt:lpstr>
      <vt:lpstr>PedGuiAcuut</vt:lpstr>
      <vt:lpstr>PedTblLengte</vt:lpstr>
      <vt:lpstr>PedTblGew</vt:lpstr>
      <vt:lpstr>PedPrtAfspr</vt:lpstr>
      <vt:lpstr>PedPrtMedDisc</vt:lpstr>
      <vt:lpstr>PedTblTijden</vt:lpstr>
      <vt:lpstr>PedPrtTPN2tot6</vt:lpstr>
      <vt:lpstr>PedPrtTPN7tot15</vt:lpstr>
      <vt:lpstr>PedPrtTPN16tot30</vt:lpstr>
      <vt:lpstr>PedTPN31tot50</vt:lpstr>
      <vt:lpstr>PedPrtTPN50</vt:lpstr>
      <vt:lpstr>Neo--&gt;</vt:lpstr>
      <vt:lpstr>NeoGuiInfB</vt:lpstr>
      <vt:lpstr>NeoBerInfB</vt:lpstr>
      <vt:lpstr>NeoDataInfB</vt:lpstr>
      <vt:lpstr>NeoPrtWerkbr</vt:lpstr>
      <vt:lpstr>NeoTblMedIV</vt:lpstr>
      <vt:lpstr>NeoBerAdvies</vt:lpstr>
      <vt:lpstr>NeoTblEnt</vt:lpstr>
      <vt:lpstr>NeoTblLijst</vt:lpstr>
      <vt:lpstr>NeoPrtMedDisc</vt:lpstr>
      <vt:lpstr>NeoTblTijden</vt:lpstr>
      <vt:lpstr>NeoGuiAfspr</vt:lpstr>
      <vt:lpstr>NeoBerAfspr</vt:lpstr>
      <vt:lpstr>NeoGuiLab</vt:lpstr>
      <vt:lpstr>NeoBerLab</vt:lpstr>
      <vt:lpstr>NeoGuiAcuut</vt:lpstr>
      <vt:lpstr>NeoPrtAfspr</vt:lpstr>
      <vt:lpstr>NeoPrtApoth</vt:lpstr>
      <vt:lpstr>__0_PatNum</vt:lpstr>
      <vt:lpstr>__1_Bed</vt:lpstr>
      <vt:lpstr>__2_AchterNaam</vt:lpstr>
      <vt:lpstr>__3_VoorNaam</vt:lpstr>
      <vt:lpstr>__4_GebDatum</vt:lpstr>
      <vt:lpstr>_Glob_MedDisc_ATC_01</vt:lpstr>
      <vt:lpstr>_Glob_MedDisc_ATC_02</vt:lpstr>
      <vt:lpstr>_Glob_MedDisc_ATC_03</vt:lpstr>
      <vt:lpstr>_Glob_MedDisc_ATC_04</vt:lpstr>
      <vt:lpstr>_Glob_MedDisc_ATC_05</vt:lpstr>
      <vt:lpstr>_Glob_MedDisc_ATC_06</vt:lpstr>
      <vt:lpstr>_Glob_MedDisc_ATC_07</vt:lpstr>
      <vt:lpstr>_Glob_MedDisc_ATC_08</vt:lpstr>
      <vt:lpstr>_Glob_MedDisc_ATC_09</vt:lpstr>
      <vt:lpstr>_Glob_MedDisc_ATC_10</vt:lpstr>
      <vt:lpstr>_Glob_MedDisc_ATC_11</vt:lpstr>
      <vt:lpstr>_Glob_MedDisc_ATC_12</vt:lpstr>
      <vt:lpstr>_Glob_MedDisc_ATC_13</vt:lpstr>
      <vt:lpstr>_Glob_MedDisc_ATC_14</vt:lpstr>
      <vt:lpstr>_Glob_MedDisc_ATC_15</vt:lpstr>
      <vt:lpstr>_Glob_MedDisc_ATC_16</vt:lpstr>
      <vt:lpstr>_Glob_MedDisc_ATC_17</vt:lpstr>
      <vt:lpstr>_Glob_MedDisc_ATC_18</vt:lpstr>
      <vt:lpstr>_Glob_MedDisc_ATC_19</vt:lpstr>
      <vt:lpstr>_Glob_MedDisc_ATC_20</vt:lpstr>
      <vt:lpstr>_Glob_MedDisc_ATC_21</vt:lpstr>
      <vt:lpstr>_Glob_MedDisc_ATC_22</vt:lpstr>
      <vt:lpstr>_Glob_MedDisc_ATC_23</vt:lpstr>
      <vt:lpstr>_Glob_MedDisc_ATC_24</vt:lpstr>
      <vt:lpstr>_Glob_MedDisc_ATC_25</vt:lpstr>
      <vt:lpstr>_Glob_MedDisc_ATC_26</vt:lpstr>
      <vt:lpstr>_Glob_MedDisc_ATC_27</vt:lpstr>
      <vt:lpstr>_Glob_MedDisc_ATC_28</vt:lpstr>
      <vt:lpstr>_Glob_MedDisc_ATC_29</vt:lpstr>
      <vt:lpstr>_Glob_MedDisc_ATC_30</vt:lpstr>
      <vt:lpstr>_Glob_MedDisc_DoseEenh_01</vt:lpstr>
      <vt:lpstr>_Glob_MedDisc_DoseEenh_02</vt:lpstr>
      <vt:lpstr>_Glob_MedDisc_DoseEenh_03</vt:lpstr>
      <vt:lpstr>_Glob_MedDisc_DoseEenh_04</vt:lpstr>
      <vt:lpstr>_Glob_MedDisc_DoseEenh_05</vt:lpstr>
      <vt:lpstr>_Glob_MedDisc_DoseEenh_06</vt:lpstr>
      <vt:lpstr>_Glob_MedDisc_DoseEenh_07</vt:lpstr>
      <vt:lpstr>_Glob_MedDisc_DoseEenh_08</vt:lpstr>
      <vt:lpstr>_Glob_MedDisc_DoseEenh_09</vt:lpstr>
      <vt:lpstr>_Glob_MedDisc_DoseEenh_10</vt:lpstr>
      <vt:lpstr>_Glob_MedDisc_DoseEenh_11</vt:lpstr>
      <vt:lpstr>_Glob_MedDisc_DoseEenh_12</vt:lpstr>
      <vt:lpstr>_Glob_MedDisc_DoseEenh_13</vt:lpstr>
      <vt:lpstr>_Glob_MedDisc_DoseEenh_14</vt:lpstr>
      <vt:lpstr>_Glob_MedDisc_DoseEenh_15</vt:lpstr>
      <vt:lpstr>_Glob_MedDisc_DoseEenh_16</vt:lpstr>
      <vt:lpstr>_Glob_MedDisc_DoseEenh_17</vt:lpstr>
      <vt:lpstr>_Glob_MedDisc_DoseEenh_18</vt:lpstr>
      <vt:lpstr>_Glob_MedDisc_DoseEenh_19</vt:lpstr>
      <vt:lpstr>_Glob_MedDisc_DoseEenh_20</vt:lpstr>
      <vt:lpstr>_Glob_MedDisc_DoseEenh_21</vt:lpstr>
      <vt:lpstr>_Glob_MedDisc_DoseEenh_22</vt:lpstr>
      <vt:lpstr>_Glob_MedDisc_DoseEenh_23</vt:lpstr>
      <vt:lpstr>_Glob_MedDisc_DoseEenh_24</vt:lpstr>
      <vt:lpstr>_Glob_MedDisc_DoseEenh_25</vt:lpstr>
      <vt:lpstr>_Glob_MedDisc_DoseEenh_26</vt:lpstr>
      <vt:lpstr>_Glob_MedDisc_DoseEenh_27</vt:lpstr>
      <vt:lpstr>_Glob_MedDisc_DoseEenh_28</vt:lpstr>
      <vt:lpstr>_Glob_MedDisc_DoseEenh_29</vt:lpstr>
      <vt:lpstr>_Glob_MedDisc_DoseEenh_30</vt:lpstr>
      <vt:lpstr>_Glob_MedDisc_DoseHoev_01</vt:lpstr>
      <vt:lpstr>_Glob_MedDisc_DoseHoev_02</vt:lpstr>
      <vt:lpstr>_Glob_MedDisc_DoseHoev_03</vt:lpstr>
      <vt:lpstr>_Glob_MedDisc_DoseHoev_04</vt:lpstr>
      <vt:lpstr>_Glob_MedDisc_DoseHoev_05</vt:lpstr>
      <vt:lpstr>_Glob_MedDisc_DoseHoev_06</vt:lpstr>
      <vt:lpstr>_Glob_MedDisc_DoseHoev_07</vt:lpstr>
      <vt:lpstr>_Glob_MedDisc_DoseHoev_08</vt:lpstr>
      <vt:lpstr>_Glob_MedDisc_DoseHoev_09</vt:lpstr>
      <vt:lpstr>_Glob_MedDisc_DoseHoev_10</vt:lpstr>
      <vt:lpstr>_Glob_MedDisc_DoseHoev_11</vt:lpstr>
      <vt:lpstr>_Glob_MedDisc_DoseHoev_12</vt:lpstr>
      <vt:lpstr>_Glob_MedDisc_DoseHoev_13</vt:lpstr>
      <vt:lpstr>_Glob_MedDisc_DoseHoev_14</vt:lpstr>
      <vt:lpstr>_Glob_MedDisc_DoseHoev_15</vt:lpstr>
      <vt:lpstr>_Glob_MedDisc_DoseHoev_16</vt:lpstr>
      <vt:lpstr>_Glob_MedDisc_DoseHoev_17</vt:lpstr>
      <vt:lpstr>_Glob_MedDisc_DoseHoev_18</vt:lpstr>
      <vt:lpstr>_Glob_MedDisc_DoseHoev_19</vt:lpstr>
      <vt:lpstr>_Glob_MedDisc_DoseHoev_20</vt:lpstr>
      <vt:lpstr>_Glob_MedDisc_DoseHoev_21</vt:lpstr>
      <vt:lpstr>_Glob_MedDisc_DoseHoev_22</vt:lpstr>
      <vt:lpstr>_Glob_MedDisc_DoseHoev_23</vt:lpstr>
      <vt:lpstr>_Glob_MedDisc_DoseHoev_24</vt:lpstr>
      <vt:lpstr>_Glob_MedDisc_DoseHoev_25</vt:lpstr>
      <vt:lpstr>_Glob_MedDisc_DoseHoev_26</vt:lpstr>
      <vt:lpstr>_Glob_MedDisc_DoseHoev_27</vt:lpstr>
      <vt:lpstr>_Glob_MedDisc_DoseHoev_28</vt:lpstr>
      <vt:lpstr>_Glob_MedDisc_DoseHoev_29</vt:lpstr>
      <vt:lpstr>_Glob_MedDisc_DoseHoev_30</vt:lpstr>
      <vt:lpstr>_Glob_MedDisc_Etiket_01</vt:lpstr>
      <vt:lpstr>_Glob_MedDisc_Etiket_02</vt:lpstr>
      <vt:lpstr>_Glob_MedDisc_Etiket_03</vt:lpstr>
      <vt:lpstr>_Glob_MedDisc_Etiket_04</vt:lpstr>
      <vt:lpstr>_Glob_MedDisc_Etiket_05</vt:lpstr>
      <vt:lpstr>_Glob_MedDisc_Etiket_06</vt:lpstr>
      <vt:lpstr>_Glob_MedDisc_Etiket_07</vt:lpstr>
      <vt:lpstr>_Glob_MedDisc_Etiket_08</vt:lpstr>
      <vt:lpstr>_Glob_MedDisc_Etiket_09</vt:lpstr>
      <vt:lpstr>_Glob_MedDisc_Etiket_10</vt:lpstr>
      <vt:lpstr>_Glob_MedDisc_Etiket_11</vt:lpstr>
      <vt:lpstr>_Glob_MedDisc_Etiket_12</vt:lpstr>
      <vt:lpstr>_Glob_MedDisc_Etiket_13</vt:lpstr>
      <vt:lpstr>_Glob_MedDisc_Etiket_14</vt:lpstr>
      <vt:lpstr>_Glob_MedDisc_Etiket_15</vt:lpstr>
      <vt:lpstr>_Glob_MedDisc_Etiket_16</vt:lpstr>
      <vt:lpstr>_Glob_MedDisc_Etiket_17</vt:lpstr>
      <vt:lpstr>_Glob_MedDisc_Etiket_18</vt:lpstr>
      <vt:lpstr>_Glob_MedDisc_Etiket_19</vt:lpstr>
      <vt:lpstr>_Glob_MedDisc_Etiket_20</vt:lpstr>
      <vt:lpstr>_Glob_MedDisc_Etiket_21</vt:lpstr>
      <vt:lpstr>_Glob_MedDisc_Etiket_22</vt:lpstr>
      <vt:lpstr>_Glob_MedDisc_Etiket_23</vt:lpstr>
      <vt:lpstr>_Glob_MedDisc_Etiket_24</vt:lpstr>
      <vt:lpstr>_Glob_MedDisc_Etiket_25</vt:lpstr>
      <vt:lpstr>_Glob_MedDisc_Etiket_26</vt:lpstr>
      <vt:lpstr>_Glob_MedDisc_Etiket_27</vt:lpstr>
      <vt:lpstr>_Glob_MedDisc_Etiket_28</vt:lpstr>
      <vt:lpstr>_Glob_MedDisc_Etiket_29</vt:lpstr>
      <vt:lpstr>_Glob_MedDisc_Etiket_30</vt:lpstr>
      <vt:lpstr>_Glob_MedDisc_Generic_01</vt:lpstr>
      <vt:lpstr>_Glob_MedDisc_Generic_02</vt:lpstr>
      <vt:lpstr>_Glob_MedDisc_Generic_03</vt:lpstr>
      <vt:lpstr>_Glob_MedDisc_Generic_04</vt:lpstr>
      <vt:lpstr>_Glob_MedDisc_Generic_05</vt:lpstr>
      <vt:lpstr>_Glob_MedDisc_Generic_06</vt:lpstr>
      <vt:lpstr>_Glob_MedDisc_Generic_07</vt:lpstr>
      <vt:lpstr>_Glob_MedDisc_Generic_08</vt:lpstr>
      <vt:lpstr>_Glob_MedDisc_Generic_09</vt:lpstr>
      <vt:lpstr>_Glob_MedDisc_Generic_10</vt:lpstr>
      <vt:lpstr>_Glob_MedDisc_Generic_11</vt:lpstr>
      <vt:lpstr>_Glob_MedDisc_Generic_12</vt:lpstr>
      <vt:lpstr>_Glob_MedDisc_Generic_13</vt:lpstr>
      <vt:lpstr>_Glob_MedDisc_Generic_14</vt:lpstr>
      <vt:lpstr>_Glob_MedDisc_Generic_15</vt:lpstr>
      <vt:lpstr>_Glob_MedDisc_Generic_16</vt:lpstr>
      <vt:lpstr>_Glob_MedDisc_Generic_17</vt:lpstr>
      <vt:lpstr>_Glob_MedDisc_Generic_18</vt:lpstr>
      <vt:lpstr>_Glob_MedDisc_Generic_19</vt:lpstr>
      <vt:lpstr>_Glob_MedDisc_Generic_20</vt:lpstr>
      <vt:lpstr>_Glob_MedDisc_Generic_21</vt:lpstr>
      <vt:lpstr>_Glob_MedDisc_Generic_22</vt:lpstr>
      <vt:lpstr>_Glob_MedDisc_Generic_23</vt:lpstr>
      <vt:lpstr>_Glob_MedDisc_Generic_24</vt:lpstr>
      <vt:lpstr>_Glob_MedDisc_Generic_25</vt:lpstr>
      <vt:lpstr>_Glob_MedDisc_Generic_26</vt:lpstr>
      <vt:lpstr>_Glob_MedDisc_Generic_27</vt:lpstr>
      <vt:lpstr>_Glob_MedDisc_Generic_28</vt:lpstr>
      <vt:lpstr>_Glob_MedDisc_Generic_29</vt:lpstr>
      <vt:lpstr>_Glob_MedDisc_Generic_30</vt:lpstr>
      <vt:lpstr>_Glob_MedDisc_GPK_01</vt:lpstr>
      <vt:lpstr>_Glob_MedDisc_GPK_02</vt:lpstr>
      <vt:lpstr>_Glob_MedDisc_GPK_03</vt:lpstr>
      <vt:lpstr>_Glob_MedDisc_GPK_04</vt:lpstr>
      <vt:lpstr>_Glob_MedDisc_GPK_05</vt:lpstr>
      <vt:lpstr>_Glob_MedDisc_GPK_06</vt:lpstr>
      <vt:lpstr>_Glob_MedDisc_GPK_07</vt:lpstr>
      <vt:lpstr>_Glob_MedDisc_GPK_08</vt:lpstr>
      <vt:lpstr>_Glob_MedDisc_GPK_09</vt:lpstr>
      <vt:lpstr>_Glob_MedDisc_GPK_10</vt:lpstr>
      <vt:lpstr>_Glob_MedDisc_GPK_11</vt:lpstr>
      <vt:lpstr>_Glob_MedDisc_GPK_12</vt:lpstr>
      <vt:lpstr>_Glob_MedDisc_GPK_13</vt:lpstr>
      <vt:lpstr>_Glob_MedDisc_GPK_14</vt:lpstr>
      <vt:lpstr>_Glob_MedDisc_GPK_15</vt:lpstr>
      <vt:lpstr>_Glob_MedDisc_GPK_16</vt:lpstr>
      <vt:lpstr>_Glob_MedDisc_GPK_17</vt:lpstr>
      <vt:lpstr>_Glob_MedDisc_GPK_18</vt:lpstr>
      <vt:lpstr>_Glob_MedDisc_GPK_19</vt:lpstr>
      <vt:lpstr>_Glob_MedDisc_GPK_20</vt:lpstr>
      <vt:lpstr>_Glob_MedDisc_GPK_21</vt:lpstr>
      <vt:lpstr>_Glob_MedDisc_GPK_22</vt:lpstr>
      <vt:lpstr>_Glob_MedDisc_GPK_23</vt:lpstr>
      <vt:lpstr>_Glob_MedDisc_GPK_24</vt:lpstr>
      <vt:lpstr>_Glob_MedDisc_GPK_25</vt:lpstr>
      <vt:lpstr>_Glob_MedDisc_GPK_26</vt:lpstr>
      <vt:lpstr>_Glob_MedDisc_GPK_27</vt:lpstr>
      <vt:lpstr>_Glob_MedDisc_GPK_28</vt:lpstr>
      <vt:lpstr>_Glob_MedDisc_GPK_29</vt:lpstr>
      <vt:lpstr>_Glob_MedDisc_GPK_30</vt:lpstr>
      <vt:lpstr>_Glob_MedDisc_Ind_01</vt:lpstr>
      <vt:lpstr>_Glob_MedDisc_Ind_02</vt:lpstr>
      <vt:lpstr>_Glob_MedDisc_Ind_03</vt:lpstr>
      <vt:lpstr>_Glob_MedDisc_Ind_04</vt:lpstr>
      <vt:lpstr>_Glob_MedDisc_Ind_05</vt:lpstr>
      <vt:lpstr>_Glob_MedDisc_Ind_06</vt:lpstr>
      <vt:lpstr>_Glob_MedDisc_Ind_07</vt:lpstr>
      <vt:lpstr>_Glob_MedDisc_Ind_08</vt:lpstr>
      <vt:lpstr>_Glob_MedDisc_Ind_09</vt:lpstr>
      <vt:lpstr>_Glob_MedDisc_Ind_10</vt:lpstr>
      <vt:lpstr>_Glob_MedDisc_Ind_11</vt:lpstr>
      <vt:lpstr>_Glob_MedDisc_Ind_12</vt:lpstr>
      <vt:lpstr>_Glob_MedDisc_Ind_13</vt:lpstr>
      <vt:lpstr>_Glob_MedDisc_Ind_14</vt:lpstr>
      <vt:lpstr>_Glob_MedDisc_Ind_15</vt:lpstr>
      <vt:lpstr>_Glob_MedDisc_Ind_16</vt:lpstr>
      <vt:lpstr>_Glob_MedDisc_Ind_17</vt:lpstr>
      <vt:lpstr>_Glob_MedDisc_Ind_18</vt:lpstr>
      <vt:lpstr>_Glob_MedDisc_Ind_19</vt:lpstr>
      <vt:lpstr>_Glob_MedDisc_Ind_20</vt:lpstr>
      <vt:lpstr>_Glob_MedDisc_Ind_21</vt:lpstr>
      <vt:lpstr>_Glob_MedDisc_Ind_22</vt:lpstr>
      <vt:lpstr>_Glob_MedDisc_Ind_23</vt:lpstr>
      <vt:lpstr>_Glob_MedDisc_Ind_24</vt:lpstr>
      <vt:lpstr>_Glob_MedDisc_Ind_25</vt:lpstr>
      <vt:lpstr>_Glob_MedDisc_Ind_26</vt:lpstr>
      <vt:lpstr>_Glob_MedDisc_Ind_27</vt:lpstr>
      <vt:lpstr>_Glob_MedDisc_Ind_28</vt:lpstr>
      <vt:lpstr>_Glob_MedDisc_Ind_29</vt:lpstr>
      <vt:lpstr>_Glob_MedDisc_Ind_30</vt:lpstr>
      <vt:lpstr>_Glob_MedDisc_Inloop_01</vt:lpstr>
      <vt:lpstr>_Glob_MedDisc_Inloop_02</vt:lpstr>
      <vt:lpstr>_Glob_MedDisc_Inloop_03</vt:lpstr>
      <vt:lpstr>_Glob_MedDisc_Inloop_04</vt:lpstr>
      <vt:lpstr>_Glob_MedDisc_Inloop_05</vt:lpstr>
      <vt:lpstr>_Glob_MedDisc_Inloop_06</vt:lpstr>
      <vt:lpstr>_Glob_MedDisc_Inloop_07</vt:lpstr>
      <vt:lpstr>_Glob_MedDisc_Inloop_08</vt:lpstr>
      <vt:lpstr>_Glob_MedDisc_Inloop_09</vt:lpstr>
      <vt:lpstr>_Glob_MedDisc_Inloop_10</vt:lpstr>
      <vt:lpstr>_Glob_MedDisc_Inloop_11</vt:lpstr>
      <vt:lpstr>_Glob_MedDisc_Inloop_12</vt:lpstr>
      <vt:lpstr>_Glob_MedDisc_Inloop_13</vt:lpstr>
      <vt:lpstr>_Glob_MedDisc_Inloop_14</vt:lpstr>
      <vt:lpstr>_Glob_MedDisc_Inloop_15</vt:lpstr>
      <vt:lpstr>_Glob_MedDisc_Inloop_16</vt:lpstr>
      <vt:lpstr>_Glob_MedDisc_Inloop_17</vt:lpstr>
      <vt:lpstr>_Glob_MedDisc_Inloop_18</vt:lpstr>
      <vt:lpstr>_Glob_MedDisc_Inloop_19</vt:lpstr>
      <vt:lpstr>_Glob_MedDisc_Inloop_20</vt:lpstr>
      <vt:lpstr>_Glob_MedDisc_Inloop_21</vt:lpstr>
      <vt:lpstr>_Glob_MedDisc_Inloop_22</vt:lpstr>
      <vt:lpstr>_Glob_MedDisc_Inloop_23</vt:lpstr>
      <vt:lpstr>_Glob_MedDisc_Inloop_24</vt:lpstr>
      <vt:lpstr>_Glob_MedDisc_Inloop_25</vt:lpstr>
      <vt:lpstr>_Glob_MedDisc_Inloop_26</vt:lpstr>
      <vt:lpstr>_Glob_MedDisc_Inloop_27</vt:lpstr>
      <vt:lpstr>_Glob_MedDisc_Inloop_28</vt:lpstr>
      <vt:lpstr>_Glob_MedDisc_Inloop_29</vt:lpstr>
      <vt:lpstr>_Glob_MedDisc_Inloop_30</vt:lpstr>
      <vt:lpstr>_Glob_MedDisc_OplKeuze_01</vt:lpstr>
      <vt:lpstr>_Glob_MedDisc_OplKeuze_02</vt:lpstr>
      <vt:lpstr>_Glob_MedDisc_OplKeuze_03</vt:lpstr>
      <vt:lpstr>_Glob_MedDisc_OplKeuze_04</vt:lpstr>
      <vt:lpstr>_Glob_MedDisc_OplKeuze_05</vt:lpstr>
      <vt:lpstr>_Glob_MedDisc_OplKeuze_06</vt:lpstr>
      <vt:lpstr>_Glob_MedDisc_OplKeuze_07</vt:lpstr>
      <vt:lpstr>_Glob_MedDisc_OplKeuze_08</vt:lpstr>
      <vt:lpstr>_Glob_MedDisc_OplKeuze_09</vt:lpstr>
      <vt:lpstr>_Glob_MedDisc_OplKeuze_10</vt:lpstr>
      <vt:lpstr>_Glob_MedDisc_OplKeuze_11</vt:lpstr>
      <vt:lpstr>_Glob_MedDisc_OplKeuze_12</vt:lpstr>
      <vt:lpstr>_Glob_MedDisc_OplKeuze_13</vt:lpstr>
      <vt:lpstr>_Glob_MedDisc_OplKeuze_14</vt:lpstr>
      <vt:lpstr>_Glob_MedDisc_OplKeuze_15</vt:lpstr>
      <vt:lpstr>_Glob_MedDisc_OplKeuze_16</vt:lpstr>
      <vt:lpstr>_Glob_MedDisc_OplKeuze_17</vt:lpstr>
      <vt:lpstr>_Glob_MedDisc_OplKeuze_18</vt:lpstr>
      <vt:lpstr>_Glob_MedDisc_OplKeuze_19</vt:lpstr>
      <vt:lpstr>_Glob_MedDisc_OplKeuze_20</vt:lpstr>
      <vt:lpstr>_Glob_MedDisc_OplKeuze_21</vt:lpstr>
      <vt:lpstr>_Glob_MedDisc_OplKeuze_22</vt:lpstr>
      <vt:lpstr>_Glob_MedDisc_OplKeuze_23</vt:lpstr>
      <vt:lpstr>_Glob_MedDisc_OplKeuze_24</vt:lpstr>
      <vt:lpstr>_Glob_MedDisc_OplKeuze_25</vt:lpstr>
      <vt:lpstr>_Glob_MedDisc_OplKeuze_26</vt:lpstr>
      <vt:lpstr>_Glob_MedDisc_OplKeuze_27</vt:lpstr>
      <vt:lpstr>_Glob_MedDisc_OplKeuze_28</vt:lpstr>
      <vt:lpstr>_Glob_MedDisc_OplKeuze_29</vt:lpstr>
      <vt:lpstr>_Glob_MedDisc_OplKeuze_30</vt:lpstr>
      <vt:lpstr>_Glob_MedDisc_OplVol_01</vt:lpstr>
      <vt:lpstr>_Glob_MedDisc_OplVol_02</vt:lpstr>
      <vt:lpstr>_Glob_MedDisc_OplVol_03</vt:lpstr>
      <vt:lpstr>_Glob_MedDisc_OplVol_04</vt:lpstr>
      <vt:lpstr>_Glob_MedDisc_OplVol_05</vt:lpstr>
      <vt:lpstr>_Glob_MedDisc_OplVol_06</vt:lpstr>
      <vt:lpstr>_Glob_MedDisc_OplVol_07</vt:lpstr>
      <vt:lpstr>_Glob_MedDisc_OplVol_08</vt:lpstr>
      <vt:lpstr>_Glob_MedDisc_OplVol_09</vt:lpstr>
      <vt:lpstr>_Glob_MedDisc_OplVol_10</vt:lpstr>
      <vt:lpstr>_Glob_MedDisc_OplVol_11</vt:lpstr>
      <vt:lpstr>_Glob_MedDisc_OplVol_12</vt:lpstr>
      <vt:lpstr>_Glob_MedDisc_OplVol_13</vt:lpstr>
      <vt:lpstr>_Glob_MedDisc_OplVol_14</vt:lpstr>
      <vt:lpstr>_Glob_MedDisc_OplVol_15</vt:lpstr>
      <vt:lpstr>_Glob_MedDisc_OplVol_16</vt:lpstr>
      <vt:lpstr>_Glob_MedDisc_OplVol_17</vt:lpstr>
      <vt:lpstr>_Glob_MedDisc_OplVol_18</vt:lpstr>
      <vt:lpstr>_Glob_MedDisc_OplVol_19</vt:lpstr>
      <vt:lpstr>_Glob_MedDisc_OplVol_20</vt:lpstr>
      <vt:lpstr>_Glob_MedDisc_OplVol_21</vt:lpstr>
      <vt:lpstr>_Glob_MedDisc_OplVol_22</vt:lpstr>
      <vt:lpstr>_Glob_MedDisc_OplVol_23</vt:lpstr>
      <vt:lpstr>_Glob_MedDisc_OplVol_24</vt:lpstr>
      <vt:lpstr>_Glob_MedDisc_OplVol_25</vt:lpstr>
      <vt:lpstr>_Glob_MedDisc_OplVol_26</vt:lpstr>
      <vt:lpstr>_Glob_MedDisc_OplVol_27</vt:lpstr>
      <vt:lpstr>_Glob_MedDisc_OplVol_28</vt:lpstr>
      <vt:lpstr>_Glob_MedDisc_OplVol_29</vt:lpstr>
      <vt:lpstr>_Glob_MedDisc_OplVol_30</vt:lpstr>
      <vt:lpstr>_Glob_MedDisc_Opm_01</vt:lpstr>
      <vt:lpstr>_Glob_MedDisc_Opm_02</vt:lpstr>
      <vt:lpstr>_Glob_MedDisc_Opm_03</vt:lpstr>
      <vt:lpstr>_Glob_MedDisc_Opm_04</vt:lpstr>
      <vt:lpstr>_Glob_MedDisc_Opm_05</vt:lpstr>
      <vt:lpstr>_Glob_MedDisc_Opm_06</vt:lpstr>
      <vt:lpstr>_Glob_MedDisc_Opm_07</vt:lpstr>
      <vt:lpstr>_Glob_MedDisc_Opm_08</vt:lpstr>
      <vt:lpstr>_Glob_MedDisc_Opm_09</vt:lpstr>
      <vt:lpstr>_Glob_MedDisc_Opm_10</vt:lpstr>
      <vt:lpstr>_Glob_MedDisc_Opm_11</vt:lpstr>
      <vt:lpstr>_Glob_MedDisc_Opm_12</vt:lpstr>
      <vt:lpstr>_Glob_MedDisc_Opm_13</vt:lpstr>
      <vt:lpstr>_Glob_MedDisc_Opm_14</vt:lpstr>
      <vt:lpstr>_Glob_MedDisc_Opm_15</vt:lpstr>
      <vt:lpstr>_Glob_MedDisc_Opm_16</vt:lpstr>
      <vt:lpstr>_Glob_MedDisc_Opm_17</vt:lpstr>
      <vt:lpstr>_Glob_MedDisc_Opm_18</vt:lpstr>
      <vt:lpstr>_Glob_MedDisc_Opm_19</vt:lpstr>
      <vt:lpstr>_Glob_MedDisc_Opm_20</vt:lpstr>
      <vt:lpstr>_Glob_MedDisc_Opm_21</vt:lpstr>
      <vt:lpstr>_Glob_MedDisc_Opm_22</vt:lpstr>
      <vt:lpstr>_Glob_MedDisc_Opm_23</vt:lpstr>
      <vt:lpstr>_Glob_MedDisc_Opm_24</vt:lpstr>
      <vt:lpstr>_Glob_MedDisc_Opm_25</vt:lpstr>
      <vt:lpstr>_Glob_MedDisc_Opm_26</vt:lpstr>
      <vt:lpstr>_Glob_MedDisc_Opm_27</vt:lpstr>
      <vt:lpstr>_Glob_MedDisc_Opm_28</vt:lpstr>
      <vt:lpstr>_Glob_MedDisc_Opm_29</vt:lpstr>
      <vt:lpstr>_Glob_MedDisc_Opm_30</vt:lpstr>
      <vt:lpstr>_Glob_MedDisc_PRN_01</vt:lpstr>
      <vt:lpstr>_Glob_MedDisc_PRN_02</vt:lpstr>
      <vt:lpstr>_Glob_MedDisc_PRN_03</vt:lpstr>
      <vt:lpstr>_Glob_MedDisc_PRN_04</vt:lpstr>
      <vt:lpstr>_Glob_MedDisc_PRN_05</vt:lpstr>
      <vt:lpstr>_Glob_MedDisc_PRN_06</vt:lpstr>
      <vt:lpstr>_Glob_MedDisc_PRN_07</vt:lpstr>
      <vt:lpstr>_Glob_MedDisc_PRN_08</vt:lpstr>
      <vt:lpstr>_Glob_MedDisc_PRN_09</vt:lpstr>
      <vt:lpstr>_Glob_MedDisc_PRN_10</vt:lpstr>
      <vt:lpstr>_Glob_MedDisc_PRN_11</vt:lpstr>
      <vt:lpstr>_Glob_MedDisc_PRN_12</vt:lpstr>
      <vt:lpstr>_Glob_MedDisc_PRN_13</vt:lpstr>
      <vt:lpstr>_Glob_MedDisc_PRN_14</vt:lpstr>
      <vt:lpstr>_Glob_MedDisc_PRN_15</vt:lpstr>
      <vt:lpstr>_Glob_MedDisc_PRN_16</vt:lpstr>
      <vt:lpstr>_Glob_MedDisc_PRN_17</vt:lpstr>
      <vt:lpstr>_Glob_MedDisc_PRN_18</vt:lpstr>
      <vt:lpstr>_Glob_MedDisc_PRN_19</vt:lpstr>
      <vt:lpstr>_Glob_MedDisc_PRN_20</vt:lpstr>
      <vt:lpstr>_Glob_MedDisc_PRN_21</vt:lpstr>
      <vt:lpstr>_Glob_MedDisc_PRN_22</vt:lpstr>
      <vt:lpstr>_Glob_MedDisc_PRN_23</vt:lpstr>
      <vt:lpstr>_Glob_MedDisc_PRN_24</vt:lpstr>
      <vt:lpstr>_Glob_MedDisc_PRN_25</vt:lpstr>
      <vt:lpstr>_Glob_MedDisc_PRN_26</vt:lpstr>
      <vt:lpstr>_Glob_MedDisc_PRN_27</vt:lpstr>
      <vt:lpstr>_Glob_MedDisc_PRN_28</vt:lpstr>
      <vt:lpstr>_Glob_MedDisc_PRN_29</vt:lpstr>
      <vt:lpstr>_Glob_MedDisc_PRN_30</vt:lpstr>
      <vt:lpstr>_Glob_MedDisc_PRNText_01</vt:lpstr>
      <vt:lpstr>_Glob_MedDisc_PRNText_02</vt:lpstr>
      <vt:lpstr>_Glob_MedDisc_PRNText_03</vt:lpstr>
      <vt:lpstr>_Glob_MedDisc_PRNText_04</vt:lpstr>
      <vt:lpstr>_Glob_MedDisc_PRNText_05</vt:lpstr>
      <vt:lpstr>_Glob_MedDisc_PRNText_06</vt:lpstr>
      <vt:lpstr>_Glob_MedDisc_PRNText_07</vt:lpstr>
      <vt:lpstr>_Glob_MedDisc_PRNText_08</vt:lpstr>
      <vt:lpstr>_Glob_MedDisc_PRNText_09</vt:lpstr>
      <vt:lpstr>_Glob_MedDisc_PRNText_10</vt:lpstr>
      <vt:lpstr>_Glob_MedDisc_PRNText_11</vt:lpstr>
      <vt:lpstr>_Glob_MedDisc_PRNText_12</vt:lpstr>
      <vt:lpstr>_Glob_MedDisc_PRNText_13</vt:lpstr>
      <vt:lpstr>_Glob_MedDisc_PRNText_14</vt:lpstr>
      <vt:lpstr>_Glob_MedDisc_PRNText_15</vt:lpstr>
      <vt:lpstr>_Glob_MedDisc_PRNText_16</vt:lpstr>
      <vt:lpstr>_Glob_MedDisc_PRNText_17</vt:lpstr>
      <vt:lpstr>_Glob_MedDisc_PRNText_18</vt:lpstr>
      <vt:lpstr>_Glob_MedDisc_PRNText_19</vt:lpstr>
      <vt:lpstr>_Glob_MedDisc_PRNText_20</vt:lpstr>
      <vt:lpstr>_Glob_MedDisc_PRNText_21</vt:lpstr>
      <vt:lpstr>_Glob_MedDisc_PRNText_22</vt:lpstr>
      <vt:lpstr>_Glob_MedDisc_PRNText_23</vt:lpstr>
      <vt:lpstr>_Glob_MedDisc_PRNText_24</vt:lpstr>
      <vt:lpstr>_Glob_MedDisc_PRNText_25</vt:lpstr>
      <vt:lpstr>_Glob_MedDisc_PRNText_26</vt:lpstr>
      <vt:lpstr>_Glob_MedDisc_PRNText_27</vt:lpstr>
      <vt:lpstr>_Glob_MedDisc_PRNText_28</vt:lpstr>
      <vt:lpstr>_Glob_MedDisc_PRNText_29</vt:lpstr>
      <vt:lpstr>_Glob_MedDisc_PRNText_30</vt:lpstr>
      <vt:lpstr>_Glob_MedDisc_StandDose_01</vt:lpstr>
      <vt:lpstr>_Glob_MedDisc_StandDose_02</vt:lpstr>
      <vt:lpstr>_Glob_MedDisc_StandDose_03</vt:lpstr>
      <vt:lpstr>_Glob_MedDisc_StandDose_04</vt:lpstr>
      <vt:lpstr>_Glob_MedDisc_StandDose_05</vt:lpstr>
      <vt:lpstr>_Glob_MedDisc_StandDose_06</vt:lpstr>
      <vt:lpstr>_Glob_MedDisc_StandDose_07</vt:lpstr>
      <vt:lpstr>_Glob_MedDisc_StandDose_08</vt:lpstr>
      <vt:lpstr>_Glob_MedDisc_StandDose_09</vt:lpstr>
      <vt:lpstr>_Glob_MedDisc_StandDose_10</vt:lpstr>
      <vt:lpstr>_Glob_MedDisc_StandDose_11</vt:lpstr>
      <vt:lpstr>_Glob_MedDisc_StandDose_12</vt:lpstr>
      <vt:lpstr>_Glob_MedDisc_StandDose_13</vt:lpstr>
      <vt:lpstr>_Glob_MedDisc_StandDose_14</vt:lpstr>
      <vt:lpstr>_Glob_MedDisc_StandDose_15</vt:lpstr>
      <vt:lpstr>_Glob_MedDisc_StandDose_16</vt:lpstr>
      <vt:lpstr>_Glob_MedDisc_StandDose_17</vt:lpstr>
      <vt:lpstr>_Glob_MedDisc_StandDose_18</vt:lpstr>
      <vt:lpstr>_Glob_MedDisc_StandDose_19</vt:lpstr>
      <vt:lpstr>_Glob_MedDisc_StandDose_20</vt:lpstr>
      <vt:lpstr>_Glob_MedDisc_StandDose_21</vt:lpstr>
      <vt:lpstr>_Glob_MedDisc_StandDose_22</vt:lpstr>
      <vt:lpstr>_Glob_MedDisc_StandDose_23</vt:lpstr>
      <vt:lpstr>_Glob_MedDisc_StandDose_24</vt:lpstr>
      <vt:lpstr>_Glob_MedDisc_StandDose_25</vt:lpstr>
      <vt:lpstr>_Glob_MedDisc_StandDose_26</vt:lpstr>
      <vt:lpstr>_Glob_MedDisc_StandDose_27</vt:lpstr>
      <vt:lpstr>_Glob_MedDisc_StandDose_28</vt:lpstr>
      <vt:lpstr>_Glob_MedDisc_StandDose_29</vt:lpstr>
      <vt:lpstr>_Glob_MedDisc_StandDose_30</vt:lpstr>
      <vt:lpstr>_Glob_MedDisc_Sterkte_01</vt:lpstr>
      <vt:lpstr>_Glob_MedDisc_Sterkte_02</vt:lpstr>
      <vt:lpstr>_Glob_MedDisc_Sterkte_03</vt:lpstr>
      <vt:lpstr>_Glob_MedDisc_Sterkte_04</vt:lpstr>
      <vt:lpstr>_Glob_MedDisc_Sterkte_05</vt:lpstr>
      <vt:lpstr>_Glob_MedDisc_Sterkte_06</vt:lpstr>
      <vt:lpstr>_Glob_MedDisc_Sterkte_07</vt:lpstr>
      <vt:lpstr>_Glob_MedDisc_Sterkte_08</vt:lpstr>
      <vt:lpstr>_Glob_MedDisc_Sterkte_09</vt:lpstr>
      <vt:lpstr>_Glob_MedDisc_Sterkte_10</vt:lpstr>
      <vt:lpstr>_Glob_MedDisc_Sterkte_11</vt:lpstr>
      <vt:lpstr>_Glob_MedDisc_Sterkte_12</vt:lpstr>
      <vt:lpstr>_Glob_MedDisc_Sterkte_13</vt:lpstr>
      <vt:lpstr>_Glob_MedDisc_Sterkte_14</vt:lpstr>
      <vt:lpstr>_Glob_MedDisc_Sterkte_15</vt:lpstr>
      <vt:lpstr>_Glob_MedDisc_Sterkte_16</vt:lpstr>
      <vt:lpstr>_Glob_MedDisc_Sterkte_17</vt:lpstr>
      <vt:lpstr>_Glob_MedDisc_Sterkte_18</vt:lpstr>
      <vt:lpstr>_Glob_MedDisc_Sterkte_19</vt:lpstr>
      <vt:lpstr>_Glob_MedDisc_Sterkte_20</vt:lpstr>
      <vt:lpstr>_Glob_MedDisc_Sterkte_21</vt:lpstr>
      <vt:lpstr>_Glob_MedDisc_Sterkte_22</vt:lpstr>
      <vt:lpstr>_Glob_MedDisc_Sterkte_23</vt:lpstr>
      <vt:lpstr>_Glob_MedDisc_Sterkte_24</vt:lpstr>
      <vt:lpstr>_Glob_MedDisc_Sterkte_25</vt:lpstr>
      <vt:lpstr>_Glob_MedDisc_Sterkte_26</vt:lpstr>
      <vt:lpstr>_Glob_MedDisc_Sterkte_27</vt:lpstr>
      <vt:lpstr>_Glob_MedDisc_Sterkte_28</vt:lpstr>
      <vt:lpstr>_Glob_MedDisc_Sterkte_29</vt:lpstr>
      <vt:lpstr>_Glob_MedDisc_Sterkte_30</vt:lpstr>
      <vt:lpstr>_Glob_MedDisc_SterkteEenh_01</vt:lpstr>
      <vt:lpstr>_Glob_MedDisc_SterkteEenh_02</vt:lpstr>
      <vt:lpstr>_Glob_MedDisc_SterkteEenh_03</vt:lpstr>
      <vt:lpstr>_Glob_MedDisc_SterkteEenh_04</vt:lpstr>
      <vt:lpstr>_Glob_MedDisc_SterkteEenh_05</vt:lpstr>
      <vt:lpstr>_Glob_MedDisc_SterkteEenh_06</vt:lpstr>
      <vt:lpstr>_Glob_MedDisc_SterkteEenh_07</vt:lpstr>
      <vt:lpstr>_Glob_MedDisc_SterkteEenh_08</vt:lpstr>
      <vt:lpstr>_Glob_MedDisc_SterkteEenh_09</vt:lpstr>
      <vt:lpstr>_Glob_MedDisc_SterkteEenh_10</vt:lpstr>
      <vt:lpstr>_Glob_MedDisc_SterkteEenh_11</vt:lpstr>
      <vt:lpstr>_Glob_MedDisc_SterkteEenh_12</vt:lpstr>
      <vt:lpstr>_Glob_MedDisc_SterkteEenh_13</vt:lpstr>
      <vt:lpstr>_Glob_MedDisc_SterkteEenh_14</vt:lpstr>
      <vt:lpstr>_Glob_MedDisc_SterkteEenh_15</vt:lpstr>
      <vt:lpstr>_Glob_MedDisc_SterkteEenh_16</vt:lpstr>
      <vt:lpstr>_Glob_MedDisc_SterkteEenh_17</vt:lpstr>
      <vt:lpstr>_Glob_MedDisc_SterkteEenh_18</vt:lpstr>
      <vt:lpstr>_Glob_MedDisc_SterkteEenh_19</vt:lpstr>
      <vt:lpstr>_Glob_MedDisc_SterkteEenh_20</vt:lpstr>
      <vt:lpstr>_Glob_MedDisc_SterkteEenh_21</vt:lpstr>
      <vt:lpstr>_Glob_MedDisc_SterkteEenh_22</vt:lpstr>
      <vt:lpstr>_Glob_MedDisc_SterkteEenh_23</vt:lpstr>
      <vt:lpstr>_Glob_MedDisc_SterkteEenh_24</vt:lpstr>
      <vt:lpstr>_Glob_MedDisc_SterkteEenh_25</vt:lpstr>
      <vt:lpstr>_Glob_MedDisc_SterkteEenh_26</vt:lpstr>
      <vt:lpstr>_Glob_MedDisc_SterkteEenh_27</vt:lpstr>
      <vt:lpstr>_Glob_MedDisc_SterkteEenh_28</vt:lpstr>
      <vt:lpstr>_Glob_MedDisc_SterkteEenh_29</vt:lpstr>
      <vt:lpstr>_Glob_MedDisc_SterkteEenh_30</vt:lpstr>
      <vt:lpstr>_Glob_MedDisc_Tijden_01</vt:lpstr>
      <vt:lpstr>_Glob_MedDisc_Tijden_02</vt:lpstr>
      <vt:lpstr>_Glob_MedDisc_Tijden_03</vt:lpstr>
      <vt:lpstr>_Glob_MedDisc_Tijden_04</vt:lpstr>
      <vt:lpstr>_Glob_MedDisc_Tijden_05</vt:lpstr>
      <vt:lpstr>_Glob_MedDisc_Tijden_06</vt:lpstr>
      <vt:lpstr>_Glob_MedDisc_Tijden_07</vt:lpstr>
      <vt:lpstr>_Glob_MedDisc_Tijden_08</vt:lpstr>
      <vt:lpstr>_Glob_MedDisc_Tijden_09</vt:lpstr>
      <vt:lpstr>_Glob_MedDisc_Tijden_10</vt:lpstr>
      <vt:lpstr>_Glob_MedDisc_Tijden_11</vt:lpstr>
      <vt:lpstr>_Glob_MedDisc_Tijden_12</vt:lpstr>
      <vt:lpstr>_Glob_MedDisc_Tijden_13</vt:lpstr>
      <vt:lpstr>_Glob_MedDisc_Tijden_14</vt:lpstr>
      <vt:lpstr>_Glob_MedDisc_Tijden_15</vt:lpstr>
      <vt:lpstr>_Glob_MedDisc_Tijden_16</vt:lpstr>
      <vt:lpstr>_Glob_MedDisc_Tijden_17</vt:lpstr>
      <vt:lpstr>_Glob_MedDisc_Tijden_18</vt:lpstr>
      <vt:lpstr>_Glob_MedDisc_Tijden_19</vt:lpstr>
      <vt:lpstr>_Glob_MedDisc_Tijden_20</vt:lpstr>
      <vt:lpstr>_Glob_MedDisc_Tijden_21</vt:lpstr>
      <vt:lpstr>_Glob_MedDisc_Tijden_22</vt:lpstr>
      <vt:lpstr>_Glob_MedDisc_Tijden_23</vt:lpstr>
      <vt:lpstr>_Glob_MedDisc_Tijden_24</vt:lpstr>
      <vt:lpstr>_Glob_MedDisc_Tijden_25</vt:lpstr>
      <vt:lpstr>_Glob_MedDisc_Tijden_26</vt:lpstr>
      <vt:lpstr>_Glob_MedDisc_Tijden_27</vt:lpstr>
      <vt:lpstr>_Glob_MedDisc_Tijden_28</vt:lpstr>
      <vt:lpstr>_Glob_MedDisc_Tijden_29</vt:lpstr>
      <vt:lpstr>_Glob_MedDisc_Tijden_30</vt:lpstr>
      <vt:lpstr>_Glob_MedDisc_Toed_01</vt:lpstr>
      <vt:lpstr>_Glob_MedDisc_Toed_02</vt:lpstr>
      <vt:lpstr>_Glob_MedDisc_Toed_03</vt:lpstr>
      <vt:lpstr>_Glob_MedDisc_Toed_04</vt:lpstr>
      <vt:lpstr>_Glob_MedDisc_Toed_05</vt:lpstr>
      <vt:lpstr>_Glob_MedDisc_Toed_06</vt:lpstr>
      <vt:lpstr>_Glob_MedDisc_Toed_07</vt:lpstr>
      <vt:lpstr>_Glob_MedDisc_Toed_08</vt:lpstr>
      <vt:lpstr>_Glob_MedDisc_Toed_09</vt:lpstr>
      <vt:lpstr>_Glob_MedDisc_Toed_10</vt:lpstr>
      <vt:lpstr>_Glob_MedDisc_Toed_11</vt:lpstr>
      <vt:lpstr>_Glob_MedDisc_Toed_12</vt:lpstr>
      <vt:lpstr>_Glob_MedDisc_Toed_13</vt:lpstr>
      <vt:lpstr>_Glob_MedDisc_Toed_14</vt:lpstr>
      <vt:lpstr>_Glob_MedDisc_Toed_15</vt:lpstr>
      <vt:lpstr>_Glob_MedDisc_Toed_16</vt:lpstr>
      <vt:lpstr>_Glob_MedDisc_Toed_17</vt:lpstr>
      <vt:lpstr>_Glob_MedDisc_Toed_18</vt:lpstr>
      <vt:lpstr>_Glob_MedDisc_Toed_19</vt:lpstr>
      <vt:lpstr>_Glob_MedDisc_Toed_20</vt:lpstr>
      <vt:lpstr>_Glob_MedDisc_Toed_21</vt:lpstr>
      <vt:lpstr>_Glob_MedDisc_Toed_22</vt:lpstr>
      <vt:lpstr>_Glob_MedDisc_Toed_23</vt:lpstr>
      <vt:lpstr>_Glob_MedDisc_Toed_24</vt:lpstr>
      <vt:lpstr>_Glob_MedDisc_Toed_25</vt:lpstr>
      <vt:lpstr>_Glob_MedDisc_Toed_26</vt:lpstr>
      <vt:lpstr>_Glob_MedDisc_Toed_27</vt:lpstr>
      <vt:lpstr>_Glob_MedDisc_Toed_28</vt:lpstr>
      <vt:lpstr>_Glob_MedDisc_Toed_29</vt:lpstr>
      <vt:lpstr>_Glob_MedDisc_Toed_30</vt:lpstr>
      <vt:lpstr>_Glob_MedDisc_Vorm_01</vt:lpstr>
      <vt:lpstr>_Glob_MedDisc_Vorm_02</vt:lpstr>
      <vt:lpstr>_Glob_MedDisc_Vorm_03</vt:lpstr>
      <vt:lpstr>_Glob_MedDisc_Vorm_04</vt:lpstr>
      <vt:lpstr>_Glob_MedDisc_Vorm_05</vt:lpstr>
      <vt:lpstr>_Glob_MedDisc_Vorm_06</vt:lpstr>
      <vt:lpstr>_Glob_MedDisc_Vorm_07</vt:lpstr>
      <vt:lpstr>_Glob_MedDisc_Vorm_08</vt:lpstr>
      <vt:lpstr>_Glob_MedDisc_Vorm_09</vt:lpstr>
      <vt:lpstr>_Glob_MedDisc_Vorm_10</vt:lpstr>
      <vt:lpstr>_Glob_MedDisc_Vorm_11</vt:lpstr>
      <vt:lpstr>_Glob_MedDisc_Vorm_12</vt:lpstr>
      <vt:lpstr>_Glob_MedDisc_Vorm_13</vt:lpstr>
      <vt:lpstr>_Glob_MedDisc_Vorm_14</vt:lpstr>
      <vt:lpstr>_Glob_MedDisc_Vorm_15</vt:lpstr>
      <vt:lpstr>_Glob_MedDisc_Vorm_16</vt:lpstr>
      <vt:lpstr>_Glob_MedDisc_Vorm_17</vt:lpstr>
      <vt:lpstr>_Glob_MedDisc_Vorm_18</vt:lpstr>
      <vt:lpstr>_Glob_MedDisc_Vorm_19</vt:lpstr>
      <vt:lpstr>_Glob_MedDisc_Vorm_20</vt:lpstr>
      <vt:lpstr>_Glob_MedDisc_Vorm_21</vt:lpstr>
      <vt:lpstr>_Glob_MedDisc_Vorm_22</vt:lpstr>
      <vt:lpstr>_Glob_MedDisc_Vorm_23</vt:lpstr>
      <vt:lpstr>_Glob_MedDisc_Vorm_24</vt:lpstr>
      <vt:lpstr>_Glob_MedDisc_Vorm_25</vt:lpstr>
      <vt:lpstr>_Glob_MedDisc_Vorm_26</vt:lpstr>
      <vt:lpstr>_Glob_MedDisc_Vorm_27</vt:lpstr>
      <vt:lpstr>_Glob_MedDisc_Vorm_28</vt:lpstr>
      <vt:lpstr>_Glob_MedDisc_Vorm_29</vt:lpstr>
      <vt:lpstr>_Glob_MedDisc_Vorm_30</vt:lpstr>
      <vt:lpstr>_Neo_1700_Cont_ArtLijn</vt:lpstr>
      <vt:lpstr>_Neo_1700_Cont_MedKeuze_1</vt:lpstr>
      <vt:lpstr>_Neo_1700_Cont_MedKeuze_2</vt:lpstr>
      <vt:lpstr>_Neo_1700_Cont_MedKeuze_3</vt:lpstr>
      <vt:lpstr>_Neo_1700_Cont_MedKeuze_4</vt:lpstr>
      <vt:lpstr>_Neo_1700_Cont_MedKeuze_5</vt:lpstr>
      <vt:lpstr>_Neo_1700_Cont_MedKeuze_6</vt:lpstr>
      <vt:lpstr>_Neo_1700_Cont_MedKeuze_7</vt:lpstr>
      <vt:lpstr>_Neo_1700_Cont_MedKeuze_8</vt:lpstr>
      <vt:lpstr>_Neo_1700_Cont_MedKeuze_9</vt:lpstr>
      <vt:lpstr>_Neo_1700_Cont_MedSterkte_1</vt:lpstr>
      <vt:lpstr>_Neo_1700_Cont_MedSterkte_2</vt:lpstr>
      <vt:lpstr>_Neo_1700_Cont_MedSterkte_3</vt:lpstr>
      <vt:lpstr>_Neo_1700_Cont_MedSterkte_4</vt:lpstr>
      <vt:lpstr>_Neo_1700_Cont_MedSterkte_5</vt:lpstr>
      <vt:lpstr>_Neo_1700_Cont_MedSterkte_6</vt:lpstr>
      <vt:lpstr>_Neo_1700_Cont_MedSterkte_7</vt:lpstr>
      <vt:lpstr>_Neo_1700_Cont_MedSterkte_8</vt:lpstr>
      <vt:lpstr>_Neo_1700_Cont_MedSterkte_9</vt:lpstr>
      <vt:lpstr>_Neo_1700_Cont_MedTekst_1</vt:lpstr>
      <vt:lpstr>_Neo_1700_Cont_MedTekst_2</vt:lpstr>
      <vt:lpstr>_Neo_1700_Cont_OplHoev_1</vt:lpstr>
      <vt:lpstr>_Neo_1700_Cont_OplHoev_2</vt:lpstr>
      <vt:lpstr>_Neo_1700_Cont_OplHoev_3</vt:lpstr>
      <vt:lpstr>_Neo_1700_Cont_OplHoev_4</vt:lpstr>
      <vt:lpstr>_Neo_1700_Cont_OplHoev_5</vt:lpstr>
      <vt:lpstr>_Neo_1700_Cont_OplHoev_6</vt:lpstr>
      <vt:lpstr>_Neo_1700_Cont_OplHoev_7</vt:lpstr>
      <vt:lpstr>_Neo_1700_Cont_OplHoev_8</vt:lpstr>
      <vt:lpstr>_Neo_1700_Cont_OplHoev_9</vt:lpstr>
      <vt:lpstr>_Neo_1700_Cont_Oplossing_01</vt:lpstr>
      <vt:lpstr>_Neo_1700_Cont_Oplossing_02</vt:lpstr>
      <vt:lpstr>_Neo_1700_Cont_Oplossing_03</vt:lpstr>
      <vt:lpstr>_Neo_1700_Cont_Oplossing_04</vt:lpstr>
      <vt:lpstr>_Neo_1700_Cont_Oplossing_05</vt:lpstr>
      <vt:lpstr>_Neo_1700_Cont_Oplossing_06</vt:lpstr>
      <vt:lpstr>_Neo_1700_Cont_Oplossing_07</vt:lpstr>
      <vt:lpstr>_Neo_1700_Cont_Oplossing_08</vt:lpstr>
      <vt:lpstr>_Neo_1700_Cont_Oplossing_09</vt:lpstr>
      <vt:lpstr>_Neo_1700_Cont_Oplossing_10</vt:lpstr>
      <vt:lpstr>_Neo_1700_Cont_Oplossing_11</vt:lpstr>
      <vt:lpstr>_Neo_1700_Cont_Oplossing_12</vt:lpstr>
      <vt:lpstr>_Neo_1700_Cont_Stand_01</vt:lpstr>
      <vt:lpstr>_Neo_1700_Cont_Stand_02</vt:lpstr>
      <vt:lpstr>_Neo_1700_Cont_Stand_03</vt:lpstr>
      <vt:lpstr>_Neo_1700_Cont_Stand_04</vt:lpstr>
      <vt:lpstr>_Neo_1700_Cont_Stand_05</vt:lpstr>
      <vt:lpstr>_Neo_1700_Cont_Stand_06</vt:lpstr>
      <vt:lpstr>_Neo_1700_Cont_Stand_07</vt:lpstr>
      <vt:lpstr>_Neo_1700_Cont_Stand_08</vt:lpstr>
      <vt:lpstr>_Neo_1700_Cont_Stand_09</vt:lpstr>
      <vt:lpstr>_Neo_1700_Cont_Stand_10</vt:lpstr>
      <vt:lpstr>_Neo_1700_Cont_Stand_11</vt:lpstr>
      <vt:lpstr>_Neo_1700_Cont_Stand_12</vt:lpstr>
      <vt:lpstr>_Neo_1700_Cont_VochtExtra_01</vt:lpstr>
      <vt:lpstr>_Neo_1700_Cont_VochtExtra_02</vt:lpstr>
      <vt:lpstr>_Neo_1700_Cont_VochtExtra_03</vt:lpstr>
      <vt:lpstr>_Neo_1700_Cont_VochtExtra_04</vt:lpstr>
      <vt:lpstr>_Neo_1700_Cont_VochtExtra_05</vt:lpstr>
      <vt:lpstr>_Neo_1700_Cont_VochtExtra_06</vt:lpstr>
      <vt:lpstr>_Neo_1700_Cont_VochtExtra_07</vt:lpstr>
      <vt:lpstr>_Neo_1700_Cont_VochtExtra_08</vt:lpstr>
      <vt:lpstr>_Neo_1700_Cont_VochtExtra_09</vt:lpstr>
      <vt:lpstr>_Neo_1700_Cont_VochtExtra_10</vt:lpstr>
      <vt:lpstr>_Neo_1700_Cont_VochtExtra_11</vt:lpstr>
      <vt:lpstr>_Neo_1700_Cont_VochtExtra_12</vt:lpstr>
      <vt:lpstr>_Neo_1700_Cont_VochtExtra_13</vt:lpstr>
      <vt:lpstr>_Neo_1700_Cont_VochtExtra_14</vt:lpstr>
      <vt:lpstr>_Neo_1700_Ent_Frequentie_1</vt:lpstr>
      <vt:lpstr>_Neo_1700_Ent_Frequentie_2</vt:lpstr>
      <vt:lpstr>_Neo_1700_Ent_Hoeveelheid_1</vt:lpstr>
      <vt:lpstr>_Neo_1700_Ent_Hoeveelheid_2</vt:lpstr>
      <vt:lpstr>_Neo_1700_Ent_PercentageKeuze_0</vt:lpstr>
      <vt:lpstr>_Neo_1700_Ent_PercentageKeuze_1</vt:lpstr>
      <vt:lpstr>_Neo_1700_Ent_PercentageKeuze_2</vt:lpstr>
      <vt:lpstr>_Neo_1700_Ent_PercentageKeuze_3</vt:lpstr>
      <vt:lpstr>_Neo_1700_Ent_PercentageKeuze_4</vt:lpstr>
      <vt:lpstr>_Neo_1700_Ent_PercentageKeuze_5</vt:lpstr>
      <vt:lpstr>_Neo_1700_Ent_PercentageKeuze_6</vt:lpstr>
      <vt:lpstr>_Neo_1700_Ent_PercentageKeuze_7</vt:lpstr>
      <vt:lpstr>_Neo_1700_Ent_PercentageKeuze_8</vt:lpstr>
      <vt:lpstr>_Neo_1700_Ent_Toevoeging_1</vt:lpstr>
      <vt:lpstr>_Neo_1700_Ent_Toevoeging_2</vt:lpstr>
      <vt:lpstr>_Neo_1700_Ent_Toevoeging_3</vt:lpstr>
      <vt:lpstr>_Neo_1700_Ent_Toevoeging_4</vt:lpstr>
      <vt:lpstr>_Neo_1700_Ent_Toevoeging_5</vt:lpstr>
      <vt:lpstr>_Neo_1700_Ent_Toevoeging_6</vt:lpstr>
      <vt:lpstr>_Neo_1700_Ent_Toevoeging_7</vt:lpstr>
      <vt:lpstr>_Neo_1700_Ent_Toevoeging_8</vt:lpstr>
      <vt:lpstr>_Neo_1700_Ent_Voeding</vt:lpstr>
      <vt:lpstr>_Neo_1700_TPN_CaCl2</vt:lpstr>
      <vt:lpstr>_Neo_1700_TPN_DagKeuze</vt:lpstr>
      <vt:lpstr>_Neo_1700_TPN_Fototherapie</vt:lpstr>
      <vt:lpstr>_Neo_1700_TPN_GlucSterkte</vt:lpstr>
      <vt:lpstr>_Neo_1700_TPN_IntakePerKg</vt:lpstr>
      <vt:lpstr>_Neo_1700_TPN_IntraLipid</vt:lpstr>
      <vt:lpstr>_Neo_1700_TPN_IntralipidSmof</vt:lpstr>
      <vt:lpstr>_Neo_1700_TPN_KCl</vt:lpstr>
      <vt:lpstr>_Neo_1700_TPN_MgCl2</vt:lpstr>
      <vt:lpstr>_Neo_1700_TPN_Nacl</vt:lpstr>
      <vt:lpstr>_Neo_1700_TPN_NICUMix</vt:lpstr>
      <vt:lpstr>_Neo_1700_TPN_Parenteraal</vt:lpstr>
      <vt:lpstr>_Neo_1700_TPN_Primene</vt:lpstr>
      <vt:lpstr>_Neo_1700_TPN_SoluVit</vt:lpstr>
      <vt:lpstr>_Neo_1700_TPN_SSTB</vt:lpstr>
      <vt:lpstr>_Neo_AfsprB_aEEG</vt:lpstr>
      <vt:lpstr>_Neo_AfsprB_ArmLinks</vt:lpstr>
      <vt:lpstr>_Neo_AfsprB_ArmRechts</vt:lpstr>
      <vt:lpstr>_Neo_AfsprB_BeenLinks</vt:lpstr>
      <vt:lpstr>_Neo_AfsprB_BeenRechts</vt:lpstr>
      <vt:lpstr>_Neo_AfsprB_Bloedkweek</vt:lpstr>
      <vt:lpstr>_Neo_AfsprB_CatheterDemeure</vt:lpstr>
      <vt:lpstr>_Neo_AfsprB_CT</vt:lpstr>
      <vt:lpstr>_Neo_AfsprB_ECG</vt:lpstr>
      <vt:lpstr>_Neo_AfsprB_EchoBuik</vt:lpstr>
      <vt:lpstr>_Neo_AfsprB_EchoHart</vt:lpstr>
      <vt:lpstr>_Neo_AfsprB_FaecesBacterieel</vt:lpstr>
      <vt:lpstr>_Neo_AfsprB_Faeceskweek</vt:lpstr>
      <vt:lpstr>_Neo_AfsprB_FaecesRotaAdeno</vt:lpstr>
      <vt:lpstr>_Neo_AfsprB_FaecesSchimmelGist</vt:lpstr>
      <vt:lpstr>_Neo_AfsprB_FaecesViraal</vt:lpstr>
      <vt:lpstr>_Neo_AfsprB_Finnigan</vt:lpstr>
      <vt:lpstr>_Neo_AfsprB_Fototherapie</vt:lpstr>
      <vt:lpstr>_Neo_AfsprB_FototherapieStop</vt:lpstr>
      <vt:lpstr>_Neo_AfsprB_Gatrostoma</vt:lpstr>
      <vt:lpstr>_Neo_AfsprB_Gewicht</vt:lpstr>
      <vt:lpstr>_Neo_AfsprB_InfuusOpSlot</vt:lpstr>
      <vt:lpstr>_Neo_AfsprB_InfuusUit</vt:lpstr>
      <vt:lpstr>_Neo_AfsprB_Keelkweek</vt:lpstr>
      <vt:lpstr>_Neo_AfsprB_Lengte</vt:lpstr>
      <vt:lpstr>_Neo_AfsprB_Liquor</vt:lpstr>
      <vt:lpstr>_Neo_AfsprB_MaagsondeOpenHoog</vt:lpstr>
      <vt:lpstr>_Neo_AfsprB_Monitor</vt:lpstr>
      <vt:lpstr>_Neo_AfsprB_MRI</vt:lpstr>
      <vt:lpstr>_Neo_AfsprB_Neusspoelsel</vt:lpstr>
      <vt:lpstr>_Neo_AfsprB_NeusspoelselViraal</vt:lpstr>
      <vt:lpstr>_Neo_AfsprB_NIBD</vt:lpstr>
      <vt:lpstr>_Neo_AfsprB_NIBDAll</vt:lpstr>
      <vt:lpstr>_Neo_AfsprB_NIRS1</vt:lpstr>
      <vt:lpstr>_Neo_AfsprB_NIRS2</vt:lpstr>
      <vt:lpstr>_Neo_AfsprB_NIRSnier</vt:lpstr>
      <vt:lpstr>_Neo_AfsprB_OntslagAkkoord</vt:lpstr>
      <vt:lpstr>_Neo_AfsprB_OntslagInOverleg</vt:lpstr>
      <vt:lpstr>_Neo_AfsprB_OntslagNaVisite</vt:lpstr>
      <vt:lpstr>_Neo_AfsprB_Opnamekweken</vt:lpstr>
      <vt:lpstr>_Neo_AfsprB_OppervlakteGistSchimmel</vt:lpstr>
      <vt:lpstr>_Neo_AfsprB_Oppervlaktekweken</vt:lpstr>
      <vt:lpstr>_Neo_AfsprB_OppervlakteOpname</vt:lpstr>
      <vt:lpstr>_Neo_AfsprB_Pacemakerdraden</vt:lpstr>
      <vt:lpstr>_Neo_AfsprB_Peritoneaal</vt:lpstr>
      <vt:lpstr>_Neo_AfsprB_PeritoneaalVacuum</vt:lpstr>
      <vt:lpstr>_Neo_AfsprB_Pigtail</vt:lpstr>
      <vt:lpstr>_Neo_AfsprB_PigtailVacuum</vt:lpstr>
      <vt:lpstr>_Neo_AfsprB_Redon</vt:lpstr>
      <vt:lpstr>_Neo_AfsprB_RedonVacuum</vt:lpstr>
      <vt:lpstr>_Neo_AfsprB_Rickham</vt:lpstr>
      <vt:lpstr>_Neo_AfsprB_RS</vt:lpstr>
      <vt:lpstr>_Neo_AfsprB_RSdiagnostiek</vt:lpstr>
      <vt:lpstr>_Neo_AfsprB_SaturatiePost</vt:lpstr>
      <vt:lpstr>_Neo_AfsprB_SaturatiePre</vt:lpstr>
      <vt:lpstr>_Neo_AfsprB_Schedel</vt:lpstr>
      <vt:lpstr>_Neo_AfsprB_SputumBacterieel</vt:lpstr>
      <vt:lpstr>_Neo_AfsprB_Sputumkweek</vt:lpstr>
      <vt:lpstr>_Neo_AfsprB_SputumUreaplasmaMycoplasma</vt:lpstr>
      <vt:lpstr>_Neo_AfsprB_SputumViraal</vt:lpstr>
      <vt:lpstr>_Neo_AfsprB_Thorax1</vt:lpstr>
      <vt:lpstr>_Neo_AfsprB_Thorax2</vt:lpstr>
      <vt:lpstr>_Neo_AfsprB_Thorax3</vt:lpstr>
      <vt:lpstr>_Neo_AfsprB_Uitzuigkweek</vt:lpstr>
      <vt:lpstr>_Neo_AfsprB_Urine</vt:lpstr>
      <vt:lpstr>_Neo_AfsprB_Urine24uur</vt:lpstr>
      <vt:lpstr>_Neo_AfsprB_UrineCMV</vt:lpstr>
      <vt:lpstr>_Neo_AfsprB_Urinekweek</vt:lpstr>
      <vt:lpstr>_Neo_AfsprB_UrinekweekBacterieel</vt:lpstr>
      <vt:lpstr>_Neo_AfsprB_UrineMetabool</vt:lpstr>
      <vt:lpstr>_Neo_AfsprB_UrineNatriumKalium</vt:lpstr>
      <vt:lpstr>_Neo_AfsprB_UrineRchitis</vt:lpstr>
      <vt:lpstr>_Neo_AfsprB_UrineSediment</vt:lpstr>
      <vt:lpstr>_Neo_AfsprB_UrineSedimentKweek</vt:lpstr>
      <vt:lpstr>_Neo_AfsprB_UrineSedimentMaWoVr</vt:lpstr>
      <vt:lpstr>_Neo_AfsprB_Urostoma</vt:lpstr>
      <vt:lpstr>_Neo_AfsprB_Verliezen</vt:lpstr>
      <vt:lpstr>_Neo_AfsprB_VerliezenFFP</vt:lpstr>
      <vt:lpstr>_Neo_AfsprB_VerliezenNaCl</vt:lpstr>
      <vt:lpstr>_Neo_AfsprB_VerliezenRingerslactaat</vt:lpstr>
      <vt:lpstr>_Neo_AfsprB_Verwijderen</vt:lpstr>
      <vt:lpstr>_Neo_AfsprB_VerwijderenCAD</vt:lpstr>
      <vt:lpstr>_Neo_AfsprB_VerwijderenNVL</vt:lpstr>
      <vt:lpstr>_Neo_AfsprB_VerwijderenPAL</vt:lpstr>
      <vt:lpstr>_Neo_AfsprB_VerwijderenSilastic</vt:lpstr>
      <vt:lpstr>_Neo_AfsprB_Vochtbalans</vt:lpstr>
      <vt:lpstr>_Neo_AfsprB_WondkweekTekst</vt:lpstr>
      <vt:lpstr>_Neo_AfsprB_XBOZ</vt:lpstr>
      <vt:lpstr>_Neo_AfsprB_XThorax</vt:lpstr>
      <vt:lpstr>_Neo_AfsprD_AantalLampen</vt:lpstr>
      <vt:lpstr>_Neo_AfsprD_aEEG</vt:lpstr>
      <vt:lpstr>_Neo_AfsprD_GewichtFrequentie</vt:lpstr>
      <vt:lpstr>_Neo_AfsprD_GewichtPer</vt:lpstr>
      <vt:lpstr>_Neo_AfsprD_LengteFrequentie</vt:lpstr>
      <vt:lpstr>_Neo_AfsprD_LengtePer</vt:lpstr>
      <vt:lpstr>_Neo_AfsprD_LiquorHoogte</vt:lpstr>
      <vt:lpstr>_Neo_AfsprD_LiquorSub</vt:lpstr>
      <vt:lpstr>_Neo_AfsprD_NIBDdd</vt:lpstr>
      <vt:lpstr>_Neo_AfsprD_Rickhamdd</vt:lpstr>
      <vt:lpstr>_Neo_AfsprD_Rickhamml</vt:lpstr>
      <vt:lpstr>_Neo_AfsprD_SchedelFrequentie</vt:lpstr>
      <vt:lpstr>_Neo_AfsprD_SchedelPer</vt:lpstr>
      <vt:lpstr>_Neo_AfsprD_Thorax1Sub1</vt:lpstr>
      <vt:lpstr>_Neo_AfsprD_Thorax1Sub2</vt:lpstr>
      <vt:lpstr>_Neo_AfsprD_Thorax1Sub3</vt:lpstr>
      <vt:lpstr>_Neo_AfsprD_Thorax2Sub1</vt:lpstr>
      <vt:lpstr>_Neo_AfsprD_Thorax2Sub2</vt:lpstr>
      <vt:lpstr>_Neo_AfsprD_Thorax2Sub3</vt:lpstr>
      <vt:lpstr>_Neo_AfsprD_Thorax3Sub1</vt:lpstr>
      <vt:lpstr>_Neo_AfsprD_Thorax3Sub2</vt:lpstr>
      <vt:lpstr>_Neo_AfsprD_Thorax3Sub3</vt:lpstr>
      <vt:lpstr>_Neo_AfsprD_VerliezenFrequentie</vt:lpstr>
      <vt:lpstr>_Neo_AfsprD_Vertrek</vt:lpstr>
      <vt:lpstr>_Neo_AfsprD_Wondkweek</vt:lpstr>
      <vt:lpstr>_Neo_AfsprMRI</vt:lpstr>
      <vt:lpstr>_Neo_InfB_Cont_ArtLijn</vt:lpstr>
      <vt:lpstr>_Neo_InfB_Cont_MedKeuze_1</vt:lpstr>
      <vt:lpstr>_Neo_InfB_Cont_MedKeuze_2</vt:lpstr>
      <vt:lpstr>_Neo_InfB_Cont_MedKeuze_3</vt:lpstr>
      <vt:lpstr>_Neo_InfB_Cont_MedKeuze_4</vt:lpstr>
      <vt:lpstr>_Neo_InfB_Cont_MedKeuze_5</vt:lpstr>
      <vt:lpstr>_Neo_InfB_Cont_MedKeuze_6</vt:lpstr>
      <vt:lpstr>_Neo_InfB_Cont_MedKeuze_7</vt:lpstr>
      <vt:lpstr>_Neo_InfB_Cont_MedKeuze_8</vt:lpstr>
      <vt:lpstr>_Neo_InfB_Cont_MedKeuze_9</vt:lpstr>
      <vt:lpstr>_Neo_InfB_Cont_MedSterkte_1</vt:lpstr>
      <vt:lpstr>_Neo_InfB_Cont_MedSterkte_2</vt:lpstr>
      <vt:lpstr>_Neo_InfB_Cont_MedSterkte_3</vt:lpstr>
      <vt:lpstr>_Neo_InfB_Cont_MedSterkte_4</vt:lpstr>
      <vt:lpstr>_Neo_InfB_Cont_MedSterkte_5</vt:lpstr>
      <vt:lpstr>_Neo_InfB_Cont_MedSterkte_6</vt:lpstr>
      <vt:lpstr>_Neo_InfB_Cont_MedSterkte_7</vt:lpstr>
      <vt:lpstr>_Neo_InfB_Cont_MedSterkte_8</vt:lpstr>
      <vt:lpstr>_Neo_InfB_Cont_MedSterkte_9</vt:lpstr>
      <vt:lpstr>_Neo_InfB_Cont_MedTekst_1</vt:lpstr>
      <vt:lpstr>_Neo_InfB_Cont_MedTekst_2</vt:lpstr>
      <vt:lpstr>_Neo_InfB_Cont_OplHoev_1</vt:lpstr>
      <vt:lpstr>_Neo_InfB_Cont_OplHoev_2</vt:lpstr>
      <vt:lpstr>_Neo_InfB_Cont_OplHoev_3</vt:lpstr>
      <vt:lpstr>_Neo_InfB_Cont_OplHoev_4</vt:lpstr>
      <vt:lpstr>_Neo_InfB_Cont_OplHoev_5</vt:lpstr>
      <vt:lpstr>_Neo_InfB_Cont_OplHoev_6</vt:lpstr>
      <vt:lpstr>_Neo_InfB_Cont_OplHoev_7</vt:lpstr>
      <vt:lpstr>_Neo_InfB_Cont_OplHoev_8</vt:lpstr>
      <vt:lpstr>_Neo_InfB_Cont_OplHoev_9</vt:lpstr>
      <vt:lpstr>_Neo_InfB_Cont_Oplossing_01</vt:lpstr>
      <vt:lpstr>_Neo_InfB_Cont_Oplossing_02</vt:lpstr>
      <vt:lpstr>_Neo_InfB_Cont_Oplossing_03</vt:lpstr>
      <vt:lpstr>_Neo_InfB_Cont_Oplossing_04</vt:lpstr>
      <vt:lpstr>_Neo_InfB_Cont_Oplossing_05</vt:lpstr>
      <vt:lpstr>_Neo_InfB_Cont_Oplossing_06</vt:lpstr>
      <vt:lpstr>_Neo_InfB_Cont_Oplossing_07</vt:lpstr>
      <vt:lpstr>_Neo_InfB_Cont_Oplossing_08</vt:lpstr>
      <vt:lpstr>_Neo_InfB_Cont_Oplossing_09</vt:lpstr>
      <vt:lpstr>_Neo_InfB_Cont_Oplossing_10</vt:lpstr>
      <vt:lpstr>_Neo_InfB_Cont_Oplossing_11</vt:lpstr>
      <vt:lpstr>_Neo_InfB_Cont_Oplossing_12</vt:lpstr>
      <vt:lpstr>_Neo_InfB_Cont_Stand_01</vt:lpstr>
      <vt:lpstr>_Neo_InfB_Cont_Stand_02</vt:lpstr>
      <vt:lpstr>_Neo_InfB_Cont_Stand_03</vt:lpstr>
      <vt:lpstr>_Neo_InfB_Cont_Stand_04</vt:lpstr>
      <vt:lpstr>_Neo_InfB_Cont_Stand_05</vt:lpstr>
      <vt:lpstr>_Neo_InfB_Cont_Stand_06</vt:lpstr>
      <vt:lpstr>_Neo_InfB_Cont_Stand_07</vt:lpstr>
      <vt:lpstr>_Neo_InfB_Cont_Stand_08</vt:lpstr>
      <vt:lpstr>_Neo_InfB_Cont_Stand_09</vt:lpstr>
      <vt:lpstr>_Neo_InfB_Cont_Stand_10</vt:lpstr>
      <vt:lpstr>_Neo_InfB_Cont_Stand_11</vt:lpstr>
      <vt:lpstr>_Neo_InfB_Cont_Stand_12</vt:lpstr>
      <vt:lpstr>_Neo_InfB_Cont_VochtExtra_01</vt:lpstr>
      <vt:lpstr>_Neo_InfB_Cont_VochtExtra_02</vt:lpstr>
      <vt:lpstr>_Neo_InfB_Cont_VochtExtra_03</vt:lpstr>
      <vt:lpstr>_Neo_InfB_Cont_VochtExtra_04</vt:lpstr>
      <vt:lpstr>_Neo_InfB_Cont_VochtExtra_05</vt:lpstr>
      <vt:lpstr>_Neo_InfB_Cont_VochtExtra_06</vt:lpstr>
      <vt:lpstr>_Neo_InfB_Cont_VochtExtra_07</vt:lpstr>
      <vt:lpstr>_Neo_InfB_Cont_VochtExtra_08</vt:lpstr>
      <vt:lpstr>_Neo_InfB_Cont_VochtExtra_09</vt:lpstr>
      <vt:lpstr>_Neo_InfB_Cont_VochtExtra_10</vt:lpstr>
      <vt:lpstr>_Neo_InfB_Cont_VochtExtra_11</vt:lpstr>
      <vt:lpstr>_Neo_InfB_Cont_VochtExtra_12</vt:lpstr>
      <vt:lpstr>_Neo_InfB_Cont_VochtExtra_13</vt:lpstr>
      <vt:lpstr>_Neo_InfB_Cont_VochtExtra_14</vt:lpstr>
      <vt:lpstr>_Neo_InfB_Ent_Frequentie_1</vt:lpstr>
      <vt:lpstr>_Neo_InfB_Ent_Frequentie_2</vt:lpstr>
      <vt:lpstr>_Neo_InfB_Ent_Hoeveelheid_1</vt:lpstr>
      <vt:lpstr>_Neo_InfB_Ent_Hoeveelheid_2</vt:lpstr>
      <vt:lpstr>_Neo_InfB_Ent_PercentageKeuze_0</vt:lpstr>
      <vt:lpstr>_Neo_InfB_Ent_PercentageKeuze_1</vt:lpstr>
      <vt:lpstr>_Neo_InfB_Ent_PercentageKeuze_2</vt:lpstr>
      <vt:lpstr>_Neo_InfB_Ent_PercentageKeuze_3</vt:lpstr>
      <vt:lpstr>_Neo_InfB_Ent_PercentageKeuze_4</vt:lpstr>
      <vt:lpstr>_Neo_InfB_Ent_PercentageKeuze_5</vt:lpstr>
      <vt:lpstr>_Neo_InfB_Ent_PercentageKeuze_6</vt:lpstr>
      <vt:lpstr>_Neo_InfB_Ent_PercentageKeuze_7</vt:lpstr>
      <vt:lpstr>_Neo_InfB_Ent_PercentageKeuze_8</vt:lpstr>
      <vt:lpstr>_Neo_InfB_Ent_Toevoeging_1</vt:lpstr>
      <vt:lpstr>_Neo_InfB_Ent_Toevoeging_2</vt:lpstr>
      <vt:lpstr>_Neo_InfB_Ent_Toevoeging_3</vt:lpstr>
      <vt:lpstr>_Neo_InfB_Ent_Toevoeging_4</vt:lpstr>
      <vt:lpstr>_Neo_InfB_Ent_Toevoeging_5</vt:lpstr>
      <vt:lpstr>_Neo_InfB_Ent_Toevoeging_6</vt:lpstr>
      <vt:lpstr>_Neo_InfB_Ent_Toevoeging_7</vt:lpstr>
      <vt:lpstr>_Neo_InfB_Ent_Toevoeging_8</vt:lpstr>
      <vt:lpstr>_Neo_InfB_Ent_Voeding</vt:lpstr>
      <vt:lpstr>_Neo_InfB_TPN_CaCl2</vt:lpstr>
      <vt:lpstr>_Neo_InfB_TPN_DagKeuze</vt:lpstr>
      <vt:lpstr>_Neo_InfB_TPN_Fototherapie</vt:lpstr>
      <vt:lpstr>_Neo_InfB_TPN_GlucSterkte</vt:lpstr>
      <vt:lpstr>_Neo_InfB_TPN_IntakePerKg</vt:lpstr>
      <vt:lpstr>_Neo_InfB_TPN_IntraLipid</vt:lpstr>
      <vt:lpstr>_Neo_InfB_TPN_IntralipidSmof</vt:lpstr>
      <vt:lpstr>_Neo_InfB_TPN_KCl</vt:lpstr>
      <vt:lpstr>_Neo_InfB_TPN_MgCl2</vt:lpstr>
      <vt:lpstr>_Neo_InfB_TPN_Nacl</vt:lpstr>
      <vt:lpstr>_Neo_InfB_TPN_NICUMix</vt:lpstr>
      <vt:lpstr>_Neo_InfB_TPN_Parenteraal</vt:lpstr>
      <vt:lpstr>_Neo_InfB_TPN_Primene</vt:lpstr>
      <vt:lpstr>_Neo_InfB_TPN_SoluVit</vt:lpstr>
      <vt:lpstr>_Neo_InfB_TPN_SSTB</vt:lpstr>
      <vt:lpstr>_Neo_Lab_04_01</vt:lpstr>
      <vt:lpstr>_Neo_Lab_04_02</vt:lpstr>
      <vt:lpstr>_Neo_Lab_04_03</vt:lpstr>
      <vt:lpstr>_Neo_Lab_04_04</vt:lpstr>
      <vt:lpstr>_Neo_Lab_04_05</vt:lpstr>
      <vt:lpstr>_Neo_Lab_04_06</vt:lpstr>
      <vt:lpstr>_Neo_Lab_04_07</vt:lpstr>
      <vt:lpstr>_Neo_Lab_04_08</vt:lpstr>
      <vt:lpstr>_Neo_Lab_04_09</vt:lpstr>
      <vt:lpstr>_Neo_Lab_04_10</vt:lpstr>
      <vt:lpstr>_Neo_Lab_04_11</vt:lpstr>
      <vt:lpstr>_Neo_Lab_04_12</vt:lpstr>
      <vt:lpstr>_Neo_Lab_04_13</vt:lpstr>
      <vt:lpstr>_Neo_Lab_04_14</vt:lpstr>
      <vt:lpstr>_Neo_Lab_04_15</vt:lpstr>
      <vt:lpstr>_Neo_Lab_04_16</vt:lpstr>
      <vt:lpstr>_Neo_Lab_04_17</vt:lpstr>
      <vt:lpstr>_Neo_Lab_04_18</vt:lpstr>
      <vt:lpstr>_Neo_Lab_04_19</vt:lpstr>
      <vt:lpstr>_Neo_Lab_04_20</vt:lpstr>
      <vt:lpstr>_Neo_Lab_04_21</vt:lpstr>
      <vt:lpstr>_Neo_Lab_04_22</vt:lpstr>
      <vt:lpstr>_Neo_Lab_04_23</vt:lpstr>
      <vt:lpstr>_Neo_Lab_04_24</vt:lpstr>
      <vt:lpstr>_Neo_Lab_04_25</vt:lpstr>
      <vt:lpstr>_Neo_Lab_04_26</vt:lpstr>
      <vt:lpstr>_Neo_Lab_04_27</vt:lpstr>
      <vt:lpstr>_Neo_Lab_04_28</vt:lpstr>
      <vt:lpstr>_Neo_Lab_04_29</vt:lpstr>
      <vt:lpstr>_Neo_Lab_04_30</vt:lpstr>
      <vt:lpstr>_Neo_Lab_04_31</vt:lpstr>
      <vt:lpstr>_Neo_Lab_12_01</vt:lpstr>
      <vt:lpstr>_Neo_Lab_12_02</vt:lpstr>
      <vt:lpstr>_Neo_Lab_12_03</vt:lpstr>
      <vt:lpstr>_Neo_Lab_12_04</vt:lpstr>
      <vt:lpstr>_Neo_Lab_12_05</vt:lpstr>
      <vt:lpstr>_Neo_Lab_12_06</vt:lpstr>
      <vt:lpstr>_Neo_Lab_12_07</vt:lpstr>
      <vt:lpstr>_Neo_Lab_12_08</vt:lpstr>
      <vt:lpstr>_Neo_Lab_12_09</vt:lpstr>
      <vt:lpstr>_Neo_Lab_12_10</vt:lpstr>
      <vt:lpstr>_Neo_Lab_12_11</vt:lpstr>
      <vt:lpstr>_Neo_Lab_12_12</vt:lpstr>
      <vt:lpstr>_Neo_Lab_12_13</vt:lpstr>
      <vt:lpstr>_Neo_Lab_12_14</vt:lpstr>
      <vt:lpstr>_Neo_Lab_12_15</vt:lpstr>
      <vt:lpstr>_Neo_Lab_12_16</vt:lpstr>
      <vt:lpstr>_Neo_Lab_12_17</vt:lpstr>
      <vt:lpstr>_Neo_Lab_12_18</vt:lpstr>
      <vt:lpstr>_Neo_Lab_12_19</vt:lpstr>
      <vt:lpstr>_Neo_Lab_12_20</vt:lpstr>
      <vt:lpstr>_Neo_Lab_12_21</vt:lpstr>
      <vt:lpstr>_Neo_Lab_12_22</vt:lpstr>
      <vt:lpstr>_Neo_Lab_12_23</vt:lpstr>
      <vt:lpstr>_Neo_Lab_12_24</vt:lpstr>
      <vt:lpstr>_Neo_Lab_12_25</vt:lpstr>
      <vt:lpstr>_Neo_Lab_12_26</vt:lpstr>
      <vt:lpstr>_Neo_Lab_12_27</vt:lpstr>
      <vt:lpstr>_Neo_Lab_12_28</vt:lpstr>
      <vt:lpstr>_Neo_Lab_12_29</vt:lpstr>
      <vt:lpstr>_Neo_Lab_12_30</vt:lpstr>
      <vt:lpstr>_Neo_Lab_12_31</vt:lpstr>
      <vt:lpstr>_Neo_Lab_16_01</vt:lpstr>
      <vt:lpstr>_Neo_Lab_16_02</vt:lpstr>
      <vt:lpstr>_Neo_Lab_16_03</vt:lpstr>
      <vt:lpstr>_Neo_Lab_16_04</vt:lpstr>
      <vt:lpstr>_Neo_Lab_16_05</vt:lpstr>
      <vt:lpstr>_Neo_Lab_16_06</vt:lpstr>
      <vt:lpstr>_Neo_Lab_16_07</vt:lpstr>
      <vt:lpstr>_Neo_Lab_16_08</vt:lpstr>
      <vt:lpstr>_Neo_Lab_16_09</vt:lpstr>
      <vt:lpstr>_Neo_Lab_16_10</vt:lpstr>
      <vt:lpstr>_Neo_Lab_16_11</vt:lpstr>
      <vt:lpstr>_Neo_Lab_16_12</vt:lpstr>
      <vt:lpstr>_Neo_Lab_16_13</vt:lpstr>
      <vt:lpstr>_Neo_Lab_16_14</vt:lpstr>
      <vt:lpstr>_Neo_Lab_16_15</vt:lpstr>
      <vt:lpstr>_Neo_Lab_16_16</vt:lpstr>
      <vt:lpstr>_Neo_Lab_16_17</vt:lpstr>
      <vt:lpstr>_Neo_Lab_16_18</vt:lpstr>
      <vt:lpstr>_Neo_Lab_16_19</vt:lpstr>
      <vt:lpstr>_Neo_Lab_16_20</vt:lpstr>
      <vt:lpstr>_Neo_Lab_16_21</vt:lpstr>
      <vt:lpstr>_Neo_Lab_16_22</vt:lpstr>
      <vt:lpstr>_Neo_Lab_16_23</vt:lpstr>
      <vt:lpstr>_Neo_Lab_16_24</vt:lpstr>
      <vt:lpstr>_Neo_Lab_16_25</vt:lpstr>
      <vt:lpstr>_Neo_Lab_16_26</vt:lpstr>
      <vt:lpstr>_Neo_Lab_16_27</vt:lpstr>
      <vt:lpstr>_Neo_Lab_16_28</vt:lpstr>
      <vt:lpstr>_Neo_Lab_16_29</vt:lpstr>
      <vt:lpstr>_Neo_Lab_16_30</vt:lpstr>
      <vt:lpstr>_Neo_Lab_16_31</vt:lpstr>
      <vt:lpstr>_Neo_Lab_20_01</vt:lpstr>
      <vt:lpstr>_Neo_Lab_20_02</vt:lpstr>
      <vt:lpstr>_Neo_Lab_20_03</vt:lpstr>
      <vt:lpstr>_Neo_Lab_20_04</vt:lpstr>
      <vt:lpstr>_Neo_Lab_20_05</vt:lpstr>
      <vt:lpstr>_Neo_Lab_20_06</vt:lpstr>
      <vt:lpstr>_Neo_Lab_20_07</vt:lpstr>
      <vt:lpstr>_Neo_Lab_20_08</vt:lpstr>
      <vt:lpstr>_Neo_Lab_20_09</vt:lpstr>
      <vt:lpstr>_Neo_Lab_20_10</vt:lpstr>
      <vt:lpstr>_Neo_Lab_20_11</vt:lpstr>
      <vt:lpstr>_Neo_Lab_20_12</vt:lpstr>
      <vt:lpstr>_Neo_Lab_20_13</vt:lpstr>
      <vt:lpstr>_Neo_Lab_20_14</vt:lpstr>
      <vt:lpstr>_Neo_Lab_20_15</vt:lpstr>
      <vt:lpstr>_Neo_Lab_20_16</vt:lpstr>
      <vt:lpstr>_Neo_Lab_20_17</vt:lpstr>
      <vt:lpstr>_Neo_Lab_20_18</vt:lpstr>
      <vt:lpstr>_Neo_Lab_20_19</vt:lpstr>
      <vt:lpstr>_Neo_Lab_20_20</vt:lpstr>
      <vt:lpstr>_Neo_Lab_20_21</vt:lpstr>
      <vt:lpstr>_Neo_Lab_20_22</vt:lpstr>
      <vt:lpstr>_Neo_Lab_20_23</vt:lpstr>
      <vt:lpstr>_Neo_Lab_20_24</vt:lpstr>
      <vt:lpstr>_Neo_Lab_20_25</vt:lpstr>
      <vt:lpstr>_Neo_Lab_20_26</vt:lpstr>
      <vt:lpstr>_Neo_Lab_20_27</vt:lpstr>
      <vt:lpstr>_Neo_Lab_20_28</vt:lpstr>
      <vt:lpstr>_Neo_Lab_20_29</vt:lpstr>
      <vt:lpstr>_Neo_Lab_20_30</vt:lpstr>
      <vt:lpstr>_Neo_Lab_20_31</vt:lpstr>
      <vt:lpstr>_Neo_Lab_24_01</vt:lpstr>
      <vt:lpstr>_Neo_Lab_24_02</vt:lpstr>
      <vt:lpstr>_Neo_Lab_24_03</vt:lpstr>
      <vt:lpstr>_Neo_Lab_24_04</vt:lpstr>
      <vt:lpstr>_Neo_Lab_24_05</vt:lpstr>
      <vt:lpstr>_Neo_Lab_24_06</vt:lpstr>
      <vt:lpstr>_Neo_Lab_24_07</vt:lpstr>
      <vt:lpstr>_Neo_Lab_24_08</vt:lpstr>
      <vt:lpstr>_Neo_Lab_24_09</vt:lpstr>
      <vt:lpstr>_Neo_Lab_24_10</vt:lpstr>
      <vt:lpstr>_Neo_Lab_24_11</vt:lpstr>
      <vt:lpstr>_Neo_Lab_24_12</vt:lpstr>
      <vt:lpstr>_Neo_Lab_24_13</vt:lpstr>
      <vt:lpstr>_Neo_Lab_24_14</vt:lpstr>
      <vt:lpstr>_Neo_Lab_24_15</vt:lpstr>
      <vt:lpstr>_Neo_Lab_24_16</vt:lpstr>
      <vt:lpstr>_Neo_Lab_24_17</vt:lpstr>
      <vt:lpstr>_Neo_Lab_24_18</vt:lpstr>
      <vt:lpstr>_Neo_Lab_24_19</vt:lpstr>
      <vt:lpstr>_Neo_Lab_24_20</vt:lpstr>
      <vt:lpstr>_Neo_Lab_24_21</vt:lpstr>
      <vt:lpstr>_Neo_Lab_24_22</vt:lpstr>
      <vt:lpstr>_Neo_Lab_24_23</vt:lpstr>
      <vt:lpstr>_Neo_Lab_24_24</vt:lpstr>
      <vt:lpstr>_Neo_Lab_24_25</vt:lpstr>
      <vt:lpstr>_Neo_Lab_24_26</vt:lpstr>
      <vt:lpstr>_Neo_Lab_24_27</vt:lpstr>
      <vt:lpstr>_Neo_Lab_24_28</vt:lpstr>
      <vt:lpstr>_Neo_Lab_24_29</vt:lpstr>
      <vt:lpstr>_Neo_Lab_24_30</vt:lpstr>
      <vt:lpstr>_Neo_Lab_24_31</vt:lpstr>
      <vt:lpstr>_Neo_Lab_Dag1_01</vt:lpstr>
      <vt:lpstr>_Neo_Lab_Dag1_02</vt:lpstr>
      <vt:lpstr>_Neo_Lab_Dag1_03</vt:lpstr>
      <vt:lpstr>_Neo_Lab_Dag1_04</vt:lpstr>
      <vt:lpstr>_Neo_Lab_Dag1_05</vt:lpstr>
      <vt:lpstr>_Neo_Lab_Dag1_06</vt:lpstr>
      <vt:lpstr>_Neo_Lab_Dag1_07</vt:lpstr>
      <vt:lpstr>_Neo_Lab_Dag1_08</vt:lpstr>
      <vt:lpstr>_Neo_Lab_Dag1_09</vt:lpstr>
      <vt:lpstr>_Neo_Lab_Dag1_10</vt:lpstr>
      <vt:lpstr>_Neo_Lab_Dag1_11</vt:lpstr>
      <vt:lpstr>_Neo_Lab_Dag1_12</vt:lpstr>
      <vt:lpstr>_Neo_Lab_Dag1_13</vt:lpstr>
      <vt:lpstr>_Neo_Lab_Dag1_14</vt:lpstr>
      <vt:lpstr>_Neo_Lab_Dag1_15</vt:lpstr>
      <vt:lpstr>_Neo_Lab_Dag1_16</vt:lpstr>
      <vt:lpstr>_Neo_Lab_Dag1_17</vt:lpstr>
      <vt:lpstr>_Neo_Lab_Dag1_18</vt:lpstr>
      <vt:lpstr>_Neo_Lab_Dag1_19</vt:lpstr>
      <vt:lpstr>_Neo_Lab_Dag1_20</vt:lpstr>
      <vt:lpstr>_Neo_Lab_Dag1_21</vt:lpstr>
      <vt:lpstr>_Neo_Lab_Dag1_22</vt:lpstr>
      <vt:lpstr>_Neo_Lab_Dag1_23</vt:lpstr>
      <vt:lpstr>_Neo_Lab_Dag1_24</vt:lpstr>
      <vt:lpstr>_Neo_Lab_Dag1_25</vt:lpstr>
      <vt:lpstr>_Neo_Lab_Dag1_26</vt:lpstr>
      <vt:lpstr>_Neo_Lab_Dag1_27</vt:lpstr>
      <vt:lpstr>_Neo_Lab_Dag1_28</vt:lpstr>
      <vt:lpstr>_Neo_Lab_Dag1_29</vt:lpstr>
      <vt:lpstr>_Neo_Lab_Dag1_30</vt:lpstr>
      <vt:lpstr>_Neo_Lab_Dag1_31</vt:lpstr>
      <vt:lpstr>_Neo_Lab_Dag2_01</vt:lpstr>
      <vt:lpstr>_Neo_Lab_Dag2_02</vt:lpstr>
      <vt:lpstr>_Neo_Lab_Dag2_03</vt:lpstr>
      <vt:lpstr>_Neo_Lab_Dag2_04</vt:lpstr>
      <vt:lpstr>_Neo_Lab_Dag2_05</vt:lpstr>
      <vt:lpstr>_Neo_Lab_Dag2_06</vt:lpstr>
      <vt:lpstr>_Neo_Lab_Dag2_07</vt:lpstr>
      <vt:lpstr>_Neo_Lab_Dag2_08</vt:lpstr>
      <vt:lpstr>_Neo_Lab_Dag2_09</vt:lpstr>
      <vt:lpstr>_Neo_Lab_Dag2_10</vt:lpstr>
      <vt:lpstr>_Neo_Lab_Dag2_11</vt:lpstr>
      <vt:lpstr>_Neo_Lab_Dag2_12</vt:lpstr>
      <vt:lpstr>_Neo_Lab_Dag2_13</vt:lpstr>
      <vt:lpstr>_Neo_Lab_Dag2_14</vt:lpstr>
      <vt:lpstr>_Neo_Lab_Dag2_15</vt:lpstr>
      <vt:lpstr>_Neo_Lab_Dag2_16</vt:lpstr>
      <vt:lpstr>_Neo_Lab_Dag2_17</vt:lpstr>
      <vt:lpstr>_Neo_Lab_Dag2_18</vt:lpstr>
      <vt:lpstr>_Neo_Lab_Dag2_19</vt:lpstr>
      <vt:lpstr>_Neo_Lab_Dag2_20</vt:lpstr>
      <vt:lpstr>_Neo_Lab_Dag2_21</vt:lpstr>
      <vt:lpstr>_Neo_Lab_Dag2_22</vt:lpstr>
      <vt:lpstr>_Neo_Lab_Dag2_23</vt:lpstr>
      <vt:lpstr>_Neo_Lab_Dag2_24</vt:lpstr>
      <vt:lpstr>_Neo_Lab_Dag2_25</vt:lpstr>
      <vt:lpstr>_Neo_Lab_Dag2_26</vt:lpstr>
      <vt:lpstr>_Neo_Lab_Dag2_27</vt:lpstr>
      <vt:lpstr>_Neo_Lab_Dag2_28</vt:lpstr>
      <vt:lpstr>_Neo_Lab_Dag2_29</vt:lpstr>
      <vt:lpstr>_Neo_Lab_Dag2_30</vt:lpstr>
      <vt:lpstr>_Neo_Lab_Dag2_31</vt:lpstr>
      <vt:lpstr>_Neo_Lab_Dag3_01</vt:lpstr>
      <vt:lpstr>_Neo_Lab_Dag3_02</vt:lpstr>
      <vt:lpstr>_Neo_Lab_Dag3_03</vt:lpstr>
      <vt:lpstr>_Neo_Lab_Dag3_04</vt:lpstr>
      <vt:lpstr>_Neo_Lab_Dag3_05</vt:lpstr>
      <vt:lpstr>_Neo_Lab_Dag3_06</vt:lpstr>
      <vt:lpstr>_Neo_Lab_Dag3_07</vt:lpstr>
      <vt:lpstr>_Neo_Lab_Dag3_08</vt:lpstr>
      <vt:lpstr>_Neo_Lab_Dag3_09</vt:lpstr>
      <vt:lpstr>_Neo_Lab_Dag3_10</vt:lpstr>
      <vt:lpstr>_Neo_Lab_Dag3_11</vt:lpstr>
      <vt:lpstr>_Neo_Lab_Dag3_12</vt:lpstr>
      <vt:lpstr>_Neo_Lab_Dag3_13</vt:lpstr>
      <vt:lpstr>_Neo_Lab_Dag3_14</vt:lpstr>
      <vt:lpstr>_Neo_Lab_Dag3_15</vt:lpstr>
      <vt:lpstr>_Neo_Lab_Dag3_16</vt:lpstr>
      <vt:lpstr>_Neo_Lab_Dag3_17</vt:lpstr>
      <vt:lpstr>_Neo_Lab_Dag3_18</vt:lpstr>
      <vt:lpstr>_Neo_Lab_Dag3_19</vt:lpstr>
      <vt:lpstr>_Neo_Lab_Dag3_20</vt:lpstr>
      <vt:lpstr>_Neo_Lab_Dag3_21</vt:lpstr>
      <vt:lpstr>_Neo_Lab_Dag3_22</vt:lpstr>
      <vt:lpstr>_Neo_Lab_Dag3_23</vt:lpstr>
      <vt:lpstr>_Neo_Lab_Dag3_24</vt:lpstr>
      <vt:lpstr>_Neo_Lab_Dag3_25</vt:lpstr>
      <vt:lpstr>_Neo_Lab_Dag3_26</vt:lpstr>
      <vt:lpstr>_Neo_Lab_Dag3_27</vt:lpstr>
      <vt:lpstr>_Neo_Lab_Dag3_28</vt:lpstr>
      <vt:lpstr>_Neo_Lab_Dag3_29</vt:lpstr>
      <vt:lpstr>_Neo_Lab_Dag3_30</vt:lpstr>
      <vt:lpstr>_Neo_Lab_Dag3_31</vt:lpstr>
      <vt:lpstr>_Neo_Lab_Opm</vt:lpstr>
      <vt:lpstr>_Neo_Lab_Opn_01</vt:lpstr>
      <vt:lpstr>_Neo_Lab_Opn_02</vt:lpstr>
      <vt:lpstr>_Neo_Lab_Opn_03</vt:lpstr>
      <vt:lpstr>_Neo_Lab_Opn_04</vt:lpstr>
      <vt:lpstr>_Neo_Lab_Opn_05</vt:lpstr>
      <vt:lpstr>_Neo_Lab_Opn_06</vt:lpstr>
      <vt:lpstr>_Neo_Lab_Opn_07</vt:lpstr>
      <vt:lpstr>_Neo_Lab_Opn_08</vt:lpstr>
      <vt:lpstr>_Neo_Lab_Opn_09</vt:lpstr>
      <vt:lpstr>_Neo_Lab_Opn_10</vt:lpstr>
      <vt:lpstr>_Neo_Lab_Opn_11</vt:lpstr>
      <vt:lpstr>_Neo_Lab_Opn_12</vt:lpstr>
      <vt:lpstr>_Neo_Lab_Opn_13</vt:lpstr>
      <vt:lpstr>_Neo_Lab_Opn_14</vt:lpstr>
      <vt:lpstr>_Neo_Lab_Opn_15</vt:lpstr>
      <vt:lpstr>_Neo_Lab_Opn_16</vt:lpstr>
      <vt:lpstr>_Neo_Lab_Opn_17</vt:lpstr>
      <vt:lpstr>_Neo_Lab_Opn_18</vt:lpstr>
      <vt:lpstr>_Neo_Lab_Opn_19</vt:lpstr>
      <vt:lpstr>_Neo_Lab_Opn_20</vt:lpstr>
      <vt:lpstr>_Neo_Lab_Opn_21</vt:lpstr>
      <vt:lpstr>_Neo_Lab_Opn_22</vt:lpstr>
      <vt:lpstr>_Neo_Lab_Opn_23</vt:lpstr>
      <vt:lpstr>_Neo_Lab_Opn_24</vt:lpstr>
      <vt:lpstr>_Neo_Lab_Opn_25</vt:lpstr>
      <vt:lpstr>_Neo_Lab_Opn_26</vt:lpstr>
      <vt:lpstr>_Neo_Lab_Opn_27</vt:lpstr>
      <vt:lpstr>_Neo_Lab_Opn_28</vt:lpstr>
      <vt:lpstr>_Neo_Lab_Opn_29</vt:lpstr>
      <vt:lpstr>_Neo_Lab_Opn_30</vt:lpstr>
      <vt:lpstr>_Neo_Lab_Opn_31</vt:lpstr>
      <vt:lpstr>_Neo_Lab_Opn_32</vt:lpstr>
      <vt:lpstr>_Pat_Dagen</vt:lpstr>
      <vt:lpstr>_Pat_GebGew</vt:lpstr>
      <vt:lpstr>_Pat_Gewicht</vt:lpstr>
      <vt:lpstr>_Pat_Lengte</vt:lpstr>
      <vt:lpstr>_Pat_OpnDatum</vt:lpstr>
      <vt:lpstr>_Pat_Weken</vt:lpstr>
      <vt:lpstr>_Ped_AfsprB_ArmLinks</vt:lpstr>
      <vt:lpstr>_Ped_AfsprB_ArmRechts</vt:lpstr>
      <vt:lpstr>_Ped_AfsprB_BeenLinks</vt:lpstr>
      <vt:lpstr>_Ped_AfsprB_BeenRechts</vt:lpstr>
      <vt:lpstr>_Ped_AfsprB_Buik</vt:lpstr>
      <vt:lpstr>_Ped_AfsprB_Catheter</vt:lpstr>
      <vt:lpstr>_Ped_AfsprB_CFM</vt:lpstr>
      <vt:lpstr>_Ped_AfsprB_Duodenumsonde</vt:lpstr>
      <vt:lpstr>_Ped_AfsprB_ECG</vt:lpstr>
      <vt:lpstr>_Ped_AfsprB_Gastrostoma</vt:lpstr>
      <vt:lpstr>_Ped_AfsprB_GCS</vt:lpstr>
      <vt:lpstr>_Ped_AfsprB_Gewicht</vt:lpstr>
      <vt:lpstr>_Ped_AfsprB_HardeKraag</vt:lpstr>
      <vt:lpstr>_Ped_AfsprB_Headblocks</vt:lpstr>
      <vt:lpstr>_Ped_AfsprB_ICP</vt:lpstr>
      <vt:lpstr>_Ped_AfsprB_Lengte</vt:lpstr>
      <vt:lpstr>_Ped_AfsprB_Liquor</vt:lpstr>
      <vt:lpstr>_Ped_AfsprB_Maagretentie</vt:lpstr>
      <vt:lpstr>_Ped_AfsprB_Maagsonde</vt:lpstr>
      <vt:lpstr>_Ped_AfsprB_NIBD</vt:lpstr>
      <vt:lpstr>_Ped_AfsprB_NIBDAlle</vt:lpstr>
      <vt:lpstr>_Ped_AfsprB_NIRS1</vt:lpstr>
      <vt:lpstr>_Ped_AfsprB_NIRS2</vt:lpstr>
      <vt:lpstr>_Ped_AfsprB_PEG</vt:lpstr>
      <vt:lpstr>_Ped_AfsprB_Peritoneaal</vt:lpstr>
      <vt:lpstr>_Ped_AfsprB_PeritoneaalVacuum</vt:lpstr>
      <vt:lpstr>_Ped_AfsprB_Pigtail</vt:lpstr>
      <vt:lpstr>_Ped_AfsprB_PigtailVacuum</vt:lpstr>
      <vt:lpstr>_Ped_AfsprB_Pupil</vt:lpstr>
      <vt:lpstr>_Ped_AfsprB_Redon</vt:lpstr>
      <vt:lpstr>_Ped_AfsprB_RedonVacuum</vt:lpstr>
      <vt:lpstr>_Ped_AfsprB_SaturatiePost</vt:lpstr>
      <vt:lpstr>_Ped_AfsprB_SaturatiePre</vt:lpstr>
      <vt:lpstr>_Ped_AfsprB_Schedel</vt:lpstr>
      <vt:lpstr>_Ped_AfsprB_Sedatie</vt:lpstr>
      <vt:lpstr>_Ped_AfsprB_Thorax1</vt:lpstr>
      <vt:lpstr>_Ped_AfsprB_Thorax2</vt:lpstr>
      <vt:lpstr>_Ped_AfsprB_Thorax3</vt:lpstr>
      <vt:lpstr>_Ped_AfsprB_TOSCA</vt:lpstr>
      <vt:lpstr>_Ped_AfsprB_Urostoma</vt:lpstr>
      <vt:lpstr>_Ped_AfsprB_Verliezen</vt:lpstr>
      <vt:lpstr>_Ped_AfsprB_ZachteKraag</vt:lpstr>
      <vt:lpstr>_Ped_AfsprD_GCSdd</vt:lpstr>
      <vt:lpstr>_Ped_AfsprD_GewichtFrequentie</vt:lpstr>
      <vt:lpstr>_Ped_AfsprD_GewichtPer</vt:lpstr>
      <vt:lpstr>_Ped_AfsprD_LengteFrequentie</vt:lpstr>
      <vt:lpstr>_Ped_AfsprD_LengtePer</vt:lpstr>
      <vt:lpstr>_Ped_AfsprD_LiquorHoogte</vt:lpstr>
      <vt:lpstr>_Ped_AfsprD_LiquorSub</vt:lpstr>
      <vt:lpstr>_Ped_AfsprD_MaagretentieUur</vt:lpstr>
      <vt:lpstr>_Ped_AfsprD_NIBDdd</vt:lpstr>
      <vt:lpstr>_Ped_AfsprD_Overig</vt:lpstr>
      <vt:lpstr>_Ped_AfsprD_SchedelFrequentie</vt:lpstr>
      <vt:lpstr>_Ped_AfsprD_SchedelPer</vt:lpstr>
      <vt:lpstr>_Ped_AfsprD_Thorax1Sub1</vt:lpstr>
      <vt:lpstr>_Ped_AfsprD_Thorax1Sub2</vt:lpstr>
      <vt:lpstr>_Ped_AfsprD_Thorax1Sub3</vt:lpstr>
      <vt:lpstr>_Ped_AfsprD_Thorax2Sub1</vt:lpstr>
      <vt:lpstr>_Ped_AfsprD_Thorax2Sub2</vt:lpstr>
      <vt:lpstr>_Ped_AfsprD_Thorax2Sub3</vt:lpstr>
      <vt:lpstr>_Ped_AfsprD_Thorax3Sub1</vt:lpstr>
      <vt:lpstr>_Ped_AfsprD_Thorax3Sub2</vt:lpstr>
      <vt:lpstr>_Ped_AfsprD_Thorax3Sub3</vt:lpstr>
      <vt:lpstr>_Ped_AfsprD_Verliezen</vt:lpstr>
      <vt:lpstr>_Ped_AfsprD_VerliezenStof</vt:lpstr>
      <vt:lpstr>_Ped_AfsprD_VerliezenUur</vt:lpstr>
      <vt:lpstr>_Ped_AfsprOverig</vt:lpstr>
      <vt:lpstr>_Ped_Ent_Freq_1</vt:lpstr>
      <vt:lpstr>_Ped_Ent_Freq_2</vt:lpstr>
      <vt:lpstr>_Ped_Ent_Freq_3</vt:lpstr>
      <vt:lpstr>_Ped_Ent_Freq_4</vt:lpstr>
      <vt:lpstr>_Ped_Ent_Keuze_1</vt:lpstr>
      <vt:lpstr>_Ped_Ent_Keuze_2</vt:lpstr>
      <vt:lpstr>_Ped_Ent_Keuze_3</vt:lpstr>
      <vt:lpstr>_Ped_Ent_Keuze_4</vt:lpstr>
      <vt:lpstr>_Ped_Ent_Opm</vt:lpstr>
      <vt:lpstr>_Ped_Ent_Sonde</vt:lpstr>
      <vt:lpstr>_Ped_Ent_Speciale_01</vt:lpstr>
      <vt:lpstr>_Ped_Ent_Speciale_02</vt:lpstr>
      <vt:lpstr>_Ped_Ent_Speciale_03</vt:lpstr>
      <vt:lpstr>_Ped_Ent_Speciale_04</vt:lpstr>
      <vt:lpstr>_Ped_Ent_Speciale_05</vt:lpstr>
      <vt:lpstr>_Ped_Ent_Speciale_06</vt:lpstr>
      <vt:lpstr>_Ped_Ent_Speciale_07</vt:lpstr>
      <vt:lpstr>_Ped_Ent_Speciale_08</vt:lpstr>
      <vt:lpstr>_Ped_Ent_Speciale_09</vt:lpstr>
      <vt:lpstr>_Ped_Ent_Speciale_10</vt:lpstr>
      <vt:lpstr>_Ped_Ent_Speciale_11</vt:lpstr>
      <vt:lpstr>_Ped_Ent_Speciale_12</vt:lpstr>
      <vt:lpstr>_Ped_Ent_Vol_1</vt:lpstr>
      <vt:lpstr>_Ped_Ent_Vol_2</vt:lpstr>
      <vt:lpstr>_Ped_Ent_Vol_3</vt:lpstr>
      <vt:lpstr>_Ped_Ent_Vol_4</vt:lpstr>
      <vt:lpstr>_Ped_IVLijn_1</vt:lpstr>
      <vt:lpstr>_Ped_IVLijn_2</vt:lpstr>
      <vt:lpstr>_Ped_IVLijn_3</vt:lpstr>
      <vt:lpstr>_Ped_IVLijn_4</vt:lpstr>
      <vt:lpstr>_Ped_IVLijn_5</vt:lpstr>
      <vt:lpstr>_Ped_IVLijn_6</vt:lpstr>
      <vt:lpstr>_Ped_IVLijn_Opm</vt:lpstr>
      <vt:lpstr>_Ped_Lab_14_01</vt:lpstr>
      <vt:lpstr>_Ped_Lab_14_02</vt:lpstr>
      <vt:lpstr>_Ped_Lab_14_03</vt:lpstr>
      <vt:lpstr>_Ped_Lab_14_04</vt:lpstr>
      <vt:lpstr>_Ped_Lab_14_05</vt:lpstr>
      <vt:lpstr>_Ped_Lab_14_06</vt:lpstr>
      <vt:lpstr>_Ped_Lab_14_07</vt:lpstr>
      <vt:lpstr>_Ped_Lab_14_08</vt:lpstr>
      <vt:lpstr>_Ped_Lab_14_09</vt:lpstr>
      <vt:lpstr>_Ped_Lab_14_10</vt:lpstr>
      <vt:lpstr>_Ped_Lab_14_11</vt:lpstr>
      <vt:lpstr>_Ped_Lab_14_12</vt:lpstr>
      <vt:lpstr>_Ped_Lab_14_13</vt:lpstr>
      <vt:lpstr>_Ped_Lab_14_14</vt:lpstr>
      <vt:lpstr>_Ped_Lab_14_15</vt:lpstr>
      <vt:lpstr>_Ped_Lab_14_16</vt:lpstr>
      <vt:lpstr>_Ped_Lab_14_17</vt:lpstr>
      <vt:lpstr>_Ped_Lab_14_18</vt:lpstr>
      <vt:lpstr>_Ped_Lab_14_19</vt:lpstr>
      <vt:lpstr>_Ped_Lab_14_20</vt:lpstr>
      <vt:lpstr>_Ped_Lab_14_21</vt:lpstr>
      <vt:lpstr>_Ped_Lab_14_22</vt:lpstr>
      <vt:lpstr>_Ped_Lab_14_23</vt:lpstr>
      <vt:lpstr>_Ped_Lab_14_24</vt:lpstr>
      <vt:lpstr>_Ped_Lab_14_25</vt:lpstr>
      <vt:lpstr>_Ped_Lab_14_26</vt:lpstr>
      <vt:lpstr>_Ped_Lab_14_27</vt:lpstr>
      <vt:lpstr>_Ped_Lab_14_28</vt:lpstr>
      <vt:lpstr>_Ped_Lab_14_29</vt:lpstr>
      <vt:lpstr>_Ped_Lab_14_30</vt:lpstr>
      <vt:lpstr>_Ped_Lab_14_31</vt:lpstr>
      <vt:lpstr>_Ped_Lab_19_01</vt:lpstr>
      <vt:lpstr>_Ped_Lab_19_02</vt:lpstr>
      <vt:lpstr>_Ped_Lab_19_03</vt:lpstr>
      <vt:lpstr>_Ped_Lab_19_04</vt:lpstr>
      <vt:lpstr>_Ped_Lab_19_05</vt:lpstr>
      <vt:lpstr>_Ped_Lab_19_06</vt:lpstr>
      <vt:lpstr>_Ped_Lab_19_07</vt:lpstr>
      <vt:lpstr>_Ped_Lab_19_08</vt:lpstr>
      <vt:lpstr>_Ped_Lab_19_09</vt:lpstr>
      <vt:lpstr>_Ped_Lab_19_10</vt:lpstr>
      <vt:lpstr>_Ped_Lab_19_11</vt:lpstr>
      <vt:lpstr>_Ped_Lab_19_12</vt:lpstr>
      <vt:lpstr>_Ped_Lab_19_13</vt:lpstr>
      <vt:lpstr>_Ped_Lab_19_14</vt:lpstr>
      <vt:lpstr>_Ped_Lab_19_15</vt:lpstr>
      <vt:lpstr>_Ped_Lab_19_16</vt:lpstr>
      <vt:lpstr>_Ped_Lab_19_17</vt:lpstr>
      <vt:lpstr>_Ped_Lab_19_18</vt:lpstr>
      <vt:lpstr>_Ped_Lab_19_19</vt:lpstr>
      <vt:lpstr>_Ped_Lab_19_20</vt:lpstr>
      <vt:lpstr>_Ped_Lab_19_21</vt:lpstr>
      <vt:lpstr>_Ped_Lab_19_22</vt:lpstr>
      <vt:lpstr>_Ped_Lab_19_23</vt:lpstr>
      <vt:lpstr>_Ped_Lab_19_24</vt:lpstr>
      <vt:lpstr>_Ped_Lab_19_25</vt:lpstr>
      <vt:lpstr>_Ped_Lab_19_26</vt:lpstr>
      <vt:lpstr>_Ped_Lab_19_27</vt:lpstr>
      <vt:lpstr>_Ped_Lab_19_28</vt:lpstr>
      <vt:lpstr>_Ped_Lab_19_29</vt:lpstr>
      <vt:lpstr>_Ped_Lab_19_30</vt:lpstr>
      <vt:lpstr>_Ped_Lab_19_31</vt:lpstr>
      <vt:lpstr>_Ped_Lab_19_32</vt:lpstr>
      <vt:lpstr>_Ped_Lab_24_01</vt:lpstr>
      <vt:lpstr>_Ped_Lab_24_02</vt:lpstr>
      <vt:lpstr>_Ped_Lab_24_03</vt:lpstr>
      <vt:lpstr>_Ped_Lab_24_04</vt:lpstr>
      <vt:lpstr>_Ped_Lab_24_05</vt:lpstr>
      <vt:lpstr>_Ped_Lab_24_06</vt:lpstr>
      <vt:lpstr>_Ped_Lab_24_07</vt:lpstr>
      <vt:lpstr>_Ped_Lab_24_08</vt:lpstr>
      <vt:lpstr>_Ped_Lab_24_09</vt:lpstr>
      <vt:lpstr>_Ped_Lab_24_10</vt:lpstr>
      <vt:lpstr>_Ped_Lab_24_11</vt:lpstr>
      <vt:lpstr>_Ped_Lab_24_12</vt:lpstr>
      <vt:lpstr>_Ped_Lab_24_13</vt:lpstr>
      <vt:lpstr>_Ped_Lab_24_14</vt:lpstr>
      <vt:lpstr>_Ped_Lab_24_15</vt:lpstr>
      <vt:lpstr>_Ped_Lab_24_16</vt:lpstr>
      <vt:lpstr>_Ped_Lab_24_17</vt:lpstr>
      <vt:lpstr>_Ped_Lab_24_18</vt:lpstr>
      <vt:lpstr>_Ped_Lab_24_19</vt:lpstr>
      <vt:lpstr>_Ped_Lab_24_20</vt:lpstr>
      <vt:lpstr>_Ped_Lab_24_21</vt:lpstr>
      <vt:lpstr>_Ped_Lab_24_22</vt:lpstr>
      <vt:lpstr>_Ped_Lab_24_23</vt:lpstr>
      <vt:lpstr>_Ped_Lab_24_24</vt:lpstr>
      <vt:lpstr>_Ped_Lab_24_25</vt:lpstr>
      <vt:lpstr>_Ped_Lab_24_26</vt:lpstr>
      <vt:lpstr>_Ped_Lab_24_27</vt:lpstr>
      <vt:lpstr>_Ped_Lab_24_28</vt:lpstr>
      <vt:lpstr>_Ped_Lab_24_29</vt:lpstr>
      <vt:lpstr>_Ped_Lab_24_30</vt:lpstr>
      <vt:lpstr>_Ped_Lab_24_31</vt:lpstr>
      <vt:lpstr>_Ped_Lab_Dag1_01</vt:lpstr>
      <vt:lpstr>_Ped_Lab_Dag1_02</vt:lpstr>
      <vt:lpstr>_Ped_Lab_Dag1_03</vt:lpstr>
      <vt:lpstr>_Ped_Lab_Dag1_04</vt:lpstr>
      <vt:lpstr>_Ped_Lab_Dag1_05</vt:lpstr>
      <vt:lpstr>_Ped_Lab_Dag1_06</vt:lpstr>
      <vt:lpstr>_Ped_Lab_Dag1_07</vt:lpstr>
      <vt:lpstr>_Ped_Lab_Dag1_08</vt:lpstr>
      <vt:lpstr>_Ped_Lab_Dag1_09</vt:lpstr>
      <vt:lpstr>_Ped_Lab_Dag1_10</vt:lpstr>
      <vt:lpstr>_Ped_Lab_Dag1_11</vt:lpstr>
      <vt:lpstr>_Ped_Lab_Dag1_12</vt:lpstr>
      <vt:lpstr>_Ped_Lab_Dag1_13</vt:lpstr>
      <vt:lpstr>_Ped_Lab_Dag1_14</vt:lpstr>
      <vt:lpstr>_Ped_Lab_Dag1_15</vt:lpstr>
      <vt:lpstr>_Ped_Lab_Dag1_16</vt:lpstr>
      <vt:lpstr>_Ped_Lab_Dag1_17</vt:lpstr>
      <vt:lpstr>_Ped_Lab_Dag1_18</vt:lpstr>
      <vt:lpstr>_Ped_Lab_Dag1_19</vt:lpstr>
      <vt:lpstr>_Ped_Lab_Dag1_20</vt:lpstr>
      <vt:lpstr>_Ped_Lab_Dag1_21</vt:lpstr>
      <vt:lpstr>_Ped_Lab_Dag1_22</vt:lpstr>
      <vt:lpstr>_Ped_Lab_Dag1_23</vt:lpstr>
      <vt:lpstr>_Ped_Lab_Dag1_24</vt:lpstr>
      <vt:lpstr>_Ped_Lab_Dag1_25</vt:lpstr>
      <vt:lpstr>_Ped_Lab_Dag1_26</vt:lpstr>
      <vt:lpstr>_Ped_Lab_Dag1_27</vt:lpstr>
      <vt:lpstr>_Ped_Lab_Dag1_28</vt:lpstr>
      <vt:lpstr>_Ped_Lab_Dag1_29</vt:lpstr>
      <vt:lpstr>_Ped_Lab_Dag1_30</vt:lpstr>
      <vt:lpstr>_Ped_Lab_Dag1_31</vt:lpstr>
      <vt:lpstr>_Ped_Lab_Opm</vt:lpstr>
      <vt:lpstr>_Ped_Lab_Opn_01</vt:lpstr>
      <vt:lpstr>_Ped_Lab_Opn_02</vt:lpstr>
      <vt:lpstr>_Ped_Lab_Opn_03</vt:lpstr>
      <vt:lpstr>_Ped_Lab_Opn_04</vt:lpstr>
      <vt:lpstr>_Ped_Lab_Opn_05</vt:lpstr>
      <vt:lpstr>_Ped_Lab_Opn_06</vt:lpstr>
      <vt:lpstr>_Ped_Lab_Opn_07</vt:lpstr>
      <vt:lpstr>_Ped_Lab_Opn_08</vt:lpstr>
      <vt:lpstr>_Ped_Lab_Opn_09</vt:lpstr>
      <vt:lpstr>_Ped_Lab_Opn_10</vt:lpstr>
      <vt:lpstr>_Ped_Lab_Opn_11</vt:lpstr>
      <vt:lpstr>_Ped_Lab_Opn_12</vt:lpstr>
      <vt:lpstr>_Ped_Lab_Opn_13</vt:lpstr>
      <vt:lpstr>_Ped_Lab_Opn_14</vt:lpstr>
      <vt:lpstr>_Ped_Lab_Opn_15</vt:lpstr>
      <vt:lpstr>_Ped_Lab_Opn_16</vt:lpstr>
      <vt:lpstr>_Ped_Lab_Opn_17</vt:lpstr>
      <vt:lpstr>_Ped_Lab_Opn_18</vt:lpstr>
      <vt:lpstr>_Ped_Lab_Opn_19</vt:lpstr>
      <vt:lpstr>_Ped_Lab_Opn_20</vt:lpstr>
      <vt:lpstr>_Ped_Lab_Opn_21</vt:lpstr>
      <vt:lpstr>_Ped_Lab_Opn_22</vt:lpstr>
      <vt:lpstr>_Ped_Lab_Opn_23</vt:lpstr>
      <vt:lpstr>_Ped_Lab_Opn_24</vt:lpstr>
      <vt:lpstr>_Ped_Lab_Opn_25</vt:lpstr>
      <vt:lpstr>_Ped_Lab_Opn_26</vt:lpstr>
      <vt:lpstr>_Ped_Lab_Opn_27</vt:lpstr>
      <vt:lpstr>_Ped_Lab_Opn_28</vt:lpstr>
      <vt:lpstr>_Ped_Lab_Opn_29</vt:lpstr>
      <vt:lpstr>_Ped_Lab_Opn_30</vt:lpstr>
      <vt:lpstr>_Ped_Lab_Opn_31</vt:lpstr>
      <vt:lpstr>_Ped_Lab_Opn_32</vt:lpstr>
      <vt:lpstr>_Ped_MedIV_Keuze_01</vt:lpstr>
      <vt:lpstr>_Ped_MedIV_Keuze_02</vt:lpstr>
      <vt:lpstr>_Ped_MedIV_Keuze_03</vt:lpstr>
      <vt:lpstr>_Ped_MedIV_Keuze_04</vt:lpstr>
      <vt:lpstr>_Ped_MedIV_Keuze_05</vt:lpstr>
      <vt:lpstr>_Ped_MedIV_Keuze_06</vt:lpstr>
      <vt:lpstr>_Ped_MedIV_Keuze_07</vt:lpstr>
      <vt:lpstr>_Ped_MedIV_Keuze_08</vt:lpstr>
      <vt:lpstr>_Ped_MedIV_Keuze_09</vt:lpstr>
      <vt:lpstr>_Ped_MedIV_Keuze_10</vt:lpstr>
      <vt:lpstr>_Ped_MedIV_Keuze_11</vt:lpstr>
      <vt:lpstr>_Ped_MedIV_Keuze_12</vt:lpstr>
      <vt:lpstr>_Ped_MedIV_Keuze_13</vt:lpstr>
      <vt:lpstr>_Ped_MedIV_Keuze_14</vt:lpstr>
      <vt:lpstr>_Ped_MedIV_Keuze_15</vt:lpstr>
      <vt:lpstr>_Ped_MedIV_Keuze_16</vt:lpstr>
      <vt:lpstr>_Ped_MedIV_Keuze_17</vt:lpstr>
      <vt:lpstr>_Ped_MedIV_Keuze_18</vt:lpstr>
      <vt:lpstr>_Ped_MedIV_Keuze_19</vt:lpstr>
      <vt:lpstr>_Ped_MedIV_Keuze_20</vt:lpstr>
      <vt:lpstr>_Ped_MedIV_OplVlst_01</vt:lpstr>
      <vt:lpstr>_Ped_MedIV_OplVlst_02</vt:lpstr>
      <vt:lpstr>_Ped_MedIV_OplVlst_03</vt:lpstr>
      <vt:lpstr>_Ped_MedIV_OplVlst_04</vt:lpstr>
      <vt:lpstr>_Ped_MedIV_OplVlst_05</vt:lpstr>
      <vt:lpstr>_Ped_MedIV_OplVlst_06</vt:lpstr>
      <vt:lpstr>_Ped_MedIV_OplVlst_07</vt:lpstr>
      <vt:lpstr>_Ped_MedIV_OplVlst_08</vt:lpstr>
      <vt:lpstr>_Ped_MedIV_OplVlst_09</vt:lpstr>
      <vt:lpstr>_Ped_MedIV_OplVlst_10</vt:lpstr>
      <vt:lpstr>_Ped_MedIV_OplVlst_11</vt:lpstr>
      <vt:lpstr>_Ped_MedIV_OplVlst_12</vt:lpstr>
      <vt:lpstr>_Ped_MedIV_OplVlst_13</vt:lpstr>
      <vt:lpstr>_Ped_MedIV_OplVlst_14</vt:lpstr>
      <vt:lpstr>_Ped_MedIV_OplVlst_15</vt:lpstr>
      <vt:lpstr>_Ped_MedIV_OplVlst_16</vt:lpstr>
      <vt:lpstr>_Ped_MedIV_OplVlst_17</vt:lpstr>
      <vt:lpstr>_Ped_MedIV_OplVlst_18</vt:lpstr>
      <vt:lpstr>_Ped_MedIV_OplVlst_19</vt:lpstr>
      <vt:lpstr>_Ped_MedIV_OplVlst_20</vt:lpstr>
      <vt:lpstr>_Ped_MedIV_OplVol_01</vt:lpstr>
      <vt:lpstr>_Ped_MedIV_OplVol_02</vt:lpstr>
      <vt:lpstr>_Ped_MedIV_OplVol_03</vt:lpstr>
      <vt:lpstr>_Ped_MedIV_OplVol_04</vt:lpstr>
      <vt:lpstr>_Ped_MedIV_OplVol_05</vt:lpstr>
      <vt:lpstr>_Ped_MedIV_OplVol_06</vt:lpstr>
      <vt:lpstr>_Ped_MedIV_OplVol_07</vt:lpstr>
      <vt:lpstr>_Ped_MedIV_OplVol_08</vt:lpstr>
      <vt:lpstr>_Ped_MedIV_OplVol_09</vt:lpstr>
      <vt:lpstr>_Ped_MedIV_OplVol_10</vt:lpstr>
      <vt:lpstr>_Ped_MedIV_OplVol_11</vt:lpstr>
      <vt:lpstr>_Ped_MedIV_OplVol_12</vt:lpstr>
      <vt:lpstr>_Ped_MedIV_OplVol_13</vt:lpstr>
      <vt:lpstr>_Ped_MedIV_OplVol_14</vt:lpstr>
      <vt:lpstr>_Ped_MedIV_OplVol_15</vt:lpstr>
      <vt:lpstr>_Ped_MedIV_OplVol_16</vt:lpstr>
      <vt:lpstr>_Ped_MedIV_OplVol_17</vt:lpstr>
      <vt:lpstr>_Ped_MedIV_OplVol_18</vt:lpstr>
      <vt:lpstr>_Ped_MedIV_OplVol_19</vt:lpstr>
      <vt:lpstr>_Ped_MedIV_OplVol_20</vt:lpstr>
      <vt:lpstr>_Ped_MedIV_Opm</vt:lpstr>
      <vt:lpstr>_Ped_MedIV_Stand_01</vt:lpstr>
      <vt:lpstr>_Ped_MedIV_Stand_02</vt:lpstr>
      <vt:lpstr>_Ped_MedIV_Stand_03</vt:lpstr>
      <vt:lpstr>_Ped_MedIV_Stand_04</vt:lpstr>
      <vt:lpstr>_Ped_MedIV_Stand_05</vt:lpstr>
      <vt:lpstr>_Ped_MedIV_Stand_06</vt:lpstr>
      <vt:lpstr>_Ped_MedIV_Stand_07</vt:lpstr>
      <vt:lpstr>_Ped_MedIV_Stand_08</vt:lpstr>
      <vt:lpstr>_Ped_MedIV_Stand_09</vt:lpstr>
      <vt:lpstr>_Ped_MedIV_Stand_10</vt:lpstr>
      <vt:lpstr>_Ped_MedIV_Stand_11</vt:lpstr>
      <vt:lpstr>_Ped_MedIV_Stand_12</vt:lpstr>
      <vt:lpstr>_Ped_MedIV_Stand_13</vt:lpstr>
      <vt:lpstr>_Ped_MedIV_Stand_14</vt:lpstr>
      <vt:lpstr>_Ped_MedIV_Stand_15</vt:lpstr>
      <vt:lpstr>_Ped_MedIV_Stand_16</vt:lpstr>
      <vt:lpstr>_Ped_MedIV_Stand_17</vt:lpstr>
      <vt:lpstr>_Ped_MedIV_Stand_18</vt:lpstr>
      <vt:lpstr>_Ped_MedIV_Stand_19</vt:lpstr>
      <vt:lpstr>_Ped_MedIV_Stand_20</vt:lpstr>
      <vt:lpstr>_Ped_MedIV_Sterkte_01</vt:lpstr>
      <vt:lpstr>_Ped_MedIV_Sterkte_02</vt:lpstr>
      <vt:lpstr>_Ped_MedIV_Sterkte_03</vt:lpstr>
      <vt:lpstr>_Ped_MedIV_Sterkte_04</vt:lpstr>
      <vt:lpstr>_Ped_MedIV_Sterkte_05</vt:lpstr>
      <vt:lpstr>_Ped_MedIV_Sterkte_06</vt:lpstr>
      <vt:lpstr>_Ped_MedIV_Sterkte_07</vt:lpstr>
      <vt:lpstr>_Ped_MedIV_Sterkte_08</vt:lpstr>
      <vt:lpstr>_Ped_MedIV_Sterkte_09</vt:lpstr>
      <vt:lpstr>_Ped_MedIV_Sterkte_10</vt:lpstr>
      <vt:lpstr>_Ped_MedIV_Sterkte_11</vt:lpstr>
      <vt:lpstr>_Ped_MedIV_Sterkte_12</vt:lpstr>
      <vt:lpstr>_Ped_MedIV_Sterkte_13</vt:lpstr>
      <vt:lpstr>_Ped_MedIV_Sterkte_14</vt:lpstr>
      <vt:lpstr>_Ped_MedIV_Sterkte_15</vt:lpstr>
      <vt:lpstr>_Ped_MedIV_Sterkte_16</vt:lpstr>
      <vt:lpstr>_Ped_MedIV_Sterkte_17</vt:lpstr>
      <vt:lpstr>_Ped_MedIV_Sterkte_18</vt:lpstr>
      <vt:lpstr>_Ped_MedIV_Sterkte_19</vt:lpstr>
      <vt:lpstr>_Ped_MedIV_Sterkte_20</vt:lpstr>
      <vt:lpstr>_Ped_PM_Actief</vt:lpstr>
      <vt:lpstr>_Ped_PM_AO</vt:lpstr>
      <vt:lpstr>_Ped_PM_AS</vt:lpstr>
      <vt:lpstr>_Ped_PM_AV</vt:lpstr>
      <vt:lpstr>_Ped_PM_Freq</vt:lpstr>
      <vt:lpstr>_Ped_PM_Mod</vt:lpstr>
      <vt:lpstr>_Ped_PM_VO</vt:lpstr>
      <vt:lpstr>_Ped_PM_VS</vt:lpstr>
      <vt:lpstr>_Ped_TPN_CaCl</vt:lpstr>
      <vt:lpstr>_Ped_TPN_CaGlucVol</vt:lpstr>
      <vt:lpstr>_Ped_TPN_KCl1</vt:lpstr>
      <vt:lpstr>_Ped_TPN_KCl2</vt:lpstr>
      <vt:lpstr>_Ped_TPN_KClVol1</vt:lpstr>
      <vt:lpstr>_Ped_TPN_KClVol2</vt:lpstr>
      <vt:lpstr>_Ped_TPN_Keuze</vt:lpstr>
      <vt:lpstr>_Ped_TPN_KNaFosf</vt:lpstr>
      <vt:lpstr>_Ped_TPN_KNaFosfVol</vt:lpstr>
      <vt:lpstr>_Ped_TPN_LipidStand</vt:lpstr>
      <vt:lpstr>_Ped_TPN_MgCl</vt:lpstr>
      <vt:lpstr>_Ped_TPN_MgClVol</vt:lpstr>
      <vt:lpstr>_Ped_TPN_NaCl1</vt:lpstr>
      <vt:lpstr>_Ped_TPN_NaCl2</vt:lpstr>
      <vt:lpstr>_Ped_TPN_NaClVol1</vt:lpstr>
      <vt:lpstr>_Ped_TPN_NaClVol2</vt:lpstr>
      <vt:lpstr>_Ped_TPN_Opm</vt:lpstr>
      <vt:lpstr>_Ped_TPN_PediTrace</vt:lpstr>
      <vt:lpstr>_Ped_TPN_SMOF</vt:lpstr>
      <vt:lpstr>_Ped_TPN_Soluvit</vt:lpstr>
      <vt:lpstr>_Ped_TPN_SoluvitVol</vt:lpstr>
      <vt:lpstr>_Ped_TPN_SST1Keuze</vt:lpstr>
      <vt:lpstr>_Ped_TPN_SST1Stand</vt:lpstr>
      <vt:lpstr>_Ped_TPN_SST2Keuze</vt:lpstr>
      <vt:lpstr>_Ped_TPN_SST2Stand</vt:lpstr>
      <vt:lpstr>_Ped_TPN_VitIntra</vt:lpstr>
      <vt:lpstr>_Ped_TPN_VitIntraVol</vt:lpstr>
      <vt:lpstr>_Ped_TPN_Vol</vt:lpstr>
      <vt:lpstr>NeoGuiAcuut!Print_Area</vt:lpstr>
      <vt:lpstr>NeoPrtAfspr!Print_Area</vt:lpstr>
      <vt:lpstr>NeoPrtApoth!Print_Area</vt:lpstr>
      <vt:lpstr>NeoPrtMedDisc!Print_Area</vt:lpstr>
      <vt:lpstr>PedGuiAcuut!Print_Area</vt:lpstr>
      <vt:lpstr>PedPrtAfspr!Print_Area</vt:lpstr>
      <vt:lpstr>PedPrtMedDisc!Print_Area</vt:lpstr>
      <vt:lpstr>PedPrtTPN16tot30!Print_Area</vt:lpstr>
      <vt:lpstr>PedPrtTPN2tot6!Print_Area</vt:lpstr>
      <vt:lpstr>PedPrtTPN50!Print_Area</vt:lpstr>
      <vt:lpstr>PedPrtTPN7tot15!Print_Area</vt:lpstr>
      <vt:lpstr>PedTPN31tot50!Print_Area</vt:lpstr>
      <vt:lpstr>rngNeoAfsprBlns</vt:lpstr>
      <vt:lpstr>rngNeoAfsprData</vt:lpstr>
      <vt:lpstr>rngNeoLabData</vt:lpstr>
      <vt:lpstr>rngPedAfsprBlns</vt:lpstr>
      <vt:lpstr>rngPedAfsprData</vt:lpstr>
      <vt:lpstr>rngPedLabData</vt:lpstr>
      <vt:lpstr>SettingDataDir</vt:lpstr>
      <vt:lpstr>SettingDevDir</vt:lpstr>
      <vt:lpstr>SettingDevMode</vt:lpstr>
      <vt:lpstr>SettingLogDir</vt:lpstr>
      <vt:lpstr>SettingLogging</vt:lpstr>
      <vt:lpstr>SettingNeoDir</vt:lpstr>
      <vt:lpstr>SettingPedDir</vt:lpstr>
      <vt:lpstr>SettingTestLogDir</vt:lpstr>
      <vt:lpstr>Tbl_Glob_BerPoeder</vt:lpstr>
      <vt:lpstr>Tbl_Glob_BerVoeding</vt:lpstr>
      <vt:lpstr>Tbl_Glob_Conversie</vt:lpstr>
      <vt:lpstr>Tbl_Glob_ParEnt</vt:lpstr>
      <vt:lpstr>tbl_Glob_Patient</vt:lpstr>
      <vt:lpstr>tbl_Neo_Beds</vt:lpstr>
      <vt:lpstr>tbl_Neo_Dose</vt:lpstr>
      <vt:lpstr>tbl_Neo_FaktorLijst</vt:lpstr>
      <vt:lpstr>tbl_Neo_IntralipidSmof</vt:lpstr>
      <vt:lpstr>tbl_Neo_LijstToevoegingenKV</vt:lpstr>
      <vt:lpstr>tbl_Neo_LijstToevoegingenMM</vt:lpstr>
      <vt:lpstr>tbl_Neo_LijstVoeding</vt:lpstr>
      <vt:lpstr>tbl_Neo_MedIV</vt:lpstr>
      <vt:lpstr>tbl_Neo_NutrBMFToev</vt:lpstr>
      <vt:lpstr>tbl_Neo_NutrBMFWaard</vt:lpstr>
      <vt:lpstr>tbl_Neo_NutrKunstToev</vt:lpstr>
      <vt:lpstr>tbl_Neo_NutrMMToev</vt:lpstr>
      <vt:lpstr>tbl_Neo_NutrToevWaard</vt:lpstr>
      <vt:lpstr>tbl_Neo_Opl</vt:lpstr>
      <vt:lpstr>tbl_Neo_OpzoektabelKV</vt:lpstr>
      <vt:lpstr>tbl_Neo_OpzoektabelMM</vt:lpstr>
      <vt:lpstr>tbl_Neo_OpzoektabelVoeding</vt:lpstr>
      <vt:lpstr>Tbl_Neo_PoedKV</vt:lpstr>
      <vt:lpstr>Tbl_Neo_PoedMM</vt:lpstr>
      <vt:lpstr>tbl_Neo_Pos</vt:lpstr>
      <vt:lpstr>tbl_Neo_ToevoegingenKVPrint</vt:lpstr>
      <vt:lpstr>tbl_Neo_ToevoegingenMMPrint</vt:lpstr>
      <vt:lpstr>tbl_Neo_TpnNICU</vt:lpstr>
      <vt:lpstr>tbl_Neo_Tube</vt:lpstr>
      <vt:lpstr>Tbl_Neo_Voed</vt:lpstr>
      <vt:lpstr>tbl_Ped_aEEG</vt:lpstr>
      <vt:lpstr>tbl_Ped_Beds</vt:lpstr>
      <vt:lpstr>tbl_Ped_DrainLokatie</vt:lpstr>
      <vt:lpstr>tbl_Ped_DrainModus</vt:lpstr>
      <vt:lpstr>tbl_Ped_DrainZuig</vt:lpstr>
      <vt:lpstr>tbl_Ped_Lijnen</vt:lpstr>
      <vt:lpstr>tbl_Ped_LiquorDrain</vt:lpstr>
      <vt:lpstr>tbl_Ped_NIBD</vt:lpstr>
      <vt:lpstr>tbl_Ped_Periode</vt:lpstr>
      <vt:lpstr>tbl_Ped_PMInstelling</vt:lpstr>
      <vt:lpstr>tbl_Ped_PMStandaard</vt:lpstr>
      <vt:lpstr>Tbl_Ped_Poeder</vt:lpstr>
      <vt:lpstr>Tbl_Ped_SST</vt:lpstr>
      <vt:lpstr>Tbl_Ped_TPN</vt:lpstr>
      <vt:lpstr>tbl_Ped_tpnB</vt:lpstr>
      <vt:lpstr>tbl_Ped_tpnC</vt:lpstr>
      <vt:lpstr>tbl_Ped_tpnD</vt:lpstr>
      <vt:lpstr>tbl_Ped_tpnE</vt:lpstr>
      <vt:lpstr>tbl_Ped_tpnNutriflex</vt:lpstr>
      <vt:lpstr>tbl_Ped_tpnSelected</vt:lpstr>
      <vt:lpstr>tbl_Ped_VertrekTijden</vt:lpstr>
      <vt:lpstr>Tbl_Ped_Voeding</vt:lpstr>
      <vt:lpstr>tblBerMedContIV</vt:lpstr>
      <vt:lpstr>tblInfusen</vt:lpstr>
      <vt:lpstr>tblInfusenBer</vt:lpstr>
      <vt:lpstr>tblMedDiscEenh</vt:lpstr>
      <vt:lpstr>tblMedDiscOplVl</vt:lpstr>
      <vt:lpstr>tblMedDiscTijden</vt:lpstr>
      <vt:lpstr>tblMedDiscTijdenIndex</vt:lpstr>
      <vt:lpstr>tblMedDiscTijdenValues</vt:lpstr>
      <vt:lpstr>tblMedDiscToed</vt:lpstr>
      <vt:lpstr>tblMedicationContIV</vt:lpstr>
      <vt:lpstr>tblOplossing</vt:lpstr>
      <vt:lpstr>tblOpzoekenMedicatieIV</vt:lpstr>
      <vt:lpstr>tblPacemakerModus</vt:lpstr>
      <vt:lpstr>tblPacemakerPositie</vt:lpstr>
      <vt:lpstr>tblSonde</vt:lpstr>
      <vt:lpstr>tblSSTGlucose</vt:lpstr>
      <vt:lpstr>tblTijden</vt:lpstr>
      <vt:lpstr>tblTPN</vt:lpstr>
      <vt:lpstr>tblVoedingBasislijst</vt:lpstr>
      <vt:lpstr>tblVoedingPoeder</vt:lpstr>
      <vt:lpstr>Txt_Neo_InfB_ContIV_01</vt:lpstr>
      <vt:lpstr>Txt_Neo_InfB_ContIV_02</vt:lpstr>
      <vt:lpstr>Txt_Neo_InfB_ContIV_03</vt:lpstr>
      <vt:lpstr>Txt_Neo_InfB_ContIV_04</vt:lpstr>
      <vt:lpstr>Txt_Neo_InfB_ContIV_05</vt:lpstr>
      <vt:lpstr>Txt_Neo_InfB_ContIV_06</vt:lpstr>
      <vt:lpstr>Txt_Neo_InfB_ContIV_07</vt:lpstr>
      <vt:lpstr>Txt_Neo_InfB_ContIV_08</vt:lpstr>
      <vt:lpstr>Txt_Neo_InfB_ContIV_09</vt:lpstr>
      <vt:lpstr>Txt_Neo_InfB_ContIV_10</vt:lpstr>
      <vt:lpstr>Txt_Neo_InfB_ContIV_11</vt:lpstr>
      <vt:lpstr>Txt_Neo_InfB_ContIV_12</vt:lpstr>
      <vt:lpstr>Txt_Neo_InfB_ContIV_13</vt:lpstr>
      <vt:lpstr>Txt_Neo_InfB_ContIV_14</vt:lpstr>
      <vt:lpstr>Txt_Neo_InfB_ContIV_15</vt:lpstr>
      <vt:lpstr>Txt_Neo_InfB_ContIV_16</vt:lpstr>
      <vt:lpstr>Txt_Neo_InfB_ContIV_17</vt:lpstr>
      <vt:lpstr>Txt_Neo_InfB_ContIV_18</vt:lpstr>
      <vt:lpstr>Txt_Neo_InfB_ContIV_19</vt:lpstr>
      <vt:lpstr>Txt_Neo_InfB_ContIV_20</vt:lpstr>
      <vt:lpstr>Txt_Neo_InfB_ContIV_21</vt:lpstr>
      <vt:lpstr>Txt_Neo_InfB_ContIV_22</vt:lpstr>
      <vt:lpstr>Txt_Neo_InfB_ContIV_23</vt:lpstr>
      <vt:lpstr>Txt_Neo_InfB_ContIV_24</vt:lpstr>
      <vt:lpstr>Txt_Neo_InfB_ContIV_25</vt:lpstr>
      <vt:lpstr>Txt_Neo_InfB_ContIV_26</vt:lpstr>
      <vt:lpstr>Txt_Neo_InfB_ContIV_27</vt:lpstr>
      <vt:lpstr>Txt_Neo_InfB_Voeding_01</vt:lpstr>
      <vt:lpstr>Txt_Neo_InfB_Voeding_02</vt:lpstr>
      <vt:lpstr>Txt_Neo_InfB_Voeding_03</vt:lpstr>
      <vt:lpstr>Txt_Neo_InfB_Voeding_04</vt:lpstr>
      <vt:lpstr>Txt_Neo_InfB_Voeding_05</vt:lpstr>
      <vt:lpstr>Txt_Neo_InfB_Voeding_06</vt:lpstr>
      <vt:lpstr>Txt_Neo_InfB_Voeding_07</vt:lpstr>
      <vt:lpstr>Txt_Neo_InfB_Voeding_08</vt:lpstr>
      <vt:lpstr>Txt_Neo_InfB_Voeding_09</vt:lpstr>
      <vt:lpstr>Txt_Neo_InfB_Voeding_10</vt:lpstr>
      <vt:lpstr>Txt_Neo_InfB_Voeding_11</vt:lpstr>
      <vt:lpstr>Txt_Neo_InfB_Voeding_12</vt:lpstr>
      <vt:lpstr>Txt_Neo_InfB_Voeding_13</vt:lpstr>
      <vt:lpstr>Txt_Neo_InfB_Voeding_14</vt:lpstr>
      <vt:lpstr>Txt_Neo_InfB_Voeding_15</vt:lpstr>
      <vt:lpstr>Txt_Neo_Wb_IVAcc_Breuk</vt:lpstr>
      <vt:lpstr>Txt_Neo_Wb_IVAcc_Geheel</vt:lpstr>
      <vt:lpstr>Txt_Neo_Wb_IVAcc_Stand</vt:lpstr>
      <vt:lpstr>Txt_Neo_Wb_IVAcc_Tekst</vt:lpstr>
      <vt:lpstr>Txt_Neo_Wb_TPN_CaClBreuk</vt:lpstr>
      <vt:lpstr>Txt_Neo_Wb_TPN_CaClGeheel</vt:lpstr>
      <vt:lpstr>Txt_Neo_Wb_TPN_CaClTekst</vt:lpstr>
      <vt:lpstr>Txt_Neo_Wb_TPN_GlucBreuk</vt:lpstr>
      <vt:lpstr>Txt_Neo_Wb_TPN_GlucGeheel</vt:lpstr>
      <vt:lpstr>Txt_Neo_Wb_TPN_GlucTekst</vt:lpstr>
      <vt:lpstr>Txt_Neo_Wb_TPN_KacetaatBreuk</vt:lpstr>
      <vt:lpstr>Txt_Neo_Wb_TPN_KacetaatGeheel</vt:lpstr>
      <vt:lpstr>Txt_Neo_Wb_TPN_KacetaatTekst</vt:lpstr>
      <vt:lpstr>Txt_Neo_Wb_TPN_MgClBreuk</vt:lpstr>
      <vt:lpstr>Txt_Neo_Wb_TPN_MgClGeheel</vt:lpstr>
      <vt:lpstr>Txt_Neo_Wb_TPN_MgClTekst</vt:lpstr>
      <vt:lpstr>Txt_Neo_Wb_TPN_NaClBreuk</vt:lpstr>
      <vt:lpstr>Txt_Neo_Wb_TPN_NaClGeheel</vt:lpstr>
      <vt:lpstr>Txt_Neo_Wb_TPN_NaCLTekst</vt:lpstr>
      <vt:lpstr>Txt_Neo_Wb_TPN_NICUmixBreuk</vt:lpstr>
      <vt:lpstr>Txt_Neo_Wb_TPN_NICUmixGeheel</vt:lpstr>
      <vt:lpstr>Txt_Neo_Wb_TPN_NICUmixTekst</vt:lpstr>
      <vt:lpstr>Txt_Neo_Wb_TPN_PrimeneBreuk</vt:lpstr>
      <vt:lpstr>Txt_Neo_Wb_TPN_PrimeneGeheel</vt:lpstr>
      <vt:lpstr>Txt_Neo_Wb_TPN_PrimeneTekst</vt:lpstr>
      <vt:lpstr>Txt_Neo_Wb_TPN_SamBBreuk</vt:lpstr>
      <vt:lpstr>Txt_Neo_Wb_TPN_SamBGeheel</vt:lpstr>
      <vt:lpstr>Txt_Neo_Wb_TPN_SamBTekst</vt:lpstr>
      <vt:lpstr>Txt_Neo_Wb_TPN_SoluvitBreuk</vt:lpstr>
      <vt:lpstr>Txt_Neo_Wb_TPN_SoluvitGeheel</vt:lpstr>
      <vt:lpstr>Txt_Neo_Wb_TPN_SoluvitTekst</vt:lpstr>
      <vt:lpstr>Txt_Neo_Wb_TPN_Stand</vt:lpstr>
      <vt:lpstr>Txt_Neo_Wb_TPN_TotaalBreuk</vt:lpstr>
      <vt:lpstr>Txt_Neo_Wb_TPN_TotaalGeheel</vt:lpstr>
      <vt:lpstr>Var_AfspraakDatum</vt:lpstr>
      <vt:lpstr>Var_Glob_Versie</vt:lpstr>
      <vt:lpstr>Var_Neo_AfsprControles</vt:lpstr>
      <vt:lpstr>Var_Neo_AfsprInstellingen</vt:lpstr>
      <vt:lpstr>Var_Neo_AfsprKweken</vt:lpstr>
      <vt:lpstr>Var_Neo_AfsprOnderzoek</vt:lpstr>
      <vt:lpstr>Var_Neo_AfsprOverig</vt:lpstr>
      <vt:lpstr>Var_Neo_Dag</vt:lpstr>
      <vt:lpstr>Var_Neo_InfB_Cont_ArtLijn</vt:lpstr>
      <vt:lpstr>Var_Neo_InfB_Cont_MedKeuze_1</vt:lpstr>
      <vt:lpstr>Var_Neo_InfB_Cont_MedKeuze_2</vt:lpstr>
      <vt:lpstr>Var_Neo_InfB_Cont_MedKeuze_3</vt:lpstr>
      <vt:lpstr>Var_Neo_InfB_Cont_MedKeuze_4</vt:lpstr>
      <vt:lpstr>Var_Neo_InfB_Cont_MedKeuze_5</vt:lpstr>
      <vt:lpstr>Var_Neo_InfB_Cont_MedKeuze_6</vt:lpstr>
      <vt:lpstr>Var_Neo_InfB_Cont_MedKeuze_7</vt:lpstr>
      <vt:lpstr>Var_Neo_InfB_Cont_MedKeuze_8</vt:lpstr>
      <vt:lpstr>Var_Neo_InfB_Cont_MedKeuze_9</vt:lpstr>
      <vt:lpstr>Var_Neo_InfB_Cont_MedSterkte_1</vt:lpstr>
      <vt:lpstr>Var_Neo_InfB_Cont_MedSterkte_2</vt:lpstr>
      <vt:lpstr>Var_Neo_InfB_Cont_MedSterkte_3</vt:lpstr>
      <vt:lpstr>Var_Neo_InfB_Cont_MedSterkte_4</vt:lpstr>
      <vt:lpstr>Var_Neo_InfB_Cont_MedSterkte_5</vt:lpstr>
      <vt:lpstr>Var_Neo_InfB_Cont_MedSterkte_6</vt:lpstr>
      <vt:lpstr>Var_Neo_InfB_Cont_MedSterkte_7</vt:lpstr>
      <vt:lpstr>Var_Neo_InfB_Cont_MedSterkte_8</vt:lpstr>
      <vt:lpstr>Var_Neo_InfB_Cont_MedSterkte_9</vt:lpstr>
      <vt:lpstr>Var_Neo_InfB_Cont_MedTekst_1</vt:lpstr>
      <vt:lpstr>Var_Neo_InfB_Cont_MedTekst_2</vt:lpstr>
      <vt:lpstr>Var_Neo_InfB_Cont_OplHoev_1</vt:lpstr>
      <vt:lpstr>Var_Neo_InfB_Cont_OplHoev_2</vt:lpstr>
      <vt:lpstr>Var_Neo_InfB_Cont_OplHoev_3</vt:lpstr>
      <vt:lpstr>Var_Neo_InfB_Cont_OplHoev_4</vt:lpstr>
      <vt:lpstr>Var_Neo_InfB_Cont_OplHoev_5</vt:lpstr>
      <vt:lpstr>Var_Neo_InfB_Cont_OplHoev_6</vt:lpstr>
      <vt:lpstr>Var_Neo_InfB_Cont_OplHoev_7</vt:lpstr>
      <vt:lpstr>Var_Neo_InfB_Cont_OplHoev_8</vt:lpstr>
      <vt:lpstr>Var_Neo_InfB_Cont_OplHoev_9</vt:lpstr>
      <vt:lpstr>Var_Neo_InfB_Cont_Oplossing_01</vt:lpstr>
      <vt:lpstr>Var_Neo_InfB_Cont_Oplossing_02</vt:lpstr>
      <vt:lpstr>Var_Neo_InfB_Cont_Oplossing_03</vt:lpstr>
      <vt:lpstr>Var_Neo_InfB_Cont_Oplossing_04</vt:lpstr>
      <vt:lpstr>Var_Neo_InfB_Cont_Oplossing_05</vt:lpstr>
      <vt:lpstr>Var_Neo_InfB_Cont_Oplossing_06</vt:lpstr>
      <vt:lpstr>Var_Neo_InfB_Cont_Oplossing_07</vt:lpstr>
      <vt:lpstr>Var_Neo_InfB_Cont_Oplossing_08</vt:lpstr>
      <vt:lpstr>Var_Neo_InfB_Cont_Oplossing_09</vt:lpstr>
      <vt:lpstr>Var_Neo_InfB_Cont_Oplossing_10</vt:lpstr>
      <vt:lpstr>Var_Neo_InfB_Cont_Oplossing_11</vt:lpstr>
      <vt:lpstr>Var_Neo_InfB_Cont_Oplossing_12</vt:lpstr>
      <vt:lpstr>Var_Neo_InfB_Cont_Stand_01</vt:lpstr>
      <vt:lpstr>Var_Neo_InfB_Cont_Stand_02</vt:lpstr>
      <vt:lpstr>Var_Neo_InfB_Cont_Stand_03</vt:lpstr>
      <vt:lpstr>Var_Neo_InfB_Cont_Stand_04</vt:lpstr>
      <vt:lpstr>Var_Neo_InfB_Cont_Stand_05</vt:lpstr>
      <vt:lpstr>Var_Neo_InfB_Cont_Stand_06</vt:lpstr>
      <vt:lpstr>Var_Neo_InfB_Cont_Stand_07</vt:lpstr>
      <vt:lpstr>Var_Neo_InfB_Cont_Stand_08</vt:lpstr>
      <vt:lpstr>Var_Neo_InfB_Cont_Stand_09</vt:lpstr>
      <vt:lpstr>Var_Neo_InfB_Cont_Stand_10</vt:lpstr>
      <vt:lpstr>Var_Neo_InfB_Cont_Stand_11</vt:lpstr>
      <vt:lpstr>Var_Neo_InfB_Cont_Stand_12</vt:lpstr>
      <vt:lpstr>Var_Neo_InfB_Cont_VochtExtra_01</vt:lpstr>
      <vt:lpstr>Var_Neo_InfB_Cont_VochtExtra_02</vt:lpstr>
      <vt:lpstr>Var_Neo_InfB_Cont_VochtExtra_03</vt:lpstr>
      <vt:lpstr>Var_Neo_InfB_Cont_VochtExtra_04</vt:lpstr>
      <vt:lpstr>Var_Neo_InfB_Cont_VochtExtra_05</vt:lpstr>
      <vt:lpstr>Var_Neo_InfB_Cont_VochtExtra_06</vt:lpstr>
      <vt:lpstr>Var_Neo_InfB_Cont_VochtExtra_07</vt:lpstr>
      <vt:lpstr>Var_Neo_InfB_Cont_VochtExtra_08</vt:lpstr>
      <vt:lpstr>Var_Neo_InfB_Cont_VochtExtra_09</vt:lpstr>
      <vt:lpstr>Var_Neo_InfB_Cont_VochtExtra_10</vt:lpstr>
      <vt:lpstr>Var_Neo_InfB_Cont_VochtExtra_11</vt:lpstr>
      <vt:lpstr>Var_Neo_InfB_Cont_VochtExtra_12</vt:lpstr>
      <vt:lpstr>Var_Neo_InfB_Cont_VochtExtra_13</vt:lpstr>
      <vt:lpstr>Var_Neo_InfB_Cont_VochtExtra_14</vt:lpstr>
      <vt:lpstr>Var_Neo_InfB_Ent_Frequentie_1</vt:lpstr>
      <vt:lpstr>Var_Neo_InfB_Ent_Frequentie_2</vt:lpstr>
      <vt:lpstr>Var_Neo_InfB_Ent_Hoeveelheid_1</vt:lpstr>
      <vt:lpstr>Var_Neo_InfB_Ent_Hoeveelheid_2</vt:lpstr>
      <vt:lpstr>Var_Neo_InfB_Ent_PercentageKeuze_0</vt:lpstr>
      <vt:lpstr>Var_Neo_InfB_Ent_PercentageKeuze_1</vt:lpstr>
      <vt:lpstr>Var_Neo_InfB_Ent_PercentageKeuze_2</vt:lpstr>
      <vt:lpstr>Var_Neo_InfB_Ent_PercentageKeuze_3</vt:lpstr>
      <vt:lpstr>Var_Neo_InfB_Ent_PercentageKeuze_4</vt:lpstr>
      <vt:lpstr>Var_Neo_InfB_Ent_PercentageKeuze_5</vt:lpstr>
      <vt:lpstr>Var_Neo_InfB_Ent_PercentageKeuze_6</vt:lpstr>
      <vt:lpstr>Var_Neo_InfB_Ent_PercentageKeuze_7</vt:lpstr>
      <vt:lpstr>Var_Neo_InfB_Ent_PercentageKeuze_8</vt:lpstr>
      <vt:lpstr>Var_Neo_InfB_Ent_Toevoeging_1</vt:lpstr>
      <vt:lpstr>Var_Neo_InfB_Ent_Toevoeging_2</vt:lpstr>
      <vt:lpstr>Var_Neo_InfB_Ent_Toevoeging_3</vt:lpstr>
      <vt:lpstr>Var_Neo_InfB_Ent_Toevoeging_4</vt:lpstr>
      <vt:lpstr>Var_Neo_InfB_Ent_Toevoeging_5</vt:lpstr>
      <vt:lpstr>Var_Neo_InfB_Ent_Toevoeging_6</vt:lpstr>
      <vt:lpstr>Var_Neo_InfB_Ent_Toevoeging_7</vt:lpstr>
      <vt:lpstr>Var_Neo_InfB_Ent_Toevoeging_8</vt:lpstr>
      <vt:lpstr>Var_Neo_InfB_Ent_Voeding</vt:lpstr>
      <vt:lpstr>Var_Neo_InfB_TPN_CaCl2</vt:lpstr>
      <vt:lpstr>Var_Neo_InfB_TPN_DagKeuze</vt:lpstr>
      <vt:lpstr>Var_Neo_InfB_TPN_Fototherapie</vt:lpstr>
      <vt:lpstr>Var_Neo_InfB_TPN_GlucSterkte</vt:lpstr>
      <vt:lpstr>Var_Neo_InfB_TPN_IntakePerKg</vt:lpstr>
      <vt:lpstr>Var_Neo_InfB_TPN_IntraLipid</vt:lpstr>
      <vt:lpstr>Var_Neo_InfB_TPN_IntralipidSmof</vt:lpstr>
      <vt:lpstr>Var_Neo_InfB_TPN_KCl</vt:lpstr>
      <vt:lpstr>Var_Neo_InfB_TPN_MgCl2</vt:lpstr>
      <vt:lpstr>Var_Neo_InfB_TPN_Nacl</vt:lpstr>
      <vt:lpstr>Var_Neo_InfB_TPN_NICUMix</vt:lpstr>
      <vt:lpstr>Var_Neo_InfB_TPN_Parenteraal</vt:lpstr>
      <vt:lpstr>Var_Neo_InfB_TPN_Primene</vt:lpstr>
      <vt:lpstr>Var_Neo_InfB_TPN_SoluVit</vt:lpstr>
      <vt:lpstr>Var_Neo_InfB_TPN_SSTB</vt:lpstr>
      <vt:lpstr>Var_Neo_Percentage_0</vt:lpstr>
      <vt:lpstr>Var_Neo_Percentage_1</vt:lpstr>
      <vt:lpstr>Var_Neo_Percentage_2</vt:lpstr>
      <vt:lpstr>Var_Neo_Percentage_3</vt:lpstr>
      <vt:lpstr>Var_Neo_Percentage_4</vt:lpstr>
      <vt:lpstr>Var_Neo_Percentage_5</vt:lpstr>
      <vt:lpstr>Var_Neo_Percentage_6</vt:lpstr>
      <vt:lpstr>Var_Neo_Percentage_7</vt:lpstr>
      <vt:lpstr>Var_Neo_Percentage_8</vt:lpstr>
      <vt:lpstr>Var_Pat_OpnameDat</vt:lpstr>
      <vt:lpstr>Var_Ped_AfsprControles</vt:lpstr>
      <vt:lpstr>Var_Ped_AfsprInstellingen</vt:lpstr>
      <vt:lpstr>Var_Ped_AfsprOnderzoeken</vt:lpstr>
      <vt:lpstr>Var_Ped_AfsprOverig</vt:lpstr>
      <vt:lpstr>Var_Ped_TotVocht</vt:lpstr>
    </vt:vector>
  </TitlesOfParts>
  <Company>UMC Utrecht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hal</cp:lastModifiedBy>
  <cp:lastPrinted>2016-04-21T10:04:09Z</cp:lastPrinted>
  <dcterms:created xsi:type="dcterms:W3CDTF">2000-03-04T00:29:05Z</dcterms:created>
  <dcterms:modified xsi:type="dcterms:W3CDTF">2017-01-15T04:24:46Z</dcterms:modified>
</cp:coreProperties>
</file>