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27" activeTab="27"/>
  </bookViews>
  <sheets>
    <sheet name="Global--&gt;" sheetId="76" r:id="rId1"/>
    <sheet name="GlobSettings" sheetId="75" r:id="rId2"/>
    <sheet name="GlobBerOpm" sheetId="4" r:id="rId3"/>
    <sheet name="GlobBerConv" sheetId="25" r:id="rId4"/>
    <sheet name="GlobBerNorm" sheetId="19" r:id="rId5"/>
    <sheet name="GlobTemp" sheetId="7" r:id="rId6"/>
    <sheet name="Patient--&gt;" sheetId="65" r:id="rId7"/>
    <sheet name="PatDataText" sheetId="9" r:id="rId8"/>
    <sheet name="PatData" sheetId="8" r:id="rId9"/>
    <sheet name="PatDetails" sheetId="6" r:id="rId10"/>
    <sheet name="Pediatrie--&gt;" sheetId="63" r:id="rId11"/>
    <sheet name="PedGuiMedIV" sheetId="10" r:id="rId12"/>
    <sheet name="PedBerMedIV" sheetId="12" r:id="rId13"/>
    <sheet name="PedTblMedIV" sheetId="11" r:id="rId14"/>
    <sheet name="PedGuiMedDisc" sheetId="13" r:id="rId15"/>
    <sheet name="PedBerMedDisc" sheetId="14" r:id="rId16"/>
    <sheet name="PedTblMedDisc" sheetId="69" r:id="rId17"/>
    <sheet name="PedGuiPMenIV" sheetId="17" r:id="rId18"/>
    <sheet name="PedBerIVenPM" sheetId="18" r:id="rId19"/>
    <sheet name="PedTblIV" sheetId="70" r:id="rId20"/>
    <sheet name="PedGuiEntTPN" sheetId="20" r:id="rId21"/>
    <sheet name="PedBerEnt" sheetId="27" r:id="rId22"/>
    <sheet name="PedBerTot" sheetId="24" r:id="rId23"/>
    <sheet name="PedTblVoed" sheetId="26" r:id="rId24"/>
    <sheet name="PedGuiLab" sheetId="58" r:id="rId25"/>
    <sheet name="PedBerLab" sheetId="57" r:id="rId26"/>
    <sheet name="PedGuiAfsprExtra" sheetId="60" r:id="rId27"/>
    <sheet name="PedBerExtraAfspr" sheetId="59" r:id="rId28"/>
    <sheet name="PedTblAfsprExtra" sheetId="51" r:id="rId29"/>
    <sheet name="PedGuiAcuut" sheetId="3" r:id="rId30"/>
    <sheet name="PedTblLengte" sheetId="1" r:id="rId31"/>
    <sheet name="PedTblGew" sheetId="2" r:id="rId32"/>
    <sheet name="PedPrtAfspr" sheetId="5" r:id="rId33"/>
    <sheet name="PedPrtMedDisc" sheetId="16" r:id="rId34"/>
    <sheet name="PedTblTijden" sheetId="15" r:id="rId35"/>
    <sheet name="PedPrtTPN2tot6" sheetId="28" r:id="rId36"/>
    <sheet name="PedPrtTPN7tot15" sheetId="29" r:id="rId37"/>
    <sheet name="PedPrtTPN16tot30" sheetId="30" r:id="rId38"/>
    <sheet name="PedTPN31tot50" sheetId="31" r:id="rId39"/>
    <sheet name="PedPrtTPN50" sheetId="32" r:id="rId40"/>
    <sheet name="PedBerTPN" sheetId="21" r:id="rId41"/>
    <sheet name="Neo--&gt;" sheetId="64" r:id="rId42"/>
    <sheet name="NeoGuiAfspraken" sheetId="39" r:id="rId43"/>
    <sheet name="NeoBerIV" sheetId="45" r:id="rId44"/>
    <sheet name="NeoPrtWerkbrAct" sheetId="74" r:id="rId45"/>
    <sheet name="NeoAfspr1700" sheetId="73" r:id="rId46"/>
    <sheet name="NeoBer1700" sheetId="72" r:id="rId47"/>
    <sheet name="NeoPrtWerkbr" sheetId="36" r:id="rId48"/>
    <sheet name="NeoTblMedIV" sheetId="71" r:id="rId49"/>
    <sheet name="NeoBerAdvies" sheetId="40" r:id="rId50"/>
    <sheet name="NeoTblLijst" sheetId="42" r:id="rId51"/>
    <sheet name="NeoTblVoed" sheetId="68" r:id="rId52"/>
    <sheet name="NeoPrtMedDisc" sheetId="61" r:id="rId53"/>
    <sheet name="NeoTblTijden" sheetId="62" r:id="rId54"/>
    <sheet name="NeoGuiAfsprExtra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38" r:id="rId61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Aanvullend_Boolea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_Aanvullend_Booleans_Ped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_Aanvullend_Controles">NeoBerAfspr!$B$56</definedName>
    <definedName name="_Aanvullend_Controles_Ped">PedBerExtraAfspr!$B$47</definedName>
    <definedName name="_Aanvullend_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_Aanvullend_Data_Ped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_Aanvullend_Instellingen">NeoBerAfspr!$B$58</definedName>
    <definedName name="_Aanvullend_Instellingen_Ped">PedBerExtraAfspr!$B$49</definedName>
    <definedName name="_Aanvullend_Kweken">NeoBerAfspr!$B$59</definedName>
    <definedName name="_Aanvullend_MRIvertrektijd">NeoBerAfspr!$D$27</definedName>
    <definedName name="_Aanvullend_Onderzoek">NeoBerAfspr!$B$57</definedName>
    <definedName name="_Aanvullend_Onderzoek_Ped">PedBerExtraAfspr!$B$48</definedName>
    <definedName name="_Aanvullend_Overig">NeoBerAfspr!$B$60</definedName>
    <definedName name="_Aanvullend_Overig_Ped">PedBerExtraAfspr!$B$50</definedName>
    <definedName name="_AchterNaamNICU">NeoBerIV!$B$1</definedName>
    <definedName name="_AchterNaamNICU1700">NeoBer1700!$B$1</definedName>
    <definedName name="_ArtLijn">NeoBerIV!$B$18</definedName>
    <definedName name="_ArtLijn1700">NeoBer1700!$B$18</definedName>
    <definedName name="_Arts">NeoBerIV!$F$1</definedName>
    <definedName name="_Arts1700">NeoBer1700!$F$1</definedName>
    <definedName name="_Bed">NeoBerIV!$B$2</definedName>
    <definedName name="_Bed1700">NeoBer1700!$B$2</definedName>
    <definedName name="_CaCl2">NeoBerIV!$D$39</definedName>
    <definedName name="_CaCl21700">NeoBer1700!$D$39</definedName>
    <definedName name="_Dag1700">NeoBer1700!$B$6</definedName>
    <definedName name="_Dagen">NeoBerIV!$D$5</definedName>
    <definedName name="_Dagen1700">NeoBer1700!$D$5</definedName>
    <definedName name="_DagKeuze">NeoBerIV!$D$36</definedName>
    <definedName name="_DagKeuze1700">NeoBer1700!$D$36</definedName>
    <definedName name="_Eenheid_1">NeoBerIV!$G$20</definedName>
    <definedName name="_Eenheid_2">NeoBerIV!$G$21</definedName>
    <definedName name="_Eenheid_3">NeoBerIV!$G$22</definedName>
    <definedName name="_Eenheid_4">NeoBerIV!$G$23</definedName>
    <definedName name="_Eenheid_5">NeoBerIV!$G$24</definedName>
    <definedName name="_Eenheid_6">NeoBerIV!$G$25</definedName>
    <definedName name="_Eenheid_7">NeoBerIV!$G$26</definedName>
    <definedName name="_Eenheid_8">NeoBerIV!$G$27</definedName>
    <definedName name="_Eenheid_9">NeoBerIV!$G$28</definedName>
    <definedName name="_Eenheid1700_1">NeoBer1700!$G$20</definedName>
    <definedName name="_Eenheid1700_2">NeoBer1700!$G$21</definedName>
    <definedName name="_Eenheid1700_3">NeoBer1700!$G$22</definedName>
    <definedName name="_Eenheid1700_4">NeoBer1700!$G$23</definedName>
    <definedName name="_Eenheid1700_5">NeoBer1700!$G$24</definedName>
    <definedName name="_Eenheid1700_6">NeoBer1700!$G$25</definedName>
    <definedName name="_Eenheid1700_7">NeoBer1700!$G$26</definedName>
    <definedName name="_Eenheid1700_8">NeoBer1700!$G$27</definedName>
    <definedName name="_Eenheid1700_9">NeoBer1700!$G$28</definedName>
    <definedName name="_Extra">NeoBerIV!$K$14</definedName>
    <definedName name="_Extra_1">NeoBerIV!$K$20</definedName>
    <definedName name="_Extra_10">NeoBerIV!$K$18</definedName>
    <definedName name="_Extra_11">NeoBerIV!$K$29</definedName>
    <definedName name="_Extra_12">NeoBerIV!$K$30</definedName>
    <definedName name="_Extra_13">NeoBerIV!$K$31</definedName>
    <definedName name="_Extra_2">NeoBerIV!$K$21</definedName>
    <definedName name="_Extra_3">NeoBerIV!$K$22</definedName>
    <definedName name="_Extra_4">NeoBerIV!$K$23</definedName>
    <definedName name="_Extra_5">NeoBerIV!$K$24</definedName>
    <definedName name="_Extra_6">NeoBerIV!$K$25</definedName>
    <definedName name="_Extra_7">NeoBerIV!$K$26</definedName>
    <definedName name="_Extra_8">NeoBerIV!$K$27</definedName>
    <definedName name="_Extra_9">NeoBerIV!$K$28</definedName>
    <definedName name="_Extra1700">NeoBer1700!$K$14</definedName>
    <definedName name="_Extra1700_1">NeoBer1700!$K$20</definedName>
    <definedName name="_Extra1700_10">NeoBer1700!$K$18</definedName>
    <definedName name="_Extra1700_11">NeoBer1700!$K$29</definedName>
    <definedName name="_Extra1700_12">NeoBer1700!$K$30</definedName>
    <definedName name="_Extra1700_13">NeoBer1700!$K$31</definedName>
    <definedName name="_Extra1700_2">NeoBer1700!$K$21</definedName>
    <definedName name="_Extra1700_3">NeoBer1700!$K$22</definedName>
    <definedName name="_Extra1700_4">NeoBer1700!$K$23</definedName>
    <definedName name="_Extra1700_5">NeoBer1700!$K$24</definedName>
    <definedName name="_Extra1700_6">NeoBer1700!$K$25</definedName>
    <definedName name="_Extra1700_7">NeoBer1700!$K$26</definedName>
    <definedName name="_Extra1700_8">NeoBer1700!$K$27</definedName>
    <definedName name="_Extra1700_9">NeoBer1700!$K$28</definedName>
    <definedName name="_xlnm._FilterDatabase" localSheetId="5" hidden="1">GlobTemp!$A$2:$B$437</definedName>
    <definedName name="_xlnm._FilterDatabase" localSheetId="8" hidden="1">PatData!$A$1:$Q$577</definedName>
    <definedName name="_Fototherapie">NeoBerIV!$B$15</definedName>
    <definedName name="_Fototherapie1700">NeoBer1700!$B$15</definedName>
    <definedName name="_Frequentie_1">NeoBerIV!$D$10</definedName>
    <definedName name="_Frequentie_2">NeoBerIV!$D$12</definedName>
    <definedName name="_Frequentie1700_1">NeoBer1700!$D$10</definedName>
    <definedName name="_Frequentie1700_2">NeoBer1700!$D$12</definedName>
    <definedName name="_GeboorteDatum">NeoBerIV!$B$3</definedName>
    <definedName name="_GeboorteDatum1700">NeoBer1700!$B$3</definedName>
    <definedName name="_Gewicht">NeoBerIV!$B$4</definedName>
    <definedName name="_Gewicht1700">NeoBer1700!$B$4</definedName>
    <definedName name="_GlucSterkte">NeoBerIV!$D$45</definedName>
    <definedName name="_GlucSterkte1700">NeoBer1700!$D$45</definedName>
    <definedName name="_Hoeveelheid_1">NeoBerIV!$D$11</definedName>
    <definedName name="_Hoeveelheid_2">NeoBerIV!$D$13</definedName>
    <definedName name="_Hoeveelheid1700_1">NeoBer1700!$D$11</definedName>
    <definedName name="_Hoeveelheid1700_2">NeoBer1700!$D$13</definedName>
    <definedName name="_IntakePerKg">NeoBerIV!$D$16</definedName>
    <definedName name="_IntakePerKg1700">NeoBer1700!$D$16</definedName>
    <definedName name="_IntraLipid">NeoBerIV!$D$35</definedName>
    <definedName name="_IntraLipid1700">NeoBer1700!$D$35</definedName>
    <definedName name="_KCl">NeoBerIV!$D$38</definedName>
    <definedName name="_KCl1700">NeoBer1700!$D$38</definedName>
    <definedName name="_Med_ATC_1">PedBerMedDisc!$AF$2</definedName>
    <definedName name="_Med_ATC_10">PedBerMedDisc!$AF$11</definedName>
    <definedName name="_Med_ATC_11">PedBerMedDisc!$AF$12</definedName>
    <definedName name="_Med_ATC_12">PedBerMedDisc!$AF$13</definedName>
    <definedName name="_Med_ATC_13">PedBerMedDisc!$AF$14</definedName>
    <definedName name="_Med_ATC_14">PedBerMedDisc!$AF$15</definedName>
    <definedName name="_Med_ATC_15">PedBerMedDisc!$AF$16</definedName>
    <definedName name="_Med_ATC_16">PedBerMedDisc!$AF$17</definedName>
    <definedName name="_Med_ATC_17">PedBerMedDisc!$AF$18</definedName>
    <definedName name="_Med_ATC_18">PedBerMedDisc!$AF$19</definedName>
    <definedName name="_Med_ATC_19">PedBerMedDisc!$AF$20</definedName>
    <definedName name="_Med_ATC_2">PedBerMedDisc!$AF$3</definedName>
    <definedName name="_Med_ATC_20">PedBerMedDisc!$AF$21</definedName>
    <definedName name="_Med_ATC_21">PedBerMedDisc!$AF$22</definedName>
    <definedName name="_Med_ATC_22">PedBerMedDisc!$AF$23</definedName>
    <definedName name="_Med_ATC_23">PedBerMedDisc!$AF$24</definedName>
    <definedName name="_Med_ATC_24">PedBerMedDisc!$AF$25</definedName>
    <definedName name="_Med_ATC_25">PedBerMedDisc!$AF$26</definedName>
    <definedName name="_Med_ATC_26">PedBerMedDisc!$AF$27</definedName>
    <definedName name="_Med_ATC_27">PedBerMedDisc!$AF$28</definedName>
    <definedName name="_Med_ATC_28">PedBerMedDisc!$AF$29</definedName>
    <definedName name="_Med_ATC_29">PedBerMedDisc!$AF$30</definedName>
    <definedName name="_Med_ATC_3">PedBerMedDisc!$AF$4</definedName>
    <definedName name="_Med_ATC_30">PedBerMedDisc!$AF$31</definedName>
    <definedName name="_Med_ATC_4">PedBerMedDisc!$AF$5</definedName>
    <definedName name="_Med_ATC_5">PedBerMedDisc!$AF$6</definedName>
    <definedName name="_Med_ATC_6">PedBerMedDisc!$AF$7</definedName>
    <definedName name="_Med_ATC_7">PedBerMedDisc!$AF$8</definedName>
    <definedName name="_Med_ATC_8">PedBerMedDisc!$AF$9</definedName>
    <definedName name="_Med_ATC_9">PedBerMedDisc!$AF$10</definedName>
    <definedName name="_Med_Etiket_1">PedBerMedDisc!$AI$2</definedName>
    <definedName name="_Med_Etiket_10">PedBerMedDisc!$AI$11</definedName>
    <definedName name="_Med_Etiket_11">PedBerMedDisc!$AI$12</definedName>
    <definedName name="_Med_Etiket_12">PedBerMedDisc!$AI$13</definedName>
    <definedName name="_Med_Etiket_13">PedBerMedDisc!$AI$14</definedName>
    <definedName name="_Med_Etiket_14">PedBerMedDisc!$AI$15</definedName>
    <definedName name="_Med_Etiket_15">PedBerMedDisc!$AI$16</definedName>
    <definedName name="_Med_Etiket_16">PedBerMedDisc!$AI$17</definedName>
    <definedName name="_Med_Etiket_17">PedBerMedDisc!$AI$18</definedName>
    <definedName name="_Med_Etiket_18">PedBerMedDisc!$AI$19</definedName>
    <definedName name="_Med_Etiket_19">PedBerMedDisc!$AI$20</definedName>
    <definedName name="_Med_Etiket_2">PedBerMedDisc!$AI$3</definedName>
    <definedName name="_Med_Etiket_20">PedBerMedDisc!$AI$21</definedName>
    <definedName name="_Med_Etiket_21">PedBerMedDisc!$AI$22</definedName>
    <definedName name="_Med_Etiket_22">PedBerMedDisc!$AI$23</definedName>
    <definedName name="_Med_Etiket_23">PedBerMedDisc!$AI$24</definedName>
    <definedName name="_Med_Etiket_24">PedBerMedDisc!$AI$25</definedName>
    <definedName name="_Med_Etiket_25">PedBerMedDisc!$AI$26</definedName>
    <definedName name="_Med_Etiket_26">PedBerMedDisc!$AI$27</definedName>
    <definedName name="_Med_Etiket_27">PedBerMedDisc!$AI$28</definedName>
    <definedName name="_Med_Etiket_28">PedBerMedDisc!$AI$29</definedName>
    <definedName name="_Med_Etiket_29">PedBerMedDisc!$AI$30</definedName>
    <definedName name="_Med_Etiket_3">PedBerMedDisc!$AI$4</definedName>
    <definedName name="_Med_Etiket_30">PedBerMedDisc!$AI$31</definedName>
    <definedName name="_Med_Etiket_4">PedBerMedDisc!$AI$5</definedName>
    <definedName name="_Med_Etiket_5">PedBerMedDisc!$AI$6</definedName>
    <definedName name="_Med_Etiket_6">PedBerMedDisc!$AI$7</definedName>
    <definedName name="_Med_Etiket_7">PedBerMedDisc!$AI$8</definedName>
    <definedName name="_Med_Etiket_8">PedBerMedDisc!$AI$9</definedName>
    <definedName name="_Med_Etiket_9">PedBerMedDisc!$AI$10</definedName>
    <definedName name="_Med_Sterkte_1">PedBerMedDisc!$AG$2</definedName>
    <definedName name="_Med_Sterkte_10">PedBerMedDisc!$AG$11</definedName>
    <definedName name="_Med_Sterkte_11">PedBerMedDisc!$AG$12</definedName>
    <definedName name="_Med_Sterkte_12">PedBerMedDisc!$AG$13</definedName>
    <definedName name="_Med_Sterkte_13">PedBerMedDisc!$AG$14</definedName>
    <definedName name="_Med_Sterkte_14">PedBerMedDisc!$AG$15</definedName>
    <definedName name="_Med_Sterkte_15">PedBerMedDisc!$AG$16</definedName>
    <definedName name="_Med_Sterkte_16">PedBerMedDisc!$AG$17</definedName>
    <definedName name="_Med_Sterkte_17">PedBerMedDisc!$AG$18</definedName>
    <definedName name="_Med_Sterkte_18">PedBerMedDisc!$AG$19</definedName>
    <definedName name="_Med_Sterkte_19">PedBerMedDisc!$AG$20</definedName>
    <definedName name="_Med_Sterkte_2">PedBerMedDisc!$AG$3</definedName>
    <definedName name="_Med_Sterkte_20">PedBerMedDisc!$AG$21</definedName>
    <definedName name="_Med_Sterkte_21">PedBerMedDisc!$AG$22</definedName>
    <definedName name="_Med_Sterkte_22">PedBerMedDisc!$AG$23</definedName>
    <definedName name="_Med_Sterkte_23">PedBerMedDisc!$AG$24</definedName>
    <definedName name="_Med_Sterkte_24">PedBerMedDisc!$AG$25</definedName>
    <definedName name="_Med_Sterkte_25">PedBerMedDisc!$AG$26</definedName>
    <definedName name="_Med_Sterkte_26">PedBerMedDisc!$AG$27</definedName>
    <definedName name="_Med_Sterkte_27">PedBerMedDisc!$AG$28</definedName>
    <definedName name="_Med_Sterkte_28">PedBerMedDisc!$AG$29</definedName>
    <definedName name="_Med_Sterkte_29">PedBerMedDisc!$AG$30</definedName>
    <definedName name="_Med_Sterkte_3">PedBerMedDisc!$AG$4</definedName>
    <definedName name="_Med_Sterkte_30">PedBerMedDisc!$AG$31</definedName>
    <definedName name="_Med_Sterkte_4">PedBerMedDisc!$AG$5</definedName>
    <definedName name="_Med_Sterkte_5">PedBerMedDisc!$AG$6</definedName>
    <definedName name="_Med_Sterkte_6">PedBerMedDisc!$AG$7</definedName>
    <definedName name="_Med_Sterkte_7">PedBerMedDisc!$AG$8</definedName>
    <definedName name="_Med_Sterkte_8">PedBerMedDisc!$AG$9</definedName>
    <definedName name="_Med_Sterkte_9">PedBerMedDisc!$AG$10</definedName>
    <definedName name="_Med_SterkteEenheid_1">PedBerMedDisc!$AH$2</definedName>
    <definedName name="_Med_SterkteEenheid_10">PedBerMedDisc!$AH$11</definedName>
    <definedName name="_Med_SterkteEenheid_11">PedBerMedDisc!$AH$12</definedName>
    <definedName name="_Med_SterkteEenheid_12">PedBerMedDisc!$AH$13</definedName>
    <definedName name="_Med_SterkteEenheid_13">PedBerMedDisc!$AH$14</definedName>
    <definedName name="_Med_SterkteEenheid_14">PedBerMedDisc!$AH$15</definedName>
    <definedName name="_Med_SterkteEenheid_15">PedBerMedDisc!$AH$16</definedName>
    <definedName name="_Med_SterkteEenheid_16">PedBerMedDisc!$AH$17</definedName>
    <definedName name="_Med_SterkteEenheid_17">PedBerMedDisc!$AH$18</definedName>
    <definedName name="_Med_SterkteEenheid_18">PedBerMedDisc!$AH$19</definedName>
    <definedName name="_Med_SterkteEenheid_19">PedBerMedDisc!$AH$20</definedName>
    <definedName name="_Med_SterkteEenheid_2">PedBerMedDisc!$AH$3</definedName>
    <definedName name="_Med_SterkteEenheid_20">PedBerMedDisc!$AH$21</definedName>
    <definedName name="_Med_SterkteEenheid_21">PedBerMedDisc!$AH$22</definedName>
    <definedName name="_Med_SterkteEenheid_22">PedBerMedDisc!$AH$23</definedName>
    <definedName name="_Med_SterkteEenheid_23">PedBerMedDisc!$AH$24</definedName>
    <definedName name="_Med_SterkteEenheid_24">PedBerMedDisc!$AH$25</definedName>
    <definedName name="_Med_SterkteEenheid_25">PedBerMedDisc!$AH$26</definedName>
    <definedName name="_Med_SterkteEenheid_26">PedBerMedDisc!$AH$27</definedName>
    <definedName name="_Med_SterkteEenheid_27">PedBerMedDisc!$AH$28</definedName>
    <definedName name="_Med_SterkteEenheid_28">PedBerMedDisc!$AH$29</definedName>
    <definedName name="_Med_SterkteEenheid_29">PedBerMedDisc!$AH$30</definedName>
    <definedName name="_Med_SterkteEenheid_3">PedBerMedDisc!$AH$4</definedName>
    <definedName name="_Med_SterkteEenheid_30">PedBerMedDisc!$AH$31</definedName>
    <definedName name="_Med_SterkteEenheid_4">PedBerMedDisc!$AH$5</definedName>
    <definedName name="_Med_SterkteEenheid_5">PedBerMedDisc!$AH$6</definedName>
    <definedName name="_Med_SterkteEenheid_6">PedBerMedDisc!$AH$7</definedName>
    <definedName name="_Med_SterkteEenheid_7">PedBerMedDisc!$AH$8</definedName>
    <definedName name="_Med_SterkteEenheid_8">PedBerMedDisc!$AH$9</definedName>
    <definedName name="_Med_SterkteEenheid_9">PedBerMedDisc!$AH$10</definedName>
    <definedName name="_Medicament_1">NeoBerIV!$B$20</definedName>
    <definedName name="_Medicament_2">NeoBerIV!$B$21</definedName>
    <definedName name="_Medicament_3">NeoBerIV!$B$22</definedName>
    <definedName name="_Medicament_4">NeoBerIV!$B$23</definedName>
    <definedName name="_Medicament_5">NeoBerIV!$B$24</definedName>
    <definedName name="_Medicament_6">NeoBerIV!$B$25</definedName>
    <definedName name="_Medicament_7">NeoBerIV!$B$26</definedName>
    <definedName name="_Medicament_8">NeoBerIV!$B$27</definedName>
    <definedName name="_Medicament_9">NeoBerIV!$B$28</definedName>
    <definedName name="_Medicament1700_1">NeoBer1700!$B$20</definedName>
    <definedName name="_Medicament1700_2">NeoBer1700!$B$21</definedName>
    <definedName name="_Medicament1700_3">NeoBer1700!$B$22</definedName>
    <definedName name="_Medicament1700_4">NeoBer1700!$B$23</definedName>
    <definedName name="_Medicament1700_5">NeoBer1700!$B$24</definedName>
    <definedName name="_Medicament1700_6">NeoBer1700!$B$25</definedName>
    <definedName name="_Medicament1700_7">NeoBer1700!$B$26</definedName>
    <definedName name="_Medicament1700_8">NeoBer1700!$B$27</definedName>
    <definedName name="_Medicament1700_9">NeoBer1700!$B$28</definedName>
    <definedName name="_MedSterkte_1">NeoBerIV!$C$20</definedName>
    <definedName name="_MedSterkte_2">NeoBerIV!$C$21</definedName>
    <definedName name="_MedSterkte_3">NeoBerIV!$C$22</definedName>
    <definedName name="_MedSterkte_4">NeoBerIV!$C$23</definedName>
    <definedName name="_MedSterkte_5">NeoBerIV!$C$24</definedName>
    <definedName name="_MedSterkte_6">NeoBerIV!$C$25</definedName>
    <definedName name="_MedSterkte_7">NeoBerIV!$C$26</definedName>
    <definedName name="_MedSterkte_8">NeoBerIV!$C$27</definedName>
    <definedName name="_MedSterkte_9">NeoBerIV!$C$28</definedName>
    <definedName name="_MedSterkte1700_1">NeoBer1700!$C$20</definedName>
    <definedName name="_MedSterkte1700_2">NeoBer1700!$C$21</definedName>
    <definedName name="_MedSterkte1700_3">NeoBer1700!$C$22</definedName>
    <definedName name="_MedSterkte1700_4">NeoBer1700!$C$23</definedName>
    <definedName name="_MedSterkte1700_5">NeoBer1700!$C$24</definedName>
    <definedName name="_MedSterkte1700_6">NeoBer1700!$C$25</definedName>
    <definedName name="_MedSterkte1700_7">NeoBer1700!$C$26</definedName>
    <definedName name="_MedSterkte1700_8">NeoBer1700!$C$27</definedName>
    <definedName name="_MedSterkte1700_9">NeoBer1700!$C$28</definedName>
    <definedName name="_MedTekst_1">NeoBerIV!$B$32</definedName>
    <definedName name="_MedTekst_2">NeoBerIV!$B$33</definedName>
    <definedName name="_MedTekst1700_1">NeoBer1700!$B$32</definedName>
    <definedName name="_MedTekst1700_2">NeoBer1700!$B$33</definedName>
    <definedName name="_MgCl2">NeoBerIV!$D$40</definedName>
    <definedName name="_MgCl21700">NeoBer1700!$D$40</definedName>
    <definedName name="_NaCl">NeoBerIV!$D$37</definedName>
    <definedName name="_NaCl1700">NeoBer1700!$D$37</definedName>
    <definedName name="_NeoInfuusContinu1">NeoBerIV!$B$90</definedName>
    <definedName name="_NeoInfuusContinu10">NeoBerIV!$B$99</definedName>
    <definedName name="_NeoInfuusContinu11">NeoBerIV!$B$100</definedName>
    <definedName name="_NeoInfuusContinu12">NeoBerIV!$B$101</definedName>
    <definedName name="_NeoInfuusContinu13">NeoBerIV!$B$102</definedName>
    <definedName name="_NeoInfuusContinu14">NeoBerIV!$B$103</definedName>
    <definedName name="_NeoInfuusContinu15">NeoBerIV!$B$104</definedName>
    <definedName name="_NeoInfuusContinu16">NeoBerIV!$B$105</definedName>
    <definedName name="_NeoInfuusContinu17">NeoBerIV!$B$106</definedName>
    <definedName name="_NeoInfuusContinu1700_1">NeoBer1700!$B$90</definedName>
    <definedName name="_NeoInfuusContinu1700_10">NeoBer1700!$B$99</definedName>
    <definedName name="_NeoInfuusContinu1700_11">NeoBer1700!$B$100</definedName>
    <definedName name="_NeoInfuusContinu1700_12">NeoBer1700!$B$101</definedName>
    <definedName name="_NeoInfuusContinu1700_13">NeoBer1700!$B$102</definedName>
    <definedName name="_NeoInfuusContinu1700_14">NeoBer1700!$B$103</definedName>
    <definedName name="_NeoInfuusContinu1700_15">NeoBer1700!$B$104</definedName>
    <definedName name="_NeoInfuusContinu1700_16">NeoBer1700!$B$105</definedName>
    <definedName name="_NeoInfuusContinu1700_17">NeoBer1700!$B$106</definedName>
    <definedName name="_NeoInfuusContinu1700_18">NeoBer1700!$B$107</definedName>
    <definedName name="_NeoInfuusContinu1700_19">NeoBer1700!$B$108</definedName>
    <definedName name="_NeoInfuusContinu1700_2">NeoBer1700!$B$91</definedName>
    <definedName name="_NeoInfuusContinu1700_20">NeoBer1700!$B$109</definedName>
    <definedName name="_NeoInfuusContinu1700_21">NeoBer1700!$B$110</definedName>
    <definedName name="_NeoInfuusContinu1700_22">NeoBer1700!$B$111</definedName>
    <definedName name="_NeoInfuusContinu1700_23">NeoBer1700!$B$112</definedName>
    <definedName name="_NeoInfuusContinu1700_24">NeoBer1700!$B$113</definedName>
    <definedName name="_NeoInfuusContinu1700_25">NeoBer1700!$B$114</definedName>
    <definedName name="_NeoInfuusContinu1700_26">NeoBer1700!$B$115</definedName>
    <definedName name="_NeoInfuusContinu1700_27">NeoBer1700!$B$116</definedName>
    <definedName name="_NeoInfuusContinu1700_3">NeoBer1700!$B$92</definedName>
    <definedName name="_NeoInfuusContinu1700_4">NeoBer1700!$B$93</definedName>
    <definedName name="_NeoInfuusContinu1700_5">NeoBer1700!$B$94</definedName>
    <definedName name="_NeoInfuusContinu1700_6">NeoBer1700!$B$95</definedName>
    <definedName name="_NeoInfuusContinu1700_7">NeoBer1700!$B$96</definedName>
    <definedName name="_NeoInfuusContinu1700_8">NeoBer1700!$B$97</definedName>
    <definedName name="_NeoInfuusContinu1700_9">NeoBer1700!$B$98</definedName>
    <definedName name="_NeoInfuusContinu18">NeoBerIV!$B$107</definedName>
    <definedName name="_NeoInfuusContinu19">NeoBerIV!$B$108</definedName>
    <definedName name="_NeoInfuusContinu2">NeoBerIV!$B$91</definedName>
    <definedName name="_NeoInfuusContinu20">NeoBerIV!$B$109</definedName>
    <definedName name="_NeoInfuusContinu21">NeoBerIV!$B$110</definedName>
    <definedName name="_NeoInfuusContinu22">NeoBerIV!$B$111</definedName>
    <definedName name="_NeoInfuusContinu23">NeoBerIV!$B$112</definedName>
    <definedName name="_NeoInfuusContinu24">NeoBerIV!$B$113</definedName>
    <definedName name="_NeoInfuusContinu25">NeoBerIV!$B$114</definedName>
    <definedName name="_NeoInfuusContinu26">NeoBerIV!$B$115</definedName>
    <definedName name="_NeoInfuusContinu27">NeoBerIV!$B$116</definedName>
    <definedName name="_NeoInfuusContinu3">NeoBerIV!$B$92</definedName>
    <definedName name="_NeoInfuusContinu4">NeoBerIV!$B$93</definedName>
    <definedName name="_NeoInfuusContinu5">NeoBerIV!$B$94</definedName>
    <definedName name="_NeoInfuusContinu6">NeoBerIV!$B$95</definedName>
    <definedName name="_NeoInfuusContinu7">NeoBerIV!$B$96</definedName>
    <definedName name="_NeoInfuusContinu8">NeoBerIV!$B$97</definedName>
    <definedName name="_NeoInfuusContinu9">NeoBerIV!$B$98</definedName>
    <definedName name="_NeoVoeding1">NeoBerIV!$B$73</definedName>
    <definedName name="_NeoVoeding10">NeoBerIV!$B$82</definedName>
    <definedName name="_NeoVoeding11">NeoBerIV!$B$83</definedName>
    <definedName name="_NeoVoeding12">NeoBerIV!$B$84</definedName>
    <definedName name="_NeoVoeding13">NeoBerIV!$B$85</definedName>
    <definedName name="_NeoVoeding14">NeoBerIV!$B$86</definedName>
    <definedName name="_NeoVoeding15">NeoBerIV!$B$87</definedName>
    <definedName name="_NeoVoeding1700_1">NeoBer1700!$B$73</definedName>
    <definedName name="_NeoVoeding1700_10">NeoBer1700!$B$82</definedName>
    <definedName name="_NeoVoeding1700_11">NeoBer1700!$B$83</definedName>
    <definedName name="_NeoVoeding1700_12">NeoBer1700!$B$84</definedName>
    <definedName name="_NeoVoeding1700_13">NeoBer1700!$B$85</definedName>
    <definedName name="_NeoVoeding1700_14">NeoBer1700!$B$86</definedName>
    <definedName name="_NeoVoeding1700_15">NeoBer1700!$B$87</definedName>
    <definedName name="_NeoVoeding1700_2">NeoBer1700!$B$74</definedName>
    <definedName name="_NeoVoeding1700_3">NeoBer1700!$B$75</definedName>
    <definedName name="_NeoVoeding1700_4">NeoBer1700!$B$76</definedName>
    <definedName name="_NeoVoeding1700_5">NeoBer1700!$B$77</definedName>
    <definedName name="_NeoVoeding1700_6">NeoBer1700!$B$78</definedName>
    <definedName name="_NeoVoeding1700_7">NeoBer1700!$B$79</definedName>
    <definedName name="_NeoVoeding1700_8">NeoBer1700!$B$80</definedName>
    <definedName name="_NeoVoeding1700_9">NeoBer1700!$B$81</definedName>
    <definedName name="_NeoVoeding2">NeoBerIV!$B$74</definedName>
    <definedName name="_NeoVoeding3">NeoBerIV!$B$75</definedName>
    <definedName name="_NeoVoeding4">NeoBerIV!$B$76</definedName>
    <definedName name="_NeoVoeding5">NeoBerIV!$B$77</definedName>
    <definedName name="_NeoVoeding6">NeoBerIV!$B$78</definedName>
    <definedName name="_NeoVoeding7">NeoBerIV!$B$79</definedName>
    <definedName name="_NeoVoeding8">NeoBerIV!$B$80</definedName>
    <definedName name="_NeoVoeding9">NeoBerIV!$B$81</definedName>
    <definedName name="_NICUMix">NeoBerIV!$D$43</definedName>
    <definedName name="_NICUMix1700">NeoBer1700!$D$43</definedName>
    <definedName name="_OplHoev_1">NeoBerIV!$D$20</definedName>
    <definedName name="_OplHoev_2">NeoBerIV!$D$21</definedName>
    <definedName name="_OplHoev_3">NeoBerIV!$D$22</definedName>
    <definedName name="_OplHoev_4">NeoBerIV!$D$23</definedName>
    <definedName name="_OplHoev_5">NeoBerIV!$D$24</definedName>
    <definedName name="_OplHoev_6">NeoBerIV!$D$25</definedName>
    <definedName name="_OplHoev_7">NeoBerIV!$D$26</definedName>
    <definedName name="_OplHoev_8">NeoBerIV!$D$27</definedName>
    <definedName name="_OplHoev_9">NeoBerIV!$D$28</definedName>
    <definedName name="_OplHoev1700_1">NeoBer1700!$D$20</definedName>
    <definedName name="_OplHoev1700_2">NeoBer1700!$D$21</definedName>
    <definedName name="_OplHoev1700_3">NeoBer1700!$D$22</definedName>
    <definedName name="_OplHoev1700_4">NeoBer1700!$D$23</definedName>
    <definedName name="_OplHoev1700_5">NeoBer1700!$D$24</definedName>
    <definedName name="_OplHoev1700_6">NeoBer1700!$D$25</definedName>
    <definedName name="_OplHoev1700_7">NeoBer1700!$D$26</definedName>
    <definedName name="_OplHoev1700_8">NeoBer1700!$D$27</definedName>
    <definedName name="_OplHoev1700_9">NeoBer1700!$D$28</definedName>
    <definedName name="_Oplossing_1">NeoBerIV!$E$20</definedName>
    <definedName name="_Oplossing_10">NeoBerIV!$E$29</definedName>
    <definedName name="_Oplossing_11">NeoBerIV!$E$30</definedName>
    <definedName name="_Oplossing_12">NeoBerIV!$E$31</definedName>
    <definedName name="_Oplossing_2">NeoBerIV!$E$21</definedName>
    <definedName name="_Oplossing_3">NeoBerIV!$E$22</definedName>
    <definedName name="_Oplossing_4">NeoBerIV!$E$23</definedName>
    <definedName name="_Oplossing_5">NeoBerIV!$E$24</definedName>
    <definedName name="_Oplossing_6">NeoBerIV!$E$25</definedName>
    <definedName name="_Oplossing_7">NeoBerIV!$E$26</definedName>
    <definedName name="_Oplossing_8">NeoBerIV!$E$27</definedName>
    <definedName name="_Oplossing_9">NeoBerIV!$E$28</definedName>
    <definedName name="_Oplossing1700_1">NeoBer1700!$E$20</definedName>
    <definedName name="_Oplossing1700_10">NeoBer1700!$E$29</definedName>
    <definedName name="_Oplossing1700_11">NeoBer1700!$E$30</definedName>
    <definedName name="_Oplossing1700_12">NeoBer1700!$E$31</definedName>
    <definedName name="_Oplossing1700_2">NeoBer1700!$E$21</definedName>
    <definedName name="_Oplossing1700_3">NeoBer1700!$E$22</definedName>
    <definedName name="_Oplossing1700_4">NeoBer1700!$E$23</definedName>
    <definedName name="_Oplossing1700_5">NeoBer1700!$E$24</definedName>
    <definedName name="_Oplossing1700_6">NeoBer1700!$E$25</definedName>
    <definedName name="_Oplossing1700_7">NeoBer1700!$E$26</definedName>
    <definedName name="_Oplossing1700_8">NeoBer1700!$E$27</definedName>
    <definedName name="_Oplossing1700_9">NeoBer1700!$E$28</definedName>
    <definedName name="_Parenteraal">NeoBerIV!$B$17</definedName>
    <definedName name="_Parenteraal1700">NeoBer1700!$B$17</definedName>
    <definedName name="_PatNum">NeoBerIV!$F$3</definedName>
    <definedName name="_PatNum1700">NeoBer1700!$F$3</definedName>
    <definedName name="_Percentage_0">NeoBerIV!$L$52</definedName>
    <definedName name="_Percentage_1">NeoBerIV!$L$53</definedName>
    <definedName name="_Percentage_2">NeoBerIV!$L$54</definedName>
    <definedName name="_Percentage_3">NeoBerIV!$L$55</definedName>
    <definedName name="_Percentage_4">NeoBerIV!$L$56</definedName>
    <definedName name="_Percentage_5">NeoBerIV!$L$58</definedName>
    <definedName name="_Percentage_6">NeoBerIV!$L$59</definedName>
    <definedName name="_Percentage_7">NeoBerIV!$L$60</definedName>
    <definedName name="_Percentage_8">NeoBerIV!$L$61</definedName>
    <definedName name="_Percentage1700_0">NeoBer1700!$L$52</definedName>
    <definedName name="_Percentage1700_1">NeoBer1700!$L$53</definedName>
    <definedName name="_Percentage1700_2">NeoBer1700!$L$54</definedName>
    <definedName name="_Percentage1700_3">NeoBer1700!$L$55</definedName>
    <definedName name="_Percentage1700_4">NeoBer1700!$L$56</definedName>
    <definedName name="_Percentage1700_5">NeoBer1700!$L$58</definedName>
    <definedName name="_Percentage1700_6">NeoBer1700!$L$59</definedName>
    <definedName name="_Percentage1700_7">NeoBer1700!$L$60</definedName>
    <definedName name="_Percentage1700_8">NeoBer1700!$L$61</definedName>
    <definedName name="_PercentageKeuze_0">NeoBerIV!$K$52</definedName>
    <definedName name="_PercentageKeuze_1">NeoBerIV!$K$53</definedName>
    <definedName name="_PercentageKeuze_2">NeoBerIV!$K$54</definedName>
    <definedName name="_PercentageKeuze_3">NeoBerIV!$K$55</definedName>
    <definedName name="_PercentageKeuze_4">NeoBerIV!$K$56</definedName>
    <definedName name="_PercentageKeuze_5">NeoBerIV!$K$58</definedName>
    <definedName name="_PercentageKeuze_6">NeoBerIV!$K$59</definedName>
    <definedName name="_PercentageKeuze_7">NeoBerIV!$K$60</definedName>
    <definedName name="_PercentageKeuze_8">NeoBerIV!$K$61</definedName>
    <definedName name="_PercentageKeuze1700_0">NeoBer1700!$K$52</definedName>
    <definedName name="_PercentageKeuze1700_1">NeoBer1700!$K$53</definedName>
    <definedName name="_PercentageKeuze1700_2">NeoBer1700!$K$54</definedName>
    <definedName name="_PercentageKeuze1700_3">NeoBer1700!$K$55</definedName>
    <definedName name="_PercentageKeuze1700_4">NeoBer1700!$K$56</definedName>
    <definedName name="_PercentageKeuze1700_5">NeoBer1700!$K$58</definedName>
    <definedName name="_PercentageKeuze1700_6">NeoBer1700!$K$59</definedName>
    <definedName name="_PercentageKeuze1700_7">NeoBer1700!$K$60</definedName>
    <definedName name="_PercentageKeuze1700_8">NeoBer1700!$K$61</definedName>
    <definedName name="_Primene">NeoBerIV!$D$42</definedName>
    <definedName name="_Primene1700">NeoBer1700!$D$42</definedName>
    <definedName name="_SoluVit">NeoBerIV!$D$41</definedName>
    <definedName name="_SoluVit1700">NeoBer1700!$D$41</definedName>
    <definedName name="_SSTB">NeoBerIV!$D$44</definedName>
    <definedName name="_SSTB1700">NeoBer1700!$D$44</definedName>
    <definedName name="_Stand_1">NeoBerIV!$F$20</definedName>
    <definedName name="_Stand_10">NeoBerIV!$F$29</definedName>
    <definedName name="_Stand_11">NeoBerIV!$F$30</definedName>
    <definedName name="_Stand_12">NeoBerIV!$F$31</definedName>
    <definedName name="_Stand_2">NeoBerIV!$F$21</definedName>
    <definedName name="_Stand_3">NeoBerIV!$F$22</definedName>
    <definedName name="_Stand_4">NeoBerIV!$F$23</definedName>
    <definedName name="_Stand_5">NeoBerIV!$F$24</definedName>
    <definedName name="_Stand_6">NeoBerIV!$F$25</definedName>
    <definedName name="_Stand_7">NeoBerIV!$F$26</definedName>
    <definedName name="_Stand_8">NeoBerIV!$F$27</definedName>
    <definedName name="_Stand_9">NeoBerIV!$F$28</definedName>
    <definedName name="_Stand1700_1">NeoBer1700!$F$20</definedName>
    <definedName name="_Stand1700_10">NeoBer1700!$F$29</definedName>
    <definedName name="_Stand1700_11">NeoBer1700!$F$30</definedName>
    <definedName name="_Stand1700_12">NeoBer1700!$F$31</definedName>
    <definedName name="_Stand1700_2">NeoBer1700!$F$21</definedName>
    <definedName name="_Stand1700_3">NeoBer1700!$F$22</definedName>
    <definedName name="_Stand1700_4">NeoBer1700!$F$23</definedName>
    <definedName name="_Stand1700_5">NeoBer1700!$F$24</definedName>
    <definedName name="_Stand1700_6">NeoBer1700!$F$25</definedName>
    <definedName name="_Stand1700_7">NeoBer1700!$F$26</definedName>
    <definedName name="_Stand1700_8">NeoBer1700!$F$27</definedName>
    <definedName name="_Stand1700_9">NeoBer1700!$F$28</definedName>
    <definedName name="_Sterkte_1">NeoBerIV!$C$20</definedName>
    <definedName name="_Sterkte_2">NeoBerIV!$C$21</definedName>
    <definedName name="_Sterkte_3">NeoBerIV!$C$22</definedName>
    <definedName name="_Sterkte_4">NeoBerIV!$C$23</definedName>
    <definedName name="_Sterkte_5">NeoBerIV!$C$24</definedName>
    <definedName name="_Sterkte_6">NeoBerIV!$C$25</definedName>
    <definedName name="_Sterkte_7">NeoBerIV!$C$26</definedName>
    <definedName name="_Sterkte_8">NeoBerIV!$C$27</definedName>
    <definedName name="_Sterkte_9">NeoBerIV!$C$28</definedName>
    <definedName name="_Supervisor">NeoBerIV!$A$63</definedName>
    <definedName name="_Supervisor1700">NeoBer1700!$A$63</definedName>
    <definedName name="_Toevoeging_0">NeoBerIV!$B$52</definedName>
    <definedName name="_Toevoeging_1">NeoBerIV!$B$53</definedName>
    <definedName name="_Toevoeging_2">NeoBerIV!$B$54</definedName>
    <definedName name="_Toevoeging_3">NeoBerIV!$B$55</definedName>
    <definedName name="_Toevoeging_4">NeoBerIV!$B$56</definedName>
    <definedName name="_Toevoeging_5">NeoBerIV!$B$58</definedName>
    <definedName name="_Toevoeging_6">NeoBerIV!$B$59</definedName>
    <definedName name="_Toevoeging_7">NeoBerIV!$B$60</definedName>
    <definedName name="_Toevoeging_8">NeoBerIV!$B$61</definedName>
    <definedName name="_Toevoeging1700_0">NeoBer1700!$B$52</definedName>
    <definedName name="_Toevoeging1700_1">NeoBer1700!$B$53</definedName>
    <definedName name="_Toevoeging1700_2">NeoBer1700!$B$54</definedName>
    <definedName name="_Toevoeging1700_3">NeoBer1700!$B$55</definedName>
    <definedName name="_Toevoeging1700_4">NeoBer1700!$B$56</definedName>
    <definedName name="_Toevoeging1700_5">NeoBer1700!$B$58</definedName>
    <definedName name="_Toevoeging1700_6">NeoBer1700!$B$59</definedName>
    <definedName name="_Toevoeging1700_7">NeoBer1700!$B$60</definedName>
    <definedName name="_Toevoeging1700_8">NeoBer1700!$B$61</definedName>
    <definedName name="_Voeding">NeoBerIV!$D$14</definedName>
    <definedName name="_Voeding1700">NeoBer1700!$D$14</definedName>
    <definedName name="_VoedingBMFWaarden">NeoTblLijst!$AB$3:$AB$5</definedName>
    <definedName name="_VoedingToevoegingenBMF">NeoTblLijst!$M$51:$Y$52</definedName>
    <definedName name="_VoedingToevoegingenKunstvoeding">NeoTblLijst!$L$44:$Y$48</definedName>
    <definedName name="_VoedingToevoegingenMoedermelk">NeoTblLijst!$L$33:$Y$39</definedName>
    <definedName name="_VoedingToevoegingenWaarden">NeoTblLijst!$AC$3:$AC$13</definedName>
    <definedName name="_VoornaamNICU">NeoBerIV!$C$1</definedName>
    <definedName name="_VoornaamNICU1700">NeoBer1700!$C$1</definedName>
    <definedName name="_Weken">NeoBerIV!$D$4</definedName>
    <definedName name="_Weken1700">NeoBer1700!$D$4</definedName>
    <definedName name="_WerkbriefActueelIntravasaleToegangBreuk">NeoPrtWerkbrAct!$N$6</definedName>
    <definedName name="_WerkbriefActueelIntravasaleToegangGeheel">NeoPrtWerkbrAct!$M$6</definedName>
    <definedName name="_WerkbriefActueelIntravasaleToegangStand">NeoPrtWerkbrAct!$A$6</definedName>
    <definedName name="_WerkbriefActueelIntravasaleToegangTekst">NeoPrtWerkbrAct!$C$6</definedName>
    <definedName name="_WerkbriefActueelTPNCaClBreuk">NeoPrtWerkbrAct!$N$10</definedName>
    <definedName name="_WerkbriefActueelTPNCaClGeheel">NeoPrtWerkbrAct!$M$10</definedName>
    <definedName name="_WerkbriefActueelTPNCaClTekst">NeoPrtWerkbrAct!$H$10</definedName>
    <definedName name="_WerkbriefActueelTPNGlucBreuk">NeoPrtWerkbrAct!$N$16</definedName>
    <definedName name="_WerkbriefActueelTPNGlucGeheel">NeoPrtWerkbrAct!$M$16</definedName>
    <definedName name="_WerkbriefActueelTPNGlucTekst">NeoPrtWerkbrAct!$H$16</definedName>
    <definedName name="_WerkbriefActueelTPNKacetaatBreuk">NeoPrtWerkbrAct!$N$9</definedName>
    <definedName name="_WerkbriefActueelTPNKacetaatGeheel">NeoPrtWerkbrAct!$M$9</definedName>
    <definedName name="_WerkbriefActueelTPNKacetaatTekst">NeoPrtWerkbrAct!$H$9</definedName>
    <definedName name="_WerkbriefActueelTPNMgClBreuk">NeoPrtWerkbrAct!$N$11</definedName>
    <definedName name="_WerkbriefActueelTPNMgClGeheel">NeoPrtWerkbrAct!$M$11</definedName>
    <definedName name="_WerkbriefActueelTPNMgClTekst">NeoPrtWerkbrAct!$H$11</definedName>
    <definedName name="_WerkbriefActueelTPNNaClBreuk">NeoPrtWerkbrAct!$N$8</definedName>
    <definedName name="_WerkbriefActueelTPNNaClGeheel">NeoPrtWerkbrAct!$M$8</definedName>
    <definedName name="_WerkbriefActueelTPNNaCLTekst">NeoPrtWerkbrAct!$H$8</definedName>
    <definedName name="_WerkbriefActueelTPNNICUmixBreuk">NeoPrtWerkbrAct!$N$14</definedName>
    <definedName name="_WerkbriefActueelTPNNICUmixGeheel">NeoPrtWerkbrAct!$M$14</definedName>
    <definedName name="_WerkbriefActueelTPNNICUmixTekst">NeoPrtWerkbrAct!$H$14</definedName>
    <definedName name="_WerkbriefActueelTPNPrimeneBreuk">NeoPrtWerkbrAct!$N$13</definedName>
    <definedName name="_WerkbriefActueelTPNPrimeneGeheel">NeoPrtWerkbrAct!$M$13</definedName>
    <definedName name="_WerkbriefActueelTPNPrimeneTekst">NeoPrtWerkbrAct!$H$13</definedName>
    <definedName name="_WerkbriefActueelTPNSamBBreuk">NeoPrtWerkbrAct!$N$15</definedName>
    <definedName name="_WerkbriefActueelTPNSamBGeheel">NeoPrtWerkbrAct!$M$15</definedName>
    <definedName name="_WerkbriefActueelTPNSamBTekst">NeoPrtWerkbrAct!$H$15</definedName>
    <definedName name="_WerkbriefActueelTPNSoluvitBreuk">NeoPrtWerkbrAct!$N$12</definedName>
    <definedName name="_WerkbriefActueelTPNSoluvitGeheel">NeoPrtWerkbrAct!$M$12</definedName>
    <definedName name="_WerkbriefActueelTPNSoluvitTekst">NeoPrtWerkbrAct!$H$12</definedName>
    <definedName name="_WerkbriefActueelTPNStand">NeoPrtWerkbrAct!$A$8</definedName>
    <definedName name="_WerkbriefActueelTPNTotaalBreuk">NeoPrtWerkbrAct!$N$17</definedName>
    <definedName name="_WerkbriefActueelTPNTotaalGeheel">NeoPrtWerkbrAct!$M$17</definedName>
    <definedName name="_WerkbriefIntravasaleToegangBreuk">NeoPrtWerkbr!$N$6</definedName>
    <definedName name="_WerkbriefIntravasaleToegangGeheel">NeoPrtWerkbr!$M$6</definedName>
    <definedName name="_WerkbriefIntravasaleToegangStand">NeoPrtWerkbr!$A$6</definedName>
    <definedName name="_WerkbriefIntravasaleToegangTekst">NeoPrtWerkbr!$C$6</definedName>
    <definedName name="_WerkbriefTPNCaClBreuk">NeoPrtWerkbr!$N$10</definedName>
    <definedName name="_WerkbriefTPNCaClGeheel">NeoPrtWerkbr!$M$10</definedName>
    <definedName name="_WerkbriefTPNCaClTekst">NeoPrtWerkbr!$H$10</definedName>
    <definedName name="_WerkbriefTPNGlucBreuk">NeoPrtWerkbr!$N$16</definedName>
    <definedName name="_WerkbriefTPNGlucGeheel">NeoPrtWerkbr!$M$16</definedName>
    <definedName name="_WerkbriefTPNGlucTekst">NeoPrtWerkbr!$H$16</definedName>
    <definedName name="_WerkbriefTPNKacetaatBreuk">NeoPrtWerkbr!$N$9</definedName>
    <definedName name="_WerkbriefTPNKacetaatGeheel">NeoPrtWerkbr!$M$9</definedName>
    <definedName name="_WerkbriefTPNKacetaatTekst">NeoPrtWerkbr!$H$9</definedName>
    <definedName name="_WerkbriefTPNMgClBreuk">NeoPrtWerkbr!$N$11</definedName>
    <definedName name="_WerkbriefTPNMgClGeheel">NeoPrtWerkbr!$M$11</definedName>
    <definedName name="_WerkbriefTPNMgClTekst">NeoPrtWerkbr!$H$11</definedName>
    <definedName name="_WerkbriefTPNNaClBreuk">NeoPrtWerkbr!$N$8</definedName>
    <definedName name="_WerkbriefTPNNaClGeheel">NeoPrtWerkbr!$M$8</definedName>
    <definedName name="_WerkbriefTPNNaCLTekst">NeoPrtWerkbr!$H$8</definedName>
    <definedName name="_WerkbriefTPNNICUmixBreuk">NeoPrtWerkbr!$N$14</definedName>
    <definedName name="_WerkbriefTPNNICUmixGeheel">NeoPrtWerkbr!$M$14</definedName>
    <definedName name="_WerkbriefTPNNICUmixTekst">NeoPrtWerkbr!$H$14</definedName>
    <definedName name="_WerkbriefTPNPrimeneBreuk">NeoPrtWerkbr!$N$13</definedName>
    <definedName name="_WerkbriefTPNPrimeneGeheel">NeoPrtWerkbr!$M$13</definedName>
    <definedName name="_WerkbriefTPNPrimeneTekst">NeoPrtWerkbr!$H$13</definedName>
    <definedName name="_WerkbriefTPNSamBBreuk">NeoPrtWerkbr!$N$15</definedName>
    <definedName name="_WerkbriefTPNSamBGeheel">NeoPrtWerkbr!$M$15</definedName>
    <definedName name="_WerkbriefTPNSamBTekst">NeoPrtWerkbr!$H$15</definedName>
    <definedName name="_WerkbriefTPNSoluvitBreuk">NeoPrtWerkbr!$N$12</definedName>
    <definedName name="_WerkbriefTPNSoluvitGeheel">NeoPrtWerkbr!$M$12</definedName>
    <definedName name="_WerkbriefTPNSoluvitTekst">NeoPrtWerkbr!$H$12</definedName>
    <definedName name="_WerkbriefTPNStand">NeoPrtWerkbr!$A$8</definedName>
    <definedName name="_WerkbriefTPNTotaalBreuk">NeoPrtWerkbr!$N$17</definedName>
    <definedName name="_WerkbriefTPNTotaalGeheel">NeoPrtWerkbr!$M$17</definedName>
    <definedName name="Aanvullend_aEEG">PedTblAfsprExtra!$A$2:$A$5</definedName>
    <definedName name="Aanvullend_LiquorDrainSub1">PedTblAfsprExtra!$J$2:$J$5</definedName>
    <definedName name="Aanvullend_NIBD">PedTblAfsprExtra!$E$2:$E$6</definedName>
    <definedName name="Aanvullend_Overige_Ped">PedBerExtraAfspr!$F$17</definedName>
    <definedName name="Aanvullend_PerPeriode">PedTblAfsprExtra!$I$2:$I$5</definedName>
    <definedName name="Aanvullend_ThoraxDrainSub1">PedTblAfsprExtra!$B$2:$B$8</definedName>
    <definedName name="Aanvullend_ThoraxDrainSub2">PedTblAfsprExtra!$C$2:$C$6</definedName>
    <definedName name="Aanvullend_ThoraxDrainSub3">PedTblAfsprExtra!$D$2:$D$5</definedName>
    <definedName name="Aanvullend_Verliezen_Ped">PedBerExtraAfspr!$H$18</definedName>
    <definedName name="Aanvullend_Vertrektijden">PedTblAfsprExtra!$G$2:$H$98</definedName>
    <definedName name="Aanvullend_Verwijderen">PedTblAfsprExtra!$F$2:$F$6</definedName>
    <definedName name="Aanvullend_WondkweekTekst">NeoBerAfspr!$G$31</definedName>
    <definedName name="AanvullendNeoBool_aEEG">NeoBerAfspr!$B$22</definedName>
    <definedName name="AanvullendNeoBool_ArmLinks">NeoBerAfspr!$D$11</definedName>
    <definedName name="AanvullendNeoBool_ArmRechts">NeoBerAfspr!$D$12</definedName>
    <definedName name="AanvullendNeoBool_BeenLinks">NeoBerAfspr!$D$13</definedName>
    <definedName name="AanvullendNeoBool_BeenRechts">NeoBerAfspr!$D$14</definedName>
    <definedName name="AanvullendNeoBool_Bloedkweek">NeoBerAfspr!$F$7</definedName>
    <definedName name="AanvullendNeoBool_CatheterDemeure">NeoBerAfspr!$J$7</definedName>
    <definedName name="AanvullendNeoBool_CT">NeoBerAfspr!$B$23</definedName>
    <definedName name="AanvullendNeoBool_ECG">NeoBerAfspr!$B$24</definedName>
    <definedName name="AanvullendNeoBool_EchoBuik">NeoBerAfspr!$B$25</definedName>
    <definedName name="AanvullendNeoBool_EchoHart">NeoBerAfspr!$B$26</definedName>
    <definedName name="AanvullendNeoBool_FaecesBacterieel">NeoBerAfspr!$H$8</definedName>
    <definedName name="AanvullendNeoBool_Faeceskweek">NeoBerAfspr!$F$8</definedName>
    <definedName name="AanvullendNeoBool_FaecesRotaAdeno">NeoBerAfspr!$H$9</definedName>
    <definedName name="AanvullendNeoBool_FaecesSchimmelGist">NeoBerAfspr!$H$10</definedName>
    <definedName name="AanvullendNeoBool_FaecesViraal">NeoBerAfspr!$H$11</definedName>
    <definedName name="AanvullendNeoBool_Finnigan">NeoBerAfspr!$B$7</definedName>
    <definedName name="AanvullendNeoBool_Fototherapie">NeoBerAfspr!$J$29</definedName>
    <definedName name="AanvullendNeoBool_FototherapieStop">NeoBerAfspr!$J$8</definedName>
    <definedName name="AanvullendNeoBool_Gatrostoma">NeoBerAfspr!$J$9</definedName>
    <definedName name="AanvullendNeoBool_Gewicht">NeoBerAfspr!$B$8</definedName>
    <definedName name="AanvullendNeoBool_InfuusOpSlot">NeoBerAfspr!$J$10</definedName>
    <definedName name="AanvullendNeoBool_InfuusUit">NeoBerAfspr!$J$11</definedName>
    <definedName name="AanvullendNeoBool_Keelkweek">NeoBerAfspr!$F$12</definedName>
    <definedName name="AanvullendNeoBool_Lengte">NeoBerAfspr!$B$9</definedName>
    <definedName name="AanvullendNeoBool_Liquor">NeoBerAfspr!$B$46</definedName>
    <definedName name="AanvullendNeoBool_MaagsondeOpenHoog">NeoBerAfspr!$J$12</definedName>
    <definedName name="AanvullendNeoBool_Monitor">NeoBerAfspr!$B$10</definedName>
    <definedName name="AanvullendNeoBool_MRI">NeoBerAfspr!$B$27</definedName>
    <definedName name="AanvullendNeoBool_Neusspoelsel">NeoBerAfspr!$F$13</definedName>
    <definedName name="AanvullendNeoBool_NeusspoelselViraal">NeoBerAfspr!$H$13</definedName>
    <definedName name="AanvullendNeoBool_NIBD">NeoBerAfspr!$B$11</definedName>
    <definedName name="AanvullendNeoBool_NIBDAll">NeoBerAfspr!$B$15</definedName>
    <definedName name="AanvullendNeoBool_NIRS1">NeoBerAfspr!$B$28</definedName>
    <definedName name="AanvullendNeoBool_NIRS2">NeoBerAfspr!$B$29</definedName>
    <definedName name="AanvullendNeoBool_NIRSnier">NeoBerAfspr!$B$30</definedName>
    <definedName name="AanvullendNeoBool_OntslagAkkoord">NeoBerAfspr!$J$15</definedName>
    <definedName name="AanvullendNeoBool_OntslagInOverleg">NeoBerAfspr!$J$13</definedName>
    <definedName name="AanvullendNeoBool_OntslagNaVisite">NeoBerAfspr!$J$14</definedName>
    <definedName name="AanvullendNeoBool_Opnamekweken">NeoBerAfspr!$F$14</definedName>
    <definedName name="AanvullendNeoBool_OppervlakteGistSchimmel">NeoBerAfspr!$H$16</definedName>
    <definedName name="AanvullendNeoBool_Oppervlaktekweken">NeoBerAfspr!$F$15</definedName>
    <definedName name="AanvullendNeoBool_OppervlakteOpname">NeoBerAfspr!$H$15</definedName>
    <definedName name="AanvullendNeoBool_Pacemakerdraden">NeoBerAfspr!$J$16</definedName>
    <definedName name="AanvullendNeoBool_Peritoneaal">NeoBerAfspr!$B$43</definedName>
    <definedName name="AanvullendNeoBool_PeritoneaalVacuum">NeoBerAfspr!$D$43</definedName>
    <definedName name="AanvullendNeoBool_Pigtail">NeoBerAfspr!$B$44</definedName>
    <definedName name="AanvullendNeoBool_PigtailVacuum">NeoBerAfspr!$D$44</definedName>
    <definedName name="AanvullendNeoBool_Redon">NeoBerAfspr!$B$45</definedName>
    <definedName name="AanvullendNeoBool_RedonVacuum">NeoBerAfspr!$D$45</definedName>
    <definedName name="AanvullendNeoBool_Rickham">NeoBerAfspr!$J$17</definedName>
    <definedName name="AanvullendNeoBool_RS">NeoBerAfspr!$J$18</definedName>
    <definedName name="AanvullendNeoBool_RSdiagnostiek">NeoBerAfspr!$F$17</definedName>
    <definedName name="AanvullendNeoBool_SaturatiePost">NeoBerAfspr!$B$16</definedName>
    <definedName name="AanvullendNeoBool_SaturatiePre">NeoBerAfspr!$B$17</definedName>
    <definedName name="AanvullendNeoBool_Schedel">NeoBerAfspr!$B$18</definedName>
    <definedName name="AanvullendNeoBool_SputumBacterieel">NeoBerAfspr!$H$18</definedName>
    <definedName name="AanvullendNeoBool_Sputumkweek">NeoBerAfspr!$F$18</definedName>
    <definedName name="AanvullendNeoBool_SputumUreaplasmaMycoplasma">NeoBerAfspr!$H$19</definedName>
    <definedName name="AanvullendNeoBool_SputumViraal">NeoBerAfspr!$H$20</definedName>
    <definedName name="AanvullendNeoBool_Thorax1">NeoBerAfspr!$B$34</definedName>
    <definedName name="AanvullendNeoBool_Thorax2">NeoBerAfspr!$B$37</definedName>
    <definedName name="AanvullendNeoBool_Thorax3">NeoBerAfspr!$B$40</definedName>
    <definedName name="AanvullendNeoBool_Uitzuigkweek">NeoBerAfspr!$F$21</definedName>
    <definedName name="AanvullendNeoBool_Urine">NeoBerAfspr!$F$23</definedName>
    <definedName name="AanvullendNeoBool_Urine24uur">NeoBerAfspr!$H$27</definedName>
    <definedName name="AanvullendNeoBool_UrineCMV">NeoBerAfspr!$H$28</definedName>
    <definedName name="AanvullendNeoBool_Urinekweek">NeoBerAfspr!$F$22</definedName>
    <definedName name="AanvullendNeoBool_UrinekweekBacterieel">NeoBerAfspr!$H$22</definedName>
    <definedName name="AanvullendNeoBool_UrineMetabool">NeoBerAfspr!$H$29</definedName>
    <definedName name="AanvullendNeoBool_UrineNatriumKalium">NeoBerAfspr!$H$23</definedName>
    <definedName name="AanvullendNeoBool_UrineRchitis">NeoBerAfspr!$H$30</definedName>
    <definedName name="AanvullendNeoBool_UrineSediment">NeoBerAfspr!$H$24</definedName>
    <definedName name="AanvullendNeoBool_UrineSedimentKweek">NeoBerAfspr!$H$25</definedName>
    <definedName name="AanvullendNeoBool_UrineSedimentMaWoVr">NeoBerAfspr!$H$26</definedName>
    <definedName name="AanvullendNeoBool_Urostoma">NeoBerAfspr!$J$19</definedName>
    <definedName name="AanvullendNeoBool_Verliezen">NeoBerAfspr!$J$20</definedName>
    <definedName name="AanvullendNeoBool_VerliezenFFP">NeoBerAfspr!$L$23</definedName>
    <definedName name="AanvullendNeoBool_VerliezenNaCl">NeoBerAfspr!$L$22</definedName>
    <definedName name="AanvullendNeoBool_VerliezenRingerslactaat">NeoBerAfspr!$L$21</definedName>
    <definedName name="AanvullendNeoBool_Verwijderen">NeoBerAfspr!$J$24</definedName>
    <definedName name="AanvullendNeoBool_VerwijderenCAD">NeoBerAfspr!$L$24</definedName>
    <definedName name="AanvullendNeoBool_VerwijderenNVL">NeoBerAfspr!$L$25</definedName>
    <definedName name="AanvullendNeoBool_VerwijderenPAL">NeoBerAfspr!$L$26</definedName>
    <definedName name="AanvullendNeoBool_VerwijderenSilastic">NeoBerAfspr!$L$27</definedName>
    <definedName name="AanvullendNeoBool_Vochtbalans">NeoBerAfspr!$B$19</definedName>
    <definedName name="AanvullendNeoBool_XBOZ">NeoBerAfspr!$B$31</definedName>
    <definedName name="AanvullendNeoBool_XThorax">NeoBerAfspr!$B$32</definedName>
    <definedName name="AanvullendNeoData_AantalLampen">NeoBerAfspr!$K$29</definedName>
    <definedName name="AanvullendNeoData_aEEG">NeoBerAfspr!$D$22</definedName>
    <definedName name="AanvullendNeoData_GewichtFrequentie">NeoBerAfspr!$C$8</definedName>
    <definedName name="AanvullendNeoData_GewichtPer">NeoBerAfspr!$D$8</definedName>
    <definedName name="AanvullendNeoData_LengteFrequentie">NeoBerAfspr!$C$9</definedName>
    <definedName name="AanvullendNeoData_LengtePer">NeoBerAfspr!$D$9</definedName>
    <definedName name="AanvullendNeoData_LiquorHoogte">NeoBerAfspr!$D$47</definedName>
    <definedName name="AanvullendNeoData_LiquorSub">NeoBerAfspr!$D$46</definedName>
    <definedName name="AanvullendNeoData_NIBDdd">NeoBerAfspr!$B$12</definedName>
    <definedName name="AanvullendNeoData_Rickhamdd">NeoBerAfspr!$K$17</definedName>
    <definedName name="AanvullendNeoData_Rickhamml">NeoBerAfspr!$L$17</definedName>
    <definedName name="AanvullendNeoData_SchedelFrequentie">NeoBerAfspr!$C$18</definedName>
    <definedName name="AanvullendNeoData_SchedelPer">NeoBerAfspr!$D$18</definedName>
    <definedName name="AanvullendNeoData_Thorax1Sub1">NeoBerAfspr!$D$36</definedName>
    <definedName name="AanvullendNeoData_Thorax1Sub2">NeoBerAfspr!$D$34</definedName>
    <definedName name="AanvullendNeoData_Thorax1Sub3">NeoBerAfspr!$D$35</definedName>
    <definedName name="AanvullendNeoData_Thorax2Sub1">NeoBerAfspr!$D$39</definedName>
    <definedName name="AanvullendNeoData_Thorax2Sub2">NeoBerAfspr!$D$37</definedName>
    <definedName name="AanvullendNeoData_Thorax2Sub3">NeoBerAfspr!$D$38</definedName>
    <definedName name="AanvullendNeoData_Thorax3Sub1">NeoBerAfspr!$D$42</definedName>
    <definedName name="AanvullendNeoData_Thorax3Sub2">NeoBerAfspr!$D$40</definedName>
    <definedName name="AanvullendNeoData_Thorax3Sub3">NeoBerAfspr!$D$41</definedName>
    <definedName name="AanvullendNeoData_VerliezenFrequentie">NeoBerAfspr!$K$20</definedName>
    <definedName name="AanvullendNeoData_Vertrek">NeoBerAfspr!$D$27</definedName>
    <definedName name="AanvullendNeoData_Wondkweek">NeoBerAfspr!$G$31</definedName>
    <definedName name="AanvullendPedBool_ArmLinks">PedBerExtraAfspr!$D$11</definedName>
    <definedName name="AanvullendPedBool_ArmRechts">PedBerExtraAfspr!$D$12</definedName>
    <definedName name="AanvullendPedBool_BeenLinks">PedBerExtraAfspr!$D$13</definedName>
    <definedName name="AanvullendPedBool_BeenRechts">PedBerExtraAfspr!$D$14</definedName>
    <definedName name="AanvullendPedBool_Buik">PedBerExtraAfspr!$B$10</definedName>
    <definedName name="AanvullendPedBool_Catheter">PedBerExtraAfspr!$F$7</definedName>
    <definedName name="AanvullendPedBool_CFM">PedBerExtraAfspr!$B$20</definedName>
    <definedName name="AanvullendPedBool_Duodenumsonde">PedBerExtraAfspr!$F$10</definedName>
    <definedName name="AanvullendPedBool_ECG">PedBerExtraAfspr!$B$21</definedName>
    <definedName name="AanvullendPedBool_Gastrostoma">PedBerExtraAfspr!$F$12</definedName>
    <definedName name="AanvullendPedBool_GCS">PedBerExtraAfspr!$B$42</definedName>
    <definedName name="AanvullendPedBool_Gewicht">PedBerExtraAfspr!$B$7</definedName>
    <definedName name="AanvullendPedBool_HardeKraag">PedBerExtraAfspr!$F$15</definedName>
    <definedName name="AanvullendPedBool_Headblocks">PedBerExtraAfspr!$F$13</definedName>
    <definedName name="AanvullendPedBool_ICP">PedBerExtraAfspr!$B$24</definedName>
    <definedName name="AanvullendPedBool_Lengte">PedBerExtraAfspr!$B$8</definedName>
    <definedName name="AanvullendPedBool_Liquor">PedBerExtraAfspr!$B$39</definedName>
    <definedName name="AanvullendPedBool_Maagretentie">PedBerExtraAfspr!$F$16</definedName>
    <definedName name="AanvullendPedBool_Maagsonde">PedBerExtraAfspr!$F$9</definedName>
    <definedName name="AanvullendPedBool_NIBD">PedBerExtraAfspr!$B$11</definedName>
    <definedName name="AanvullendPedBool_NIBDAlle">PedBerExtraAfspr!$B$15</definedName>
    <definedName name="AanvullendPedBool_NIRS1">PedBerExtraAfspr!$B$22</definedName>
    <definedName name="AanvullendPedBool_NIRS2">PedBerExtraAfspr!$B$23</definedName>
    <definedName name="AanvullendPedBool_PEG">PedBerExtraAfspr!$F$11</definedName>
    <definedName name="AanvullendPedBool_Peritoneaal">PedBerExtraAfspr!$B$36</definedName>
    <definedName name="AanvullendPedBool_PeritoneaalVacuum">PedBerExtraAfspr!$D$36</definedName>
    <definedName name="AanvullendPedBool_Pigtail">PedBerExtraAfspr!$B$37</definedName>
    <definedName name="AanvullendPedBool_PigtailVacuum">PedBerExtraAfspr!$D$37</definedName>
    <definedName name="AanvullendPedBool_Pupil">PedBerExtraAfspr!$B$43</definedName>
    <definedName name="AanvullendPedBool_Redon">PedBerExtraAfspr!$B$38</definedName>
    <definedName name="AanvullendPedBool_RedonVacuum">PedBerExtraAfspr!$D$38</definedName>
    <definedName name="AanvullendPedBool_SaturatiePost">PedBerExtraAfspr!$B$16</definedName>
    <definedName name="AanvullendPedBool_SaturatiePre">PedBerExtraAfspr!$B$17</definedName>
    <definedName name="AanvullendPedBool_Schedel">PedBerExtraAfspr!$B$9</definedName>
    <definedName name="AanvullendPedBool_Sedatie">PedBerExtraAfspr!$B$44</definedName>
    <definedName name="AanvullendPedBool_Thorax1">PedBerExtraAfspr!$B$27</definedName>
    <definedName name="AanvullendPedBool_Thorax2">PedBerExtraAfspr!$B$30</definedName>
    <definedName name="AanvullendPedBool_Thorax3">PedBerExtraAfspr!$B$33</definedName>
    <definedName name="AanvullendPedBool_TOSCA">PedBerExtraAfspr!$B$25</definedName>
    <definedName name="AanvullendPedBool_Urostoma">PedBerExtraAfspr!$F$8</definedName>
    <definedName name="AanvullendPedBool_Verliezen">PedBerExtraAfspr!$F$18</definedName>
    <definedName name="AanvullendPedBool_ZachteKraag">PedBerExtraAfspr!$F$14</definedName>
    <definedName name="AanvullendPedData_GCSdd">PedBerExtraAfspr!$C$42</definedName>
    <definedName name="AanvullendPedData_GewichtFrequentie">PedBerExtraAfspr!$C$7</definedName>
    <definedName name="AanvullendPedData_GewichtPer">PedBerExtraAfspr!$D$7</definedName>
    <definedName name="AanvullendPedData_LengteFrequentie">PedBerExtraAfspr!$C$8</definedName>
    <definedName name="AanvullendPedData_LengtePer">PedBerExtraAfspr!$D$8</definedName>
    <definedName name="AanvullendPedData_LiquorHoogte">PedBerExtraAfspr!$D$40</definedName>
    <definedName name="AanvullendPedData_LiquorSub">PedBerExtraAfspr!$D$39</definedName>
    <definedName name="AanvullendPedData_MaagretentieUur">PedBerExtraAfspr!$G$16</definedName>
    <definedName name="AanvullendPedData_NIBDdd">PedBerExtraAfspr!$B$12</definedName>
    <definedName name="AanvullendPedData_Overig">PedBerExtraAfspr!$F$17</definedName>
    <definedName name="AanvullendPedData_SchedelFrequentie">PedBerExtraAfspr!$C$9</definedName>
    <definedName name="AanvullendPedData_SchedelPer">PedBerExtraAfspr!$D$9</definedName>
    <definedName name="AanvullendPedData_Thorax1Sub1">PedBerExtraAfspr!$D$29</definedName>
    <definedName name="AanvullendPedData_Thorax1Sub2">PedBerExtraAfspr!$D$27</definedName>
    <definedName name="AanvullendPedData_Thorax1Sub3">PedBerExtraAfspr!$D$28</definedName>
    <definedName name="AanvullendPedData_Thorax2Sub1">PedBerExtraAfspr!$D$32</definedName>
    <definedName name="AanvullendPedData_Thorax2Sub2">PedBerExtraAfspr!$D$30</definedName>
    <definedName name="AanvullendPedData_Thorax2Sub3">PedBerExtraAfspr!$D$31</definedName>
    <definedName name="AanvullendPedData_Thorax3Sub1">PedBerExtraAfspr!$D$35</definedName>
    <definedName name="AanvullendPedData_Thorax3Sub2">PedBerExtraAfspr!$D$33</definedName>
    <definedName name="AanvullendPedData_Thorax3Sub3">PedBerExtraAfspr!$D$34</definedName>
    <definedName name="AanvullendPedData_VerliezenStof">PedBerExtraAfspr!$H$18</definedName>
    <definedName name="AanvullendPedData_VerliezenUur">PedBerExtraAfspr!$G$18</definedName>
    <definedName name="AfspraakDatum">PatDetails!$B$2</definedName>
    <definedName name="AfsprakenVersie">PatDetails!$I$2</definedName>
    <definedName name="BedNummer">PatData!$T$1</definedName>
    <definedName name="CaGluc">PedBerTPN!$C$9</definedName>
    <definedName name="CaGlucVol">PedBerTPN!$E$9</definedName>
    <definedName name="Comfort">PedBerIVenPM!$E$8</definedName>
    <definedName name="Dag">NeoBerIV!$B$6</definedName>
    <definedName name="dbPatientSave">PatData!$A$1:$B$713</definedName>
    <definedName name="Dos">NeoTblLijst!$J$3:$K$11</definedName>
    <definedName name="DosHoev_1">PedBerMedDisc!$G$2</definedName>
    <definedName name="DosHoev_10">PedBerMedDisc!$G$11</definedName>
    <definedName name="DosHoev_11">PedBerMedDisc!$G$12</definedName>
    <definedName name="DosHoev_12">PedBerMedDisc!$G$13</definedName>
    <definedName name="DosHoev_13">PedBerMedDisc!$G$14</definedName>
    <definedName name="DosHoev_14">PedBerMedDisc!$G$15</definedName>
    <definedName name="DosHoev_15">PedBerMedDisc!$G$16</definedName>
    <definedName name="DosHoev_16">PedBerMedDisc!$G$17</definedName>
    <definedName name="DosHoev_17">PedBerMedDisc!$G$18</definedName>
    <definedName name="DosHoev_18">PedBerMedDisc!$G$19</definedName>
    <definedName name="DosHoev_19">PedBerMedDisc!$G$20</definedName>
    <definedName name="DosHoev_2">PedBerMedDisc!$G$3</definedName>
    <definedName name="DosHoev_20">PedBerMedDisc!$G$21</definedName>
    <definedName name="DosHoev_21">PedBerMedDisc!$G$22</definedName>
    <definedName name="DosHoev_22">PedBerMedDisc!$G$23</definedName>
    <definedName name="DosHoev_23">PedBerMedDisc!$G$24</definedName>
    <definedName name="DosHoev_24">PedBerMedDisc!$G$25</definedName>
    <definedName name="DosHoev_25">PedBerMedDisc!$G$26</definedName>
    <definedName name="DosHoev_26">PedBerMedDisc!$G$27</definedName>
    <definedName name="DosHoev_27">PedBerMedDisc!$G$28</definedName>
    <definedName name="DosHoev_28">PedBerMedDisc!$G$29</definedName>
    <definedName name="DosHoev_29">PedBerMedDisc!$G$30</definedName>
    <definedName name="DosHoev_3">PedBerMedDisc!$G$4</definedName>
    <definedName name="DosHoev_30">PedBerMedDisc!$G$31</definedName>
    <definedName name="DosHoev_4">PedBerMedDisc!$G$5</definedName>
    <definedName name="DosHoev_5">PedBerMedDisc!$G$6</definedName>
    <definedName name="DosHoev_6">PedBerMedDisc!$G$7</definedName>
    <definedName name="DosHoev_7">PedBerMedDisc!$G$8</definedName>
    <definedName name="DosHoev_8">PedBerMedDisc!$G$9</definedName>
    <definedName name="DosHoev_9">PedBerMedDisc!$G$10</definedName>
    <definedName name="Eenheid_1">PedBerMedDisc!$F$2</definedName>
    <definedName name="Eenheid_10">PedBerMedDisc!$F$11</definedName>
    <definedName name="Eenheid_11">PedBerMedDisc!$F$12</definedName>
    <definedName name="Eenheid_12">PedBerMedDisc!$F$13</definedName>
    <definedName name="Eenheid_13">PedBerMedDisc!$F$14</definedName>
    <definedName name="Eenheid_14">PedBerMedDisc!$F$15</definedName>
    <definedName name="Eenheid_15">PedBerMedDisc!$F$16</definedName>
    <definedName name="Eenheid_16">PedBerMedDisc!$F$17</definedName>
    <definedName name="Eenheid_17">PedBerMedDisc!$F$18</definedName>
    <definedName name="Eenheid_18">PedBerMedDisc!$F$19</definedName>
    <definedName name="Eenheid_19">PedBerMedDisc!$F$20</definedName>
    <definedName name="Eenheid_2">PedBerMedDisc!$F$3</definedName>
    <definedName name="Eenheid_20">PedBerMedDisc!$F$21</definedName>
    <definedName name="Eenheid_21">PedBerMedDisc!$F$22</definedName>
    <definedName name="Eenheid_22">PedBerMedDisc!$F$23</definedName>
    <definedName name="Eenheid_23">PedBerMedDisc!$F$24</definedName>
    <definedName name="Eenheid_24">PedBerMedDisc!$F$25</definedName>
    <definedName name="Eenheid_25">PedBerMedDisc!$F$26</definedName>
    <definedName name="Eenheid_26">PedBerMedDisc!$F$27</definedName>
    <definedName name="Eenheid_27">PedBerMedDisc!$F$28</definedName>
    <definedName name="Eenheid_28">PedBerMedDisc!$F$29</definedName>
    <definedName name="Eenheid_29">PedBerMedDisc!$F$30</definedName>
    <definedName name="Eenheid_3">PedBerMedDisc!$F$4</definedName>
    <definedName name="Eenheid_30">PedBerMedDisc!$F$31</definedName>
    <definedName name="Eenheid_4">PedBerMedDisc!$F$5</definedName>
    <definedName name="Eenheid_5">PedBerMedDisc!$F$6</definedName>
    <definedName name="Eenheid_6">PedBerMedDisc!$F$7</definedName>
    <definedName name="Eenheid_7">PedBerMedDisc!$F$8</definedName>
    <definedName name="Eenheid_8">PedBerMedDisc!$F$9</definedName>
    <definedName name="Eenheid_9">PedBerMedDisc!$F$10</definedName>
    <definedName name="FaktorLijst">NeoTblLijst!$K$3:$K$8</definedName>
    <definedName name="FreqPO_1">PedBerEnt!$J$2</definedName>
    <definedName name="FreqPO_2">PedBerEnt!$J$3</definedName>
    <definedName name="FreqPO_3">PedBerEnt!$J$4</definedName>
    <definedName name="FreqPO_4">PedBerEnt!$J$5</definedName>
    <definedName name="Generic_1">PedBerMedDisc!$D$2</definedName>
    <definedName name="Generic_10">PedBerMedDisc!$D$11</definedName>
    <definedName name="Generic_11">PedBerMedDisc!$D$12</definedName>
    <definedName name="Generic_12">PedBerMedDisc!$D$13</definedName>
    <definedName name="Generic_13">PedBerMedDisc!$D$14</definedName>
    <definedName name="Generic_14">PedBerMedDisc!$D$15</definedName>
    <definedName name="Generic_15">PedBerMedDisc!$D$16</definedName>
    <definedName name="Generic_16">PedBerMedDisc!$D$17</definedName>
    <definedName name="Generic_17">PedBerMedDisc!$D$18</definedName>
    <definedName name="Generic_18">PedBerMedDisc!$D$19</definedName>
    <definedName name="Generic_19">PedBerMedDisc!$D$20</definedName>
    <definedName name="Generic_2">PedBerMedDisc!$D$3</definedName>
    <definedName name="Generic_20">PedBerMedDisc!$D$21</definedName>
    <definedName name="Generic_21">PedBerMedDisc!$D$22</definedName>
    <definedName name="Generic_22">PedBerMedDisc!$D$23</definedName>
    <definedName name="Generic_23">PedBerMedDisc!$D$24</definedName>
    <definedName name="Generic_24">PedBerMedDisc!$D$25</definedName>
    <definedName name="Generic_25">PedBerMedDisc!$D$26</definedName>
    <definedName name="Generic_26">PedBerMedDisc!$D$27</definedName>
    <definedName name="Generic_27">PedBerMedDisc!$D$28</definedName>
    <definedName name="Generic_28">PedBerMedDisc!$D$29</definedName>
    <definedName name="Generic_29">PedBerMedDisc!$D$30</definedName>
    <definedName name="Generic_3">PedBerMedDisc!$D$4</definedName>
    <definedName name="Generic_30">PedBerMedDisc!$D$31</definedName>
    <definedName name="Generic_4">PedBerMedDisc!$D$5</definedName>
    <definedName name="Generic_5">PedBerMedDisc!$D$6</definedName>
    <definedName name="Generic_6">PedBerMedDisc!$D$7</definedName>
    <definedName name="Generic_7">PedBerMedDisc!$D$8</definedName>
    <definedName name="Generic_8">PedBerMedDisc!$D$9</definedName>
    <definedName name="Generic_9">PedBerMedDisc!$D$10</definedName>
    <definedName name="Gewicht">PatDetails!$G$2</definedName>
    <definedName name="Indicatie_1">PedBerMedDisc!$B$2</definedName>
    <definedName name="Indicatie_10">PedBerMedDisc!$B$11</definedName>
    <definedName name="Indicatie_11">PedBerMedDisc!$B$12</definedName>
    <definedName name="Indicatie_12">PedBerMedDisc!$B$13</definedName>
    <definedName name="Indicatie_13">PedBerMedDisc!$B$14</definedName>
    <definedName name="Indicatie_14">PedBerMedDisc!$B$15</definedName>
    <definedName name="Indicatie_15">PedBerMedDisc!$B$16</definedName>
    <definedName name="Indicatie_16">PedBerMedDisc!$B$17</definedName>
    <definedName name="Indicatie_17">PedBerMedDisc!$B$18</definedName>
    <definedName name="Indicatie_18">PedBerMedDisc!$B$19</definedName>
    <definedName name="Indicatie_19">PedBerMedDisc!$B$20</definedName>
    <definedName name="Indicatie_2">PedBerMedDisc!$B$3</definedName>
    <definedName name="Indicatie_20">PedBerMedDisc!$B$21</definedName>
    <definedName name="Indicatie_21">PedBerMedDisc!$B$22</definedName>
    <definedName name="Indicatie_22">PedBerMedDisc!$B$23</definedName>
    <definedName name="Indicatie_23">PedBerMedDisc!$B$24</definedName>
    <definedName name="Indicatie_24">PedBerMedDisc!$B$25</definedName>
    <definedName name="Indicatie_25">PedBerMedDisc!$B$26</definedName>
    <definedName name="Indicatie_26">PedBerMedDisc!$B$27</definedName>
    <definedName name="Indicatie_27">PedBerMedDisc!$B$28</definedName>
    <definedName name="Indicatie_28">PedBerMedDisc!$B$29</definedName>
    <definedName name="Indicatie_29">PedBerMedDisc!$B$30</definedName>
    <definedName name="Indicatie_3">PedBerMedDisc!$B$4</definedName>
    <definedName name="Indicatie_30">PedBerMedDisc!$B$31</definedName>
    <definedName name="Indicatie_4">PedBerMedDisc!$B$5</definedName>
    <definedName name="Indicatie_5">PedBerMedDisc!$B$6</definedName>
    <definedName name="Indicatie_6">PedBerMedDisc!$B$7</definedName>
    <definedName name="Indicatie_7">PedBerMedDisc!$B$8</definedName>
    <definedName name="Indicatie_8">PedBerMedDisc!$B$9</definedName>
    <definedName name="Indicatie_9">PedBerMedDisc!$B$10</definedName>
    <definedName name="Infuus_1">PedBerIVenPM!$B$2</definedName>
    <definedName name="Infuus_2">PedBerIVenPM!$B$3</definedName>
    <definedName name="Infuus_3">PedBerIVenPM!$B$4</definedName>
    <definedName name="Infuus_4">PedBerIVenPM!$B$5</definedName>
    <definedName name="Infuus_5">PedBerIVenPM!$B$6</definedName>
    <definedName name="Infuus_6">PedBerIVenPM!$B$7</definedName>
    <definedName name="KCl">PedBerTPN!$C$8</definedName>
    <definedName name="KCl_2">PedBerTPN!$C$22</definedName>
    <definedName name="KClVol">PedBerTPN!$E$8</definedName>
    <definedName name="KClVol_2">PedBerTPN!$E$22</definedName>
    <definedName name="KeuzePO_1">PedBerEnt!$N$2</definedName>
    <definedName name="KeuzePO_2">PedBerEnt!$N$3</definedName>
    <definedName name="KeuzePO_3">PedBerEnt!$N$4</definedName>
    <definedName name="KeuzePO_4">PedBerEnt!$N$5</definedName>
    <definedName name="KNaFosfaat">PedBerTPN!$C$11</definedName>
    <definedName name="KNaFosfaatVol">PedBerTPN!$E$11</definedName>
    <definedName name="Lab_Data">PedBerLab!$C$4:$C$35,PedBerLab!$E$4:$E$34,PedBerLab!$G$4:$G$34,PedBerLab!$I$4:$I$34,PedBerLab!$L$4:$L$34,PedBerLab!$N$4:$N$34,PedBerLab!$P$4:$P$34</definedName>
    <definedName name="Lab14_1">PedBerLab!$E$4</definedName>
    <definedName name="Lab14_10">PedBerLab!$E$13</definedName>
    <definedName name="Lab14_11">PedBerLab!$E$14</definedName>
    <definedName name="Lab14_12">PedBerLab!$E$15</definedName>
    <definedName name="Lab14_13">PedBerLab!$E$16</definedName>
    <definedName name="Lab14_14">PedBerLab!$E$17</definedName>
    <definedName name="Lab14_15">PedBerLab!$E$18</definedName>
    <definedName name="Lab14_16">PedBerLab!$E$19</definedName>
    <definedName name="Lab14_17">PedBerLab!$E$20</definedName>
    <definedName name="Lab14_18">PedBerLab!$E$21</definedName>
    <definedName name="Lab14_19">PedBerLab!$E$22</definedName>
    <definedName name="Lab14_2">PedBerLab!$E$5</definedName>
    <definedName name="Lab14_20">PedBerLab!$E$23</definedName>
    <definedName name="Lab14_21">PedBerLab!$E$24</definedName>
    <definedName name="Lab14_22">PedBerLab!$E$25</definedName>
    <definedName name="Lab14_23">PedBerLab!$E$26</definedName>
    <definedName name="Lab14_24">PedBerLab!$E$27</definedName>
    <definedName name="Lab14_25">PedBerLab!$E$28</definedName>
    <definedName name="Lab14_26">PedBerLab!$E$29</definedName>
    <definedName name="Lab14_27">PedBerLab!$E$30</definedName>
    <definedName name="Lab14_28">PedBerLab!$E$31</definedName>
    <definedName name="Lab14_29">PedBerLab!$E$32</definedName>
    <definedName name="Lab14_3">PedBerLab!$E$6</definedName>
    <definedName name="Lab14_30">PedBerLab!$E$33</definedName>
    <definedName name="Lab14_31">PedBerLab!$E$34</definedName>
    <definedName name="Lab14_4">PedBerLab!$E$7</definedName>
    <definedName name="Lab14_5">PedBerLab!$E$8</definedName>
    <definedName name="Lab14_6">PedBerLab!$E$9</definedName>
    <definedName name="Lab14_7">PedBerLab!$E$10</definedName>
    <definedName name="Lab14_8">PedBerLab!$E$11</definedName>
    <definedName name="Lab14_9">PedBerLab!$E$12</definedName>
    <definedName name="Lab19_1">PedBerLab!$G$4</definedName>
    <definedName name="Lab19_10">PedBerLab!$G$13</definedName>
    <definedName name="Lab19_11">PedBerLab!$G$14</definedName>
    <definedName name="Lab19_12">PedBerLab!$G$15</definedName>
    <definedName name="Lab19_13">PedBerLab!$G$16</definedName>
    <definedName name="Lab19_14">PedBerLab!$G$17</definedName>
    <definedName name="Lab19_15">PedBerLab!$G$18</definedName>
    <definedName name="Lab19_16">PedBerLab!$G$19</definedName>
    <definedName name="Lab19_17">PedBerLab!$G$20</definedName>
    <definedName name="Lab19_18">PedBerLab!$G$21</definedName>
    <definedName name="Lab19_19">PedBerLab!$G$22</definedName>
    <definedName name="Lab19_2">PedBerLab!$G$5</definedName>
    <definedName name="Lab19_20">PedBerLab!$G$23</definedName>
    <definedName name="Lab19_21">PedBerLab!$G$24</definedName>
    <definedName name="Lab19_22">PedBerLab!$G$25</definedName>
    <definedName name="Lab19_23">PedBerLab!$G$26</definedName>
    <definedName name="Lab19_24">PedBerLab!$G$27</definedName>
    <definedName name="Lab19_25">PedBerLab!$G$28</definedName>
    <definedName name="Lab19_26">PedBerLab!$G$29</definedName>
    <definedName name="Lab19_27">PedBerLab!$G$30</definedName>
    <definedName name="Lab19_28">PedBerLab!$G$31</definedName>
    <definedName name="Lab19_29">PedBerLab!$G$32</definedName>
    <definedName name="Lab19_3">PedBerLab!$G$6</definedName>
    <definedName name="Lab19_30">PedBerLab!$G$33</definedName>
    <definedName name="Lab19_31">PedBerLab!$G$34</definedName>
    <definedName name="Lab19_32">PedBerLab!$G$35</definedName>
    <definedName name="Lab19_4">PedBerLab!$G$7</definedName>
    <definedName name="Lab19_5">PedBerLab!$G$8</definedName>
    <definedName name="Lab19_6">PedBerLab!$G$9</definedName>
    <definedName name="Lab19_7">PedBerLab!$G$10</definedName>
    <definedName name="Lab19_8">PedBerLab!$G$11</definedName>
    <definedName name="Lab19_9">PedBerLab!$G$12</definedName>
    <definedName name="Lab24_1">PedBerLab!$I$4</definedName>
    <definedName name="Lab24_10">PedBerLab!$I$13</definedName>
    <definedName name="Lab24_11">PedBerLab!$I$14</definedName>
    <definedName name="Lab24_12">PedBerLab!$I$15</definedName>
    <definedName name="Lab24_13">PedBerLab!$I$16</definedName>
    <definedName name="Lab24_14">PedBerLab!$I$17</definedName>
    <definedName name="Lab24_15">PedBerLab!$I$18</definedName>
    <definedName name="Lab24_16">PedBerLab!$I$19</definedName>
    <definedName name="Lab24_17">PedBerLab!$I$20</definedName>
    <definedName name="Lab24_18">PedBerLab!$I$21</definedName>
    <definedName name="Lab24_19">PedBerLab!$I$22</definedName>
    <definedName name="Lab24_2">PedBerLab!$I$5</definedName>
    <definedName name="Lab24_20">PedBerLab!$I$23</definedName>
    <definedName name="Lab24_21">PedBerLab!$I$24</definedName>
    <definedName name="Lab24_22">PedBerLab!$I$25</definedName>
    <definedName name="Lab24_23">PedBerLab!$I$26</definedName>
    <definedName name="Lab24_24">PedBerLab!$I$27</definedName>
    <definedName name="Lab24_25">PedBerLab!$I$28</definedName>
    <definedName name="Lab24_26">PedBerLab!$I$29</definedName>
    <definedName name="Lab24_27">PedBerLab!$I$30</definedName>
    <definedName name="Lab24_28">PedBerLab!$I$31</definedName>
    <definedName name="Lab24_29">PedBerLab!$I$32</definedName>
    <definedName name="Lab24_3">PedBerLab!$I$6</definedName>
    <definedName name="Lab24_30">PedBerLab!$I$33</definedName>
    <definedName name="Lab24_31">PedBerLab!$I$34</definedName>
    <definedName name="Lab24_4">PedBerLab!$I$7</definedName>
    <definedName name="Lab24_5">PedBerLab!$I$8</definedName>
    <definedName name="Lab24_6">PedBerLab!$I$9</definedName>
    <definedName name="Lab24_7">PedBerLab!$I$10</definedName>
    <definedName name="Lab24_8">PedBerLab!$I$11</definedName>
    <definedName name="Lab24_9">PedBerLab!$I$12</definedName>
    <definedName name="LabDag1_1">PedBerLab!$L$4</definedName>
    <definedName name="LabDag1_10">PedBerLab!$L$13</definedName>
    <definedName name="LabDag1_11">PedBerLab!$L$14</definedName>
    <definedName name="LabDag1_12">PedBerLab!$L$15</definedName>
    <definedName name="LabDag1_13">PedBerLab!$L$16</definedName>
    <definedName name="LabDag1_14">PedBerLab!$L$17</definedName>
    <definedName name="LabDag1_15">PedBerLab!$L$18</definedName>
    <definedName name="LabDag1_16">PedBerLab!$L$19</definedName>
    <definedName name="LabDag1_17">PedBerLab!$L$20</definedName>
    <definedName name="LabDag1_18">PedBerLab!$L$21</definedName>
    <definedName name="LabDag1_19">PedBerLab!$L$22</definedName>
    <definedName name="LabDag1_2">PedBerLab!$L$5</definedName>
    <definedName name="LabDag1_20">PedBerLab!$L$23</definedName>
    <definedName name="LabDag1_21">PedBerLab!$L$24</definedName>
    <definedName name="LabDag1_22">PedBerLab!$L$25</definedName>
    <definedName name="LabDag1_23">PedBerLab!$L$26</definedName>
    <definedName name="LabDag1_24">PedBerLab!$L$27</definedName>
    <definedName name="LabDag1_25">PedBerLab!$L$28</definedName>
    <definedName name="LabDag1_26">PedBerLab!$L$29</definedName>
    <definedName name="LabDag1_27">PedBerLab!$L$30</definedName>
    <definedName name="LabDag1_28">PedBerLab!$L$31</definedName>
    <definedName name="LabDag1_29">PedBerLab!$L$32</definedName>
    <definedName name="LabDag1_3">PedBerLab!$L$6</definedName>
    <definedName name="LabDag1_30">PedBerLab!$L$33</definedName>
    <definedName name="LabDag1_31">PedBerLab!$L$34</definedName>
    <definedName name="LabDag1_4">PedBerLab!$L$7</definedName>
    <definedName name="LabDag1_5">PedBerLab!$L$8</definedName>
    <definedName name="LabDag1_6">PedBerLab!$L$9</definedName>
    <definedName name="LabDag1_7">PedBerLab!$L$10</definedName>
    <definedName name="LabDag1_8">PedBerLab!$L$11</definedName>
    <definedName name="LabDag1_9">PedBerLab!$L$12</definedName>
    <definedName name="LabDag2_1">PedBerLab!$N$4</definedName>
    <definedName name="LabDag2_10">PedBerLab!$N$13</definedName>
    <definedName name="LabDag2_11">PedBerLab!$N$14</definedName>
    <definedName name="LabDag2_12">PedBerLab!$N$15</definedName>
    <definedName name="LabDag2_13">PedBerLab!$N$16</definedName>
    <definedName name="LabDag2_14">PedBerLab!$N$17</definedName>
    <definedName name="LabDag2_15">PedBerLab!$N$18</definedName>
    <definedName name="LabDag2_16">PedBerLab!$N$19</definedName>
    <definedName name="LabDag2_17">PedBerLab!$N$20</definedName>
    <definedName name="LabDag2_18">PedBerLab!$N$21</definedName>
    <definedName name="LabDag2_19">PedBerLab!$N$22</definedName>
    <definedName name="LabDag2_2">PedBerLab!$N$5</definedName>
    <definedName name="LabDag2_20">PedBerLab!$N$23</definedName>
    <definedName name="LabDag2_21">PedBerLab!$N$24</definedName>
    <definedName name="LabDag2_22">PedBerLab!$N$25</definedName>
    <definedName name="LabDag2_23">PedBerLab!$N$26</definedName>
    <definedName name="LabDag2_24">PedBerLab!$N$27</definedName>
    <definedName name="LabDag2_25">PedBerLab!$N$28</definedName>
    <definedName name="LabDag2_26">PedBerLab!$N$29</definedName>
    <definedName name="LabDag2_27">PedBerLab!$N$30</definedName>
    <definedName name="LabDag2_28">PedBerLab!$N$31</definedName>
    <definedName name="LabDag2_29">PedBerLab!$N$32</definedName>
    <definedName name="LabDag2_3">PedBerLab!$N$6</definedName>
    <definedName name="LabDag2_30">PedBerLab!$N$33</definedName>
    <definedName name="LabDag2_31">PedBerLab!$N$34</definedName>
    <definedName name="LabDag2_4">PedBerLab!$N$7</definedName>
    <definedName name="LabDag2_5">PedBerLab!$N$8</definedName>
    <definedName name="LabDag2_6">PedBerLab!$N$9</definedName>
    <definedName name="LabDag2_7">PedBerLab!$N$10</definedName>
    <definedName name="LabDag2_8">PedBerLab!$N$11</definedName>
    <definedName name="LabDag2_9">PedBerLab!$N$12</definedName>
    <definedName name="LabDag3_1">PedBerLab!$P$4</definedName>
    <definedName name="LabDag3_10">PedBerLab!$P$13</definedName>
    <definedName name="LabDag3_11">PedBerLab!$P$14</definedName>
    <definedName name="LabDag3_12">PedBerLab!$P$15</definedName>
    <definedName name="LabDag3_13">PedBerLab!$P$16</definedName>
    <definedName name="LabDag3_14">PedBerLab!$P$17</definedName>
    <definedName name="LabDag3_15">PedBerLab!$P$18</definedName>
    <definedName name="LabDag3_16">PedBerLab!$P$19</definedName>
    <definedName name="LabDag3_17">PedBerLab!$P$20</definedName>
    <definedName name="LabDag3_18">PedBerLab!$P$21</definedName>
    <definedName name="LabDag3_19">PedBerLab!$P$22</definedName>
    <definedName name="LabDag3_2">PedBerLab!$P$5</definedName>
    <definedName name="LabDag3_20">PedBerLab!$P$23</definedName>
    <definedName name="LabDag3_21">PedBerLab!$P$24</definedName>
    <definedName name="LabDag3_22">PedBerLab!$P$25</definedName>
    <definedName name="LabDag3_23">PedBerLab!$P$26</definedName>
    <definedName name="LabDag3_24">PedBerLab!$P$27</definedName>
    <definedName name="LabDag3_25">PedBerLab!$P$28</definedName>
    <definedName name="LabDag3_26">PedBerLab!$P$29</definedName>
    <definedName name="LabDag3_27">PedBerLab!$P$30</definedName>
    <definedName name="LabDag3_28">PedBerLab!$P$31</definedName>
    <definedName name="LabDag3_29">PedBerLab!$P$32</definedName>
    <definedName name="LabDag3_3">PedBerLab!$P$6</definedName>
    <definedName name="LabDag3_30">PedBerLab!$P$33</definedName>
    <definedName name="LabDag3_31">PedBerLab!$P$34</definedName>
    <definedName name="LabDag3_4">PedBerLab!$P$7</definedName>
    <definedName name="LabDag3_5">PedBerLab!$P$8</definedName>
    <definedName name="LabDag3_6">PedBerLab!$P$9</definedName>
    <definedName name="LabDag3_7">PedBerLab!$P$10</definedName>
    <definedName name="LabDag3_8">PedBerLab!$P$11</definedName>
    <definedName name="LabDag3_9">PedBerLab!$P$12</definedName>
    <definedName name="LabNeo_Data">NeoBerLab!$C$4:$C$35,NeoBerLab!$E$4:$E$34,NeoBerLab!$G$4:$G$34,NeoBerLab!$I$4:$I$34,NeoBerLab!$K$4:$K$34,NeoBerLab!$M$4:$M$34,NeoBerLab!$O$4:$O$34,NeoBerLab!$Q$4:$Q$34,NeoBerLab!$S$4:$S$34,NeoBerLab!$D$38</definedName>
    <definedName name="LabNeo04_1">NeoBerLab!$M$4</definedName>
    <definedName name="LabNeo04_10">NeoBerLab!$M$13</definedName>
    <definedName name="LabNeo04_11">NeoBerLab!$M$14</definedName>
    <definedName name="LabNeo04_12">NeoBerLab!$M$15</definedName>
    <definedName name="LabNeo04_13">NeoBerLab!$M$16</definedName>
    <definedName name="LabNeo04_14">NeoBerLab!$M$17</definedName>
    <definedName name="LabNeo04_15">NeoBerLab!$M$18</definedName>
    <definedName name="LabNeo04_16">NeoBerLab!$M$19</definedName>
    <definedName name="LabNeo04_17">NeoBerLab!$M$20</definedName>
    <definedName name="LabNeo04_18">NeoBerLab!$M$21</definedName>
    <definedName name="LabNeo04_19">NeoBerLab!$M$22</definedName>
    <definedName name="LabNeo04_2">NeoBerLab!$M$5</definedName>
    <definedName name="LabNeo04_20">NeoBerLab!$M$23</definedName>
    <definedName name="LabNeo04_21">NeoBerLab!$M$24</definedName>
    <definedName name="LabNeo04_22">NeoBerLab!$M$25</definedName>
    <definedName name="LabNeo04_23">NeoBerLab!$M$26</definedName>
    <definedName name="LabNeo04_24">NeoBerLab!$M$27</definedName>
    <definedName name="LabNeo04_25">NeoBerLab!$M$28</definedName>
    <definedName name="LabNeo04_26">NeoBerLab!$M$29</definedName>
    <definedName name="LabNeo04_27">NeoBerLab!$M$30</definedName>
    <definedName name="LabNeo04_28">NeoBerLab!$M$31</definedName>
    <definedName name="LabNeo04_29">NeoBerLab!$M$32</definedName>
    <definedName name="LabNeo04_3">NeoBerLab!$M$6</definedName>
    <definedName name="LabNeo04_30">NeoBerLab!$M$33</definedName>
    <definedName name="LabNeo04_31">NeoBerLab!$M$34</definedName>
    <definedName name="LabNeo04_4">NeoBerLab!$M$7</definedName>
    <definedName name="LabNeo04_5">NeoBerLab!$M$8</definedName>
    <definedName name="LabNeo04_6">NeoBerLab!$M$9</definedName>
    <definedName name="LabNeo04_7">NeoBerLab!$M$10</definedName>
    <definedName name="LabNeo04_8">NeoBerLab!$M$11</definedName>
    <definedName name="LabNeo04_9">NeoBerLab!$M$12</definedName>
    <definedName name="LabNeo12_1">NeoBerLab!$E$4</definedName>
    <definedName name="LabNeo12_10">NeoBerLab!$E$13</definedName>
    <definedName name="LabNeo12_11">NeoBerLab!$E$14</definedName>
    <definedName name="LabNeo12_12">NeoBerLab!$E$15</definedName>
    <definedName name="LabNeo12_13">NeoBerLab!$E$16</definedName>
    <definedName name="LabNeo12_14">NeoBerLab!$E$17</definedName>
    <definedName name="LabNeo12_15">NeoBerLab!$E$18</definedName>
    <definedName name="LabNeo12_16">NeoBerLab!$E$19</definedName>
    <definedName name="LabNeo12_17">NeoBerLab!$E$20</definedName>
    <definedName name="LabNeo12_18">NeoBerLab!$E$21</definedName>
    <definedName name="LabNeo12_19">NeoBerLab!$E$22</definedName>
    <definedName name="LabNeo12_2">NeoBerLab!$E$5</definedName>
    <definedName name="LabNeo12_20">NeoBerLab!$E$23</definedName>
    <definedName name="LabNeo12_21">NeoBerLab!$E$24</definedName>
    <definedName name="LabNeo12_22">NeoBerLab!$E$25</definedName>
    <definedName name="LabNeo12_23">NeoBerLab!$E$26</definedName>
    <definedName name="LabNeo12_24">NeoBerLab!$E$27</definedName>
    <definedName name="LabNeo12_25">NeoBerLab!$E$28</definedName>
    <definedName name="LabNeo12_26">NeoBerLab!$E$29</definedName>
    <definedName name="LabNeo12_27">NeoBerLab!$E$30</definedName>
    <definedName name="LabNeo12_28">NeoBerLab!$E$31</definedName>
    <definedName name="LabNeo12_29">NeoBerLab!$E$32</definedName>
    <definedName name="LabNeo12_3">NeoBerLab!$E$6</definedName>
    <definedName name="LabNeo12_30">NeoBerLab!$E$33</definedName>
    <definedName name="LabNeo12_31">NeoBerLab!$E$34</definedName>
    <definedName name="LabNeo12_4">NeoBerLab!$E$7</definedName>
    <definedName name="LabNeo12_5">NeoBerLab!$E$8</definedName>
    <definedName name="LabNeo12_6">NeoBerLab!$E$9</definedName>
    <definedName name="LabNeo12_7">NeoBerLab!$E$10</definedName>
    <definedName name="LabNeo12_8">NeoBerLab!$E$11</definedName>
    <definedName name="LabNeo12_9">NeoBerLab!$E$12</definedName>
    <definedName name="LabNeo16_1">NeoBerLab!$G$4</definedName>
    <definedName name="LabNeo16_10">NeoBerLab!$G$13</definedName>
    <definedName name="LabNeo16_11">NeoBerLab!$G$14</definedName>
    <definedName name="LabNeo16_12">NeoBerLab!$G$15</definedName>
    <definedName name="LabNeo16_13">NeoBerLab!$G$16</definedName>
    <definedName name="LabNeo16_14">NeoBerLab!$G$17</definedName>
    <definedName name="LabNeo16_15">NeoBerLab!$G$18</definedName>
    <definedName name="LabNeo16_16">NeoBerLab!$G$19</definedName>
    <definedName name="LabNeo16_17">NeoBerLab!$G$20</definedName>
    <definedName name="LabNeo16_18">NeoBerLab!$G$21</definedName>
    <definedName name="LabNeo16_19">NeoBerLab!$G$22</definedName>
    <definedName name="LabNeo16_2">NeoBerLab!$G$5</definedName>
    <definedName name="LabNeo16_20">NeoBerLab!$G$23</definedName>
    <definedName name="LabNeo16_21">NeoBerLab!$G$24</definedName>
    <definedName name="LabNeo16_22">NeoBerLab!$G$25</definedName>
    <definedName name="LabNeo16_23">NeoBerLab!$G$26</definedName>
    <definedName name="LabNeo16_24">NeoBerLab!$G$27</definedName>
    <definedName name="LabNeo16_25">NeoBerLab!$G$28</definedName>
    <definedName name="LabNeo16_26">NeoBerLab!$G$29</definedName>
    <definedName name="LabNeo16_27">NeoBerLab!$G$30</definedName>
    <definedName name="LabNeo16_28">NeoBerLab!$G$31</definedName>
    <definedName name="LabNeo16_29">NeoBerLab!$G$32</definedName>
    <definedName name="LabNeo16_3">NeoBerLab!$G$6</definedName>
    <definedName name="LabNeo16_30">NeoBerLab!$G$33</definedName>
    <definedName name="LabNeo16_31">NeoBerLab!$G$34</definedName>
    <definedName name="LabNeo16_4">NeoBerLab!$G$7</definedName>
    <definedName name="LabNeo16_5">NeoBerLab!$G$8</definedName>
    <definedName name="LabNeo16_6">NeoBerLab!$G$9</definedName>
    <definedName name="LabNeo16_7">NeoBerLab!$G$10</definedName>
    <definedName name="LabNeo16_8">NeoBerLab!$G$11</definedName>
    <definedName name="LabNeo16_9">NeoBerLab!$G$12</definedName>
    <definedName name="LabNeo20_1">NeoBerLab!$I$4</definedName>
    <definedName name="LabNeo20_10">NeoBerLab!$I$13</definedName>
    <definedName name="LabNeo20_11">NeoBerLab!$I$14</definedName>
    <definedName name="LabNeo20_12">NeoBerLab!$I$15</definedName>
    <definedName name="LabNeo20_13">NeoBerLab!$I$16</definedName>
    <definedName name="LabNeo20_14">NeoBerLab!$I$17</definedName>
    <definedName name="LabNeo20_15">NeoBerLab!$I$18</definedName>
    <definedName name="LabNeo20_16">NeoBerLab!$I$19</definedName>
    <definedName name="LabNeo20_17">NeoBerLab!$I$20</definedName>
    <definedName name="LabNeo20_18">NeoBerLab!$I$21</definedName>
    <definedName name="LabNeo20_19">NeoBerLab!$I$22</definedName>
    <definedName name="LabNeo20_2">NeoBerLab!$I$5</definedName>
    <definedName name="LabNeo20_20">NeoBerLab!$I$23</definedName>
    <definedName name="LabNeo20_21">NeoBerLab!$I$24</definedName>
    <definedName name="LabNeo20_22">NeoBerLab!$I$25</definedName>
    <definedName name="LabNeo20_23">NeoBerLab!$I$26</definedName>
    <definedName name="LabNeo20_24">NeoBerLab!$I$27</definedName>
    <definedName name="LabNeo20_25">NeoBerLab!$I$28</definedName>
    <definedName name="LabNeo20_26">NeoBerLab!$I$29</definedName>
    <definedName name="LabNeo20_27">NeoBerLab!$I$30</definedName>
    <definedName name="LabNeo20_28">NeoBerLab!$I$31</definedName>
    <definedName name="LabNeo20_29">NeoBerLab!$I$32</definedName>
    <definedName name="LabNeo20_3">NeoBerLab!$I$6</definedName>
    <definedName name="LabNeo20_30">NeoBerLab!$I$33</definedName>
    <definedName name="LabNeo20_31">NeoBerLab!$I$34</definedName>
    <definedName name="LabNeo20_4">NeoBerLab!$I$7</definedName>
    <definedName name="LabNeo20_5">NeoBerLab!$I$8</definedName>
    <definedName name="LabNeo20_6">NeoBerLab!$I$9</definedName>
    <definedName name="LabNeo20_7">NeoBerLab!$I$10</definedName>
    <definedName name="LabNeo20_8">NeoBerLab!$I$11</definedName>
    <definedName name="LabNeo20_9">NeoBerLab!$I$12</definedName>
    <definedName name="LabNeo24_1">NeoBerLab!$K$4</definedName>
    <definedName name="LabNeo24_10">NeoBerLab!$K$13</definedName>
    <definedName name="LabNeo24_11">NeoBerLab!$K$14</definedName>
    <definedName name="LabNeo24_12">NeoBerLab!$K$15</definedName>
    <definedName name="LabNeo24_13">NeoBerLab!$K$16</definedName>
    <definedName name="LabNeo24_14">NeoBerLab!$K$17</definedName>
    <definedName name="LabNeo24_15">NeoBerLab!$K$18</definedName>
    <definedName name="LabNeo24_16">NeoBerLab!$K$19</definedName>
    <definedName name="LabNeo24_17">NeoBerLab!$K$20</definedName>
    <definedName name="LabNeo24_18">NeoBerLab!$K$21</definedName>
    <definedName name="LabNeo24_19">NeoBerLab!$K$22</definedName>
    <definedName name="LabNeo24_2">NeoBerLab!$K$5</definedName>
    <definedName name="LabNeo24_20">NeoBerLab!$K$23</definedName>
    <definedName name="LabNeo24_21">NeoBerLab!$K$24</definedName>
    <definedName name="LabNeo24_22">NeoBerLab!$K$25</definedName>
    <definedName name="LabNeo24_23">NeoBerLab!$K$26</definedName>
    <definedName name="LabNeo24_24">NeoBerLab!$K$27</definedName>
    <definedName name="LabNeo24_25">NeoBerLab!$K$28</definedName>
    <definedName name="LabNeo24_26">NeoBerLab!$K$29</definedName>
    <definedName name="LabNeo24_27">NeoBerLab!$K$30</definedName>
    <definedName name="LabNeo24_28">NeoBerLab!$K$31</definedName>
    <definedName name="LabNeo24_29">NeoBerLab!$K$32</definedName>
    <definedName name="LabNeo24_3">NeoBerLab!$K$6</definedName>
    <definedName name="LabNeo24_30">NeoBerLab!$K$33</definedName>
    <definedName name="LabNeo24_31">NeoBerLab!$K$34</definedName>
    <definedName name="LabNeo24_4">NeoBerLab!$K$7</definedName>
    <definedName name="LabNeo24_5">NeoBerLab!$K$8</definedName>
    <definedName name="LabNeo24_6">NeoBerLab!$K$9</definedName>
    <definedName name="LabNeo24_7">NeoBerLab!$K$10</definedName>
    <definedName name="LabNeo24_8">NeoBerLab!$K$11</definedName>
    <definedName name="LabNeo24_9">NeoBerLab!$K$12</definedName>
    <definedName name="LabNeoDag1_1">NeoBerLab!$O$4</definedName>
    <definedName name="LabNeoDag1_10">NeoBerLab!$O$13</definedName>
    <definedName name="LabNeoDag1_11">NeoBerLab!$O$14</definedName>
    <definedName name="LabNeoDag1_12">NeoBerLab!$O$15</definedName>
    <definedName name="LabNeoDag1_13">NeoBerLab!$O$16</definedName>
    <definedName name="LabNeoDag1_14">NeoBerLab!$O$17</definedName>
    <definedName name="LabNeoDag1_15">NeoBerLab!$O$18</definedName>
    <definedName name="LabNeoDag1_16">NeoBerLab!$O$19</definedName>
    <definedName name="LabNeoDag1_17">NeoBerLab!$O$20</definedName>
    <definedName name="LabNeoDag1_18">NeoBerLab!$O$21</definedName>
    <definedName name="LabNeoDag1_19">NeoBerLab!$O$22</definedName>
    <definedName name="LabNeoDag1_2">NeoBerLab!$O$5</definedName>
    <definedName name="LabNeoDag1_20">NeoBerLab!$O$23</definedName>
    <definedName name="LabNeoDag1_21">NeoBerLab!$O$24</definedName>
    <definedName name="LabNeoDag1_22">NeoBerLab!$O$25</definedName>
    <definedName name="LabNeoDag1_23">NeoBerLab!$O$26</definedName>
    <definedName name="LabNeoDag1_24">NeoBerLab!$O$27</definedName>
    <definedName name="LabNeoDag1_25">NeoBerLab!$O$28</definedName>
    <definedName name="LabNeoDag1_26">NeoBerLab!$O$29</definedName>
    <definedName name="LabNeoDag1_27">NeoBerLab!$O$30</definedName>
    <definedName name="LabNeoDag1_28">NeoBerLab!$O$31</definedName>
    <definedName name="LabNeoDag1_29">NeoBerLab!$O$32</definedName>
    <definedName name="LabNeoDag1_3">NeoBerLab!$O$6</definedName>
    <definedName name="LabNeoDag1_30">NeoBerLab!$O$33</definedName>
    <definedName name="LabNeoDag1_31">NeoBerLab!$O$34</definedName>
    <definedName name="LabNeoDag1_4">NeoBerLab!$O$7</definedName>
    <definedName name="LabNeoDag1_5">NeoBerLab!$O$8</definedName>
    <definedName name="LabNeoDag1_6">NeoBerLab!$O$9</definedName>
    <definedName name="LabNeoDag1_7">NeoBerLab!$O$10</definedName>
    <definedName name="LabNeoDag1_8">NeoBerLab!$O$11</definedName>
    <definedName name="LabNeoDag1_9">NeoBerLab!$O$12</definedName>
    <definedName name="LabNeoDag2_1">NeoBerLab!$Q$4</definedName>
    <definedName name="LabNeoDag2_10">NeoBerLab!$Q$13</definedName>
    <definedName name="LabNeoDag2_11">NeoBerLab!$Q$14</definedName>
    <definedName name="LabNeoDag2_12">NeoBerLab!$Q$15</definedName>
    <definedName name="LabNeoDag2_13">NeoBerLab!$Q$16</definedName>
    <definedName name="LabNeoDag2_14">NeoBerLab!$Q$17</definedName>
    <definedName name="LabNeoDag2_15">NeoBerLab!$Q$18</definedName>
    <definedName name="LabNeoDag2_16">NeoBerLab!$Q$19</definedName>
    <definedName name="LabNeoDag2_17">NeoBerLab!$Q$20</definedName>
    <definedName name="LabNeoDag2_18">NeoBerLab!$Q$21</definedName>
    <definedName name="LabNeoDag2_19">NeoBerLab!$Q$22</definedName>
    <definedName name="LabNeoDag2_2">NeoBerLab!$Q$5</definedName>
    <definedName name="LabNeoDag2_20">NeoBerLab!$Q$23</definedName>
    <definedName name="LabNeoDag2_21">NeoBerLab!$Q$24</definedName>
    <definedName name="LabNeoDag2_22">NeoBerLab!$Q$25</definedName>
    <definedName name="LabNeoDag2_23">NeoBerLab!$Q$26</definedName>
    <definedName name="LabNeoDag2_24">NeoBerLab!$Q$27</definedName>
    <definedName name="LabNeoDag2_25">NeoBerLab!$Q$28</definedName>
    <definedName name="LabNeoDag2_26">NeoBerLab!$Q$29</definedName>
    <definedName name="LabNeoDag2_27">NeoBerLab!$Q$30</definedName>
    <definedName name="LabNeoDag2_28">NeoBerLab!$Q$31</definedName>
    <definedName name="LabNeoDag2_29">NeoBerLab!$Q$32</definedName>
    <definedName name="LabNeoDag2_3">NeoBerLab!$Q$6</definedName>
    <definedName name="LabNeoDag2_30">NeoBerLab!$Q$33</definedName>
    <definedName name="LabNeoDag2_31">NeoBerLab!$Q$34</definedName>
    <definedName name="LabNeoDag2_4">NeoBerLab!$Q$7</definedName>
    <definedName name="LabNeoDag2_5">NeoBerLab!$Q$8</definedName>
    <definedName name="LabNeoDag2_6">NeoBerLab!$Q$9</definedName>
    <definedName name="LabNeoDag2_7">NeoBerLab!$Q$10</definedName>
    <definedName name="LabNeoDag2_8">NeoBerLab!$Q$11</definedName>
    <definedName name="LabNeoDag2_9">NeoBerLab!$Q$12</definedName>
    <definedName name="LabNeoDag3_1">NeoBerLab!$S$4</definedName>
    <definedName name="LabNeoDag3_10">NeoBerLab!$S$13</definedName>
    <definedName name="LabNeoDag3_11">NeoBerLab!$S$14</definedName>
    <definedName name="LabNeoDag3_12">NeoBerLab!$S$15</definedName>
    <definedName name="LabNeoDag3_13">NeoBerLab!$S$16</definedName>
    <definedName name="LabNeoDag3_14">NeoBerLab!$S$17</definedName>
    <definedName name="LabNeoDag3_15">NeoBerLab!$S$18</definedName>
    <definedName name="LabNeoDag3_16">NeoBerLab!$S$19</definedName>
    <definedName name="LabNeoDag3_17">NeoBerLab!$S$20</definedName>
    <definedName name="LabNeoDag3_18">NeoBerLab!$S$21</definedName>
    <definedName name="LabNeoDag3_19">NeoBerLab!$S$22</definedName>
    <definedName name="LabNeoDag3_2">NeoBerLab!$S$5</definedName>
    <definedName name="LabNeoDag3_20">NeoBerLab!$S$23</definedName>
    <definedName name="LabNeoDag3_21">NeoBerLab!$S$24</definedName>
    <definedName name="LabNeoDag3_22">NeoBerLab!$S$25</definedName>
    <definedName name="LabNeoDag3_23">NeoBerLab!$S$26</definedName>
    <definedName name="LabNeoDag3_24">NeoBerLab!$S$27</definedName>
    <definedName name="LabNeoDag3_25">NeoBerLab!$S$28</definedName>
    <definedName name="LabNeoDag3_26">NeoBerLab!$S$29</definedName>
    <definedName name="LabNeoDag3_27">NeoBerLab!$S$30</definedName>
    <definedName name="LabNeoDag3_28">NeoBerLab!$S$31</definedName>
    <definedName name="LabNeoDag3_29">NeoBerLab!$S$32</definedName>
    <definedName name="LabNeoDag3_3">NeoBerLab!$S$6</definedName>
    <definedName name="LabNeoDag3_30">NeoBerLab!$S$33</definedName>
    <definedName name="LabNeoDag3_31">NeoBerLab!$S$34</definedName>
    <definedName name="LabNeoDag3_4">NeoBerLab!$S$7</definedName>
    <definedName name="LabNeoDag3_5">NeoBerLab!$S$8</definedName>
    <definedName name="LabNeoDag3_6">NeoBerLab!$S$9</definedName>
    <definedName name="LabNeoDag3_7">NeoBerLab!$S$10</definedName>
    <definedName name="LabNeoDag3_8">NeoBerLab!$S$11</definedName>
    <definedName name="LabNeoDag3_9">NeoBerLab!$S$12</definedName>
    <definedName name="LabNeoOpmerkingen">NeoBerLab!$D$38</definedName>
    <definedName name="LabNeoOpn_1">NeoBerLab!$C$4</definedName>
    <definedName name="LabNeoOpn_10">NeoBerLab!$C$13</definedName>
    <definedName name="LabNeoOpn_11">NeoBerLab!$C$14</definedName>
    <definedName name="LabNeoOpn_12">NeoBerLab!$C$15</definedName>
    <definedName name="LabNeoOpn_13">NeoBerLab!$C$16</definedName>
    <definedName name="LabNeoOpn_14">NeoBerLab!$C$17</definedName>
    <definedName name="LabNeoOpn_15">NeoBerLab!$C$18</definedName>
    <definedName name="LabNeoOpn_16">NeoBerLab!$C$19</definedName>
    <definedName name="LabNeoOpn_17">NeoBerLab!$C$20</definedName>
    <definedName name="LabNeoOpn_18">NeoBerLab!$C$21</definedName>
    <definedName name="LabNeoOpn_19">NeoBerLab!$C$22</definedName>
    <definedName name="LabNeoOpn_2">NeoBerLab!$C$5</definedName>
    <definedName name="LabNeoOpn_20">NeoBerLab!$C$23</definedName>
    <definedName name="LabNeoOpn_21">NeoBerLab!$C$24</definedName>
    <definedName name="LabNeoOpn_22">NeoBerLab!$C$25</definedName>
    <definedName name="LabNeoOpn_23">NeoBerLab!$C$26</definedName>
    <definedName name="LabNeoOpn_24">NeoBerLab!$C$27</definedName>
    <definedName name="LabNeoOpn_25">NeoBerLab!$C$28</definedName>
    <definedName name="LabNeoOpn_26">NeoBerLab!$C$29</definedName>
    <definedName name="LabNeoOpn_27">NeoBerLab!$C$30</definedName>
    <definedName name="LabNeoOpn_28">NeoBerLab!$C$31</definedName>
    <definedName name="LabNeoOpn_29">NeoBerLab!$C$32</definedName>
    <definedName name="LabNeoOpn_3">NeoBerLab!$C$6</definedName>
    <definedName name="LabNeoOpn_30">NeoBerLab!$C$33</definedName>
    <definedName name="LabNeoOpn_31">NeoBerLab!$C$34</definedName>
    <definedName name="LabNeoOpn_32">NeoBerLab!$C$35</definedName>
    <definedName name="LabNeoOpn_4">NeoBerLab!$C$7</definedName>
    <definedName name="LabNeoOpn_5">NeoBerLab!$C$8</definedName>
    <definedName name="LabNeoOpn_6">NeoBerLab!$C$9</definedName>
    <definedName name="LabNeoOpn_7">NeoBerLab!$C$10</definedName>
    <definedName name="LabNeoOpn_8">NeoBerLab!$C$11</definedName>
    <definedName name="LabNeoOpn_9">NeoBerLab!$C$12</definedName>
    <definedName name="LabOpn_1">PedBerLab!$C$4</definedName>
    <definedName name="LabOpn_10">PedBerLab!$C$13</definedName>
    <definedName name="LabOpn_11">PedBerLab!$C$14</definedName>
    <definedName name="LabOpn_12">PedBerLab!$C$15</definedName>
    <definedName name="LabOpn_13">PedBerLab!$C$16</definedName>
    <definedName name="LabOpn_14">PedBerLab!$C$17</definedName>
    <definedName name="LabOpn_15">PedBerLab!$C$18</definedName>
    <definedName name="LabOpn_16">PedBerLab!$C$19</definedName>
    <definedName name="LabOpn_17">PedBerLab!$C$20</definedName>
    <definedName name="LabOpn_18">PedBerLab!$C$21</definedName>
    <definedName name="LabOpn_19">PedBerLab!$C$22</definedName>
    <definedName name="LabOpn_2">PedBerLab!$C$5</definedName>
    <definedName name="LabOpn_20">PedBerLab!$C$23</definedName>
    <definedName name="LabOpn_21">PedBerLab!$C$24</definedName>
    <definedName name="LabOpn_22">PedBerLab!$C$25</definedName>
    <definedName name="LabOpn_23">PedBerLab!$C$26</definedName>
    <definedName name="LabOpn_24">PedBerLab!$C$27</definedName>
    <definedName name="LabOpn_25">PedBerLab!$C$28</definedName>
    <definedName name="LabOpn_26">PedBerLab!$C$29</definedName>
    <definedName name="LabOpn_27">PedBerLab!$C$30</definedName>
    <definedName name="LabOpn_28">PedBerLab!$C$31</definedName>
    <definedName name="LabOpn_29">PedBerLab!$C$32</definedName>
    <definedName name="LabOpn_3">PedBerLab!$C$6</definedName>
    <definedName name="LabOpn_30">PedBerLab!$C$33</definedName>
    <definedName name="LabOpn_31">PedBerLab!$C$34</definedName>
    <definedName name="LabOpn_32">PedBerLab!$C$35</definedName>
    <definedName name="LabOpn_4">PedBerLab!$C$7</definedName>
    <definedName name="LabOpn_5">PedBerLab!$C$8</definedName>
    <definedName name="LabOpn_6">PedBerLab!$C$9</definedName>
    <definedName name="LabOpn_7">PedBerLab!$C$10</definedName>
    <definedName name="LabOpn_8">PedBerLab!$C$11</definedName>
    <definedName name="LabOpn_9">PedBerLab!$C$12</definedName>
    <definedName name="Lengte">PatDetails!$H$2</definedName>
    <definedName name="LijstenLijstToevoegingenKV">NeoTblLijst!$M$44:$Y$48</definedName>
    <definedName name="LijstenLijstToevoegingenMM">NeoTblLijst!$M$33:$Y$39</definedName>
    <definedName name="LijstenLijstVoeding">NeoTblLijst!$M$3:$Z$19</definedName>
    <definedName name="LijstenOpzoektabelKV">NeoTblLijst!$M$43:$Y$48</definedName>
    <definedName name="LijstenOpzoektabelMM">NeoTblLijst!$M$32:$Y$39</definedName>
    <definedName name="LijstenOpzoektabelVoeding">NeoTblLijst!$M$2:$Z$19</definedName>
    <definedName name="lijstIntralipidSmof">NeoTblLijst!$AE$3:$AE$4</definedName>
    <definedName name="lijstToevoegingenKVPrint">NeoTblLijst!$L$44:$L$48</definedName>
    <definedName name="lijstToevoegingenMMPrint">NeoTblLijst!$L$33:$L$39</definedName>
    <definedName name="LipidenStand">PedBerTPN!$D$12</definedName>
    <definedName name="MedDosHoev_1">PedBerMedDisc!$G$2</definedName>
    <definedName name="MedDosHoev_10">PedBerMedDisc!$G$11</definedName>
    <definedName name="MedDosHoev_11">PedBerMedDisc!$G$12</definedName>
    <definedName name="MedDosHoev_12">PedBerMedDisc!$G$13</definedName>
    <definedName name="MedDosHoev_13">PedBerMedDisc!$G$14</definedName>
    <definedName name="MedDosHoev_14">PedBerMedDisc!$G$15</definedName>
    <definedName name="MedDosHoev_15">PedBerMedDisc!$G$16</definedName>
    <definedName name="MedDosHoev_16">PedBerMedDisc!$G$17</definedName>
    <definedName name="MedDosHoev_17">PedBerMedDisc!$G$18</definedName>
    <definedName name="MedDosHoev_18">PedBerMedDisc!$G$19</definedName>
    <definedName name="MedDosHoev_19">PedBerMedDisc!$G$20</definedName>
    <definedName name="MedDosHoev_2">PedBerMedDisc!$G$3</definedName>
    <definedName name="MedDosHoev_20">PedBerMedDisc!$G$21</definedName>
    <definedName name="MedDosHoev_3">PedBerMedDisc!$G$4</definedName>
    <definedName name="MedDosHoev_4">PedBerMedDisc!$G$5</definedName>
    <definedName name="MedDosHoev_5">PedBerMedDisc!$G$6</definedName>
    <definedName name="MedDosHoev_6">PedBerMedDisc!$G$7</definedName>
    <definedName name="MedDosHoev_7">PedBerMedDisc!$G$8</definedName>
    <definedName name="MedDosHoev_8">PedBerMedDisc!$G$9</definedName>
    <definedName name="MedDosHoev_9">PedBerMedDisc!$G$10</definedName>
    <definedName name="Medicamenten">NeoTblMedIV!$B$2:$K$26</definedName>
    <definedName name="MedInloop_1">PedBerMedDisc!$Q$2</definedName>
    <definedName name="MedInloop_10">PedBerMedDisc!$Q$11</definedName>
    <definedName name="MedInloop_11">PedBerMedDisc!$Q$12</definedName>
    <definedName name="MedInloop_12">PedBerMedDisc!$Q$13</definedName>
    <definedName name="MedInloop_13">PedBerMedDisc!$Q$14</definedName>
    <definedName name="MedInloop_14">PedBerMedDisc!$Q$15</definedName>
    <definedName name="MedInloop_15">PedBerMedDisc!$Q$16</definedName>
    <definedName name="MedInloop_16">PedBerMedDisc!$Q$17</definedName>
    <definedName name="MedInloop_17">PedBerMedDisc!$Q$18</definedName>
    <definedName name="MedInloop_18">PedBerMedDisc!$Q$19</definedName>
    <definedName name="MedInloop_19">PedBerMedDisc!$Q$20</definedName>
    <definedName name="MedInloop_2">PedBerMedDisc!$Q$3</definedName>
    <definedName name="MedInloop_20">PedBerMedDisc!$Q$21</definedName>
    <definedName name="MedInloop_21">PedBerMedDisc!$Q$22</definedName>
    <definedName name="MedInloop_22">PedBerMedDisc!$Q$23</definedName>
    <definedName name="MedInloop_23">PedBerMedDisc!$Q$24</definedName>
    <definedName name="MedInloop_24">PedBerMedDisc!$Q$25</definedName>
    <definedName name="MedInloop_25">PedBerMedDisc!$Q$26</definedName>
    <definedName name="MedInloop_26">PedBerMedDisc!$Q$27</definedName>
    <definedName name="MedInloop_27">PedBerMedDisc!$Q$28</definedName>
    <definedName name="MedInloop_28">PedBerMedDisc!$Q$29</definedName>
    <definedName name="MedInloop_29">PedBerMedDisc!$Q$30</definedName>
    <definedName name="MedInloop_3">PedBerMedDisc!$Q$4</definedName>
    <definedName name="MedInloop_30">PedBerMedDisc!$Q$31</definedName>
    <definedName name="MedInloop_4">PedBerMedDisc!$Q$5</definedName>
    <definedName name="MedInloop_5">PedBerMedDisc!$Q$6</definedName>
    <definedName name="MedInloop_6">PedBerMedDisc!$Q$7</definedName>
    <definedName name="MedInloop_7">PedBerMedDisc!$Q$8</definedName>
    <definedName name="MedInloop_8">PedBerMedDisc!$Q$9</definedName>
    <definedName name="MedInloop_9">PedBerMedDisc!$Q$10</definedName>
    <definedName name="MedIVKeuze_1">PedBerMedIV!$B$3</definedName>
    <definedName name="MedIVKeuze_10">PedBerMedIV!$B$12</definedName>
    <definedName name="MedIVKeuze_11">PedBerMedIV!$B$13</definedName>
    <definedName name="MedIVKeuze_12">PedBerMedIV!$B$14</definedName>
    <definedName name="MedIVKeuze_13">PedBerMedIV!$B$15</definedName>
    <definedName name="MedIVKeuze_14">PedBerMedIV!$B$16</definedName>
    <definedName name="MedIVKeuze_15">PedBerMedIV!$B$17</definedName>
    <definedName name="MedIVKeuze_2">PedBerMedIV!$B$4</definedName>
    <definedName name="MedIVKeuze_3">PedBerMedIV!$B$5</definedName>
    <definedName name="MedIVKeuze_4">PedBerMedIV!$B$6</definedName>
    <definedName name="MedIVKeuze_5">PedBerMedIV!$B$7</definedName>
    <definedName name="MedIVKeuze_6">PedBerMedIV!$B$8</definedName>
    <definedName name="MedIVKeuze_7">PedBerMedIV!$B$9</definedName>
    <definedName name="MedIVKeuze_8">PedBerMedIV!$B$10</definedName>
    <definedName name="MedIVKeuze_9">PedBerMedIV!$B$11</definedName>
    <definedName name="MedIVMlOpl_1">PedBerMedIV!$E$3</definedName>
    <definedName name="MedIVMlOpl_10">PedBerMedIV!$E$12</definedName>
    <definedName name="MedIVMlOpl_11">PedBerMedIV!$E$13</definedName>
    <definedName name="MedIVMlOpl_12">PedBerMedIV!$E$14</definedName>
    <definedName name="MedIVMlOpl_13">PedBerMedIV!$E$15</definedName>
    <definedName name="MedIVMlOpl_14">PedBerMedIV!$E$16</definedName>
    <definedName name="MedIVMlOpl_15">PedBerMedIV!$E$17</definedName>
    <definedName name="MedIVMlOpl_2">PedBerMedIV!$E$4</definedName>
    <definedName name="MedIVMlOpl_3">PedBerMedIV!$E$5</definedName>
    <definedName name="MedIVMlOpl_4">PedBerMedIV!$E$6</definedName>
    <definedName name="MedIVMlOpl_5">PedBerMedIV!$E$7</definedName>
    <definedName name="MedIVMlOpl_6">PedBerMedIV!$E$8</definedName>
    <definedName name="MedIVMlOpl_7">PedBerMedIV!$E$9</definedName>
    <definedName name="MedIVMlOpl_8">PedBerMedIV!$E$10</definedName>
    <definedName name="MedIVMlOpl_9">PedBerMedIV!$E$11</definedName>
    <definedName name="MedIVOplVlst_1">PedBerMedIV!$I$3</definedName>
    <definedName name="MedIVOplVlst_10">PedBerMedIV!$I$12</definedName>
    <definedName name="MedIVOplVlst_11">PedBerMedIV!$I$13</definedName>
    <definedName name="MedIVOplVlst_12">PedBerMedIV!$I$14</definedName>
    <definedName name="MedIVOplVlst_13">PedBerMedIV!$I$15</definedName>
    <definedName name="MedIVOplVlst_14">PedBerMedIV!$I$16</definedName>
    <definedName name="MedIVOplVlst_15">PedBerMedIV!$I$17</definedName>
    <definedName name="MedIVOplVlst_2">PedBerMedIV!$I$4</definedName>
    <definedName name="MedIVOplVlst_3">PedBerMedIV!$I$5</definedName>
    <definedName name="MedIVOplVlst_4">PedBerMedIV!$I$6</definedName>
    <definedName name="MedIVOplVlst_5">PedBerMedIV!$I$7</definedName>
    <definedName name="MedIVOplVlst_6">PedBerMedIV!$I$8</definedName>
    <definedName name="MedIVOplVlst_7">PedBerMedIV!$I$9</definedName>
    <definedName name="MedIVOplVlst_8">PedBerMedIV!$I$10</definedName>
    <definedName name="MedIVOplVlst_9">PedBerMedIV!$I$11</definedName>
    <definedName name="MedIVStand_1">PedBerMedIV!$J$3</definedName>
    <definedName name="MedIVStand_10">PedBerMedIV!$J$12</definedName>
    <definedName name="MedIVStand_11">PedBerMedIV!$J$13</definedName>
    <definedName name="MedIVStand_12">PedBerMedIV!$J$14</definedName>
    <definedName name="MedIVStand_13">PedBerMedIV!$J$15</definedName>
    <definedName name="MedIVStand_14">PedBerMedIV!$J$16</definedName>
    <definedName name="MedIVStand_15">PedBerMedIV!$J$17</definedName>
    <definedName name="MedIVStand_2">PedBerMedIV!$J$4</definedName>
    <definedName name="MedIVStand_3">PedBerMedIV!$J$5</definedName>
    <definedName name="MedIVStand_4">PedBerMedIV!$J$6</definedName>
    <definedName name="MedIVStand_5">PedBerMedIV!$J$7</definedName>
    <definedName name="MedIVStand_6">PedBerMedIV!$J$8</definedName>
    <definedName name="MedIVStand_7">PedBerMedIV!$J$9</definedName>
    <definedName name="MedIVStand_8">PedBerMedIV!$J$10</definedName>
    <definedName name="MedIVStand_9">PedBerMedIV!$J$11</definedName>
    <definedName name="MedIVSterkte_1">PedBerMedIV!$D$3</definedName>
    <definedName name="MedIVSterkte_10">PedBerMedIV!$D$12</definedName>
    <definedName name="MedIVSterkte_11">PedBerMedIV!$D$13</definedName>
    <definedName name="MedIVSterkte_12">PedBerMedIV!$D$14</definedName>
    <definedName name="MedIVSterkte_13">PedBerMedIV!$D$15</definedName>
    <definedName name="MedIVSterkte_14">PedBerMedIV!$D$16</definedName>
    <definedName name="MedIVSterkte_15">PedBerMedIV!$D$17</definedName>
    <definedName name="MedIVSterkte_2">PedBerMedIV!$D$4</definedName>
    <definedName name="MedIVSterkte_3">PedBerMedIV!$D$5</definedName>
    <definedName name="MedIVSterkte_4">PedBerMedIV!$D$6</definedName>
    <definedName name="MedIVSterkte_5">PedBerMedIV!$D$7</definedName>
    <definedName name="MedIVSterkte_6">PedBerMedIV!$D$8</definedName>
    <definedName name="MedIVSterkte_7">PedBerMedIV!$D$9</definedName>
    <definedName name="MedIVSterkte_8">PedBerMedIV!$D$10</definedName>
    <definedName name="MedIVSterkte_9">PedBerMedIV!$D$11</definedName>
    <definedName name="MedKeuze_0">PedBerMedDisc!$B$42</definedName>
    <definedName name="MedKeuze_1">PedBerMedDisc!$C$2</definedName>
    <definedName name="MedKeuze_10">PedBerMedDisc!$C$11</definedName>
    <definedName name="MedKeuze_11">PedBerMedDisc!$C$12</definedName>
    <definedName name="MedKeuze_12">PedBerMedDisc!$C$13</definedName>
    <definedName name="MedKeuze_13">PedBerMedDisc!$C$14</definedName>
    <definedName name="MedKeuze_14">PedBerMedDisc!$C$15</definedName>
    <definedName name="MedKeuze_15">PedBerMedDisc!$C$16</definedName>
    <definedName name="MedKeuze_16">PedBerMedDisc!$C$17</definedName>
    <definedName name="MedKeuze_17">PedBerMedDisc!$C$18</definedName>
    <definedName name="MedKeuze_18">PedBerMedDisc!$C$19</definedName>
    <definedName name="MedKeuze_19">PedBerMedDisc!$C$20</definedName>
    <definedName name="MedKeuze_2">PedBerMedDisc!$C$3</definedName>
    <definedName name="MedKeuze_20">PedBerMedDisc!$C$21</definedName>
    <definedName name="MedKeuze_21">PedBerMedDisc!$C$22</definedName>
    <definedName name="MedKeuze_22">PedBerMedDisc!$C$23</definedName>
    <definedName name="MedKeuze_23">PedBerMedDisc!$C$24</definedName>
    <definedName name="MedKeuze_24">PedBerMedDisc!$C$25</definedName>
    <definedName name="MedKeuze_25">PedBerMedDisc!$C$26</definedName>
    <definedName name="MedKeuze_26">PedBerMedDisc!$C$27</definedName>
    <definedName name="MedKeuze_27">PedBerMedDisc!$C$28</definedName>
    <definedName name="MedKeuze_28">PedBerMedDisc!$C$29</definedName>
    <definedName name="MedKeuze_29">PedBerMedDisc!$C$30</definedName>
    <definedName name="MedKeuze_3">PedBerMedDisc!$C$4</definedName>
    <definedName name="MedKeuze_30">PedBerMedDisc!$C$31</definedName>
    <definedName name="MedKeuze_4">PedBerMedDisc!$C$5</definedName>
    <definedName name="MedKeuze_5">PedBerMedDisc!$C$6</definedName>
    <definedName name="MedKeuze_6">PedBerMedDisc!$C$7</definedName>
    <definedName name="MedKeuze_7">PedBerMedDisc!$C$8</definedName>
    <definedName name="MedKeuze_8">PedBerMedDisc!$C$9</definedName>
    <definedName name="MedKeuze_9">PedBerMedDisc!$C$10</definedName>
    <definedName name="MedOpl_1">PedBerMedDisc!$O$2</definedName>
    <definedName name="MedOpl_10">PedBerMedDisc!$O$11</definedName>
    <definedName name="MedOpl_11">PedBerMedDisc!$O$12</definedName>
    <definedName name="MedOpl_12">PedBerMedDisc!$O$13</definedName>
    <definedName name="MedOpl_13">PedBerMedDisc!$O$14</definedName>
    <definedName name="MedOpl_14">PedBerMedDisc!$O$15</definedName>
    <definedName name="MedOpl_15">PedBerMedDisc!$O$16</definedName>
    <definedName name="MedOpl_16">PedBerMedDisc!$O$17</definedName>
    <definedName name="MedOpl_17">PedBerMedDisc!$O$18</definedName>
    <definedName name="MedOpl_18">PedBerMedDisc!$O$19</definedName>
    <definedName name="MedOpl_19">PedBerMedDisc!$O$20</definedName>
    <definedName name="MedOpl_2">PedBerMedDisc!$O$3</definedName>
    <definedName name="MedOpl_20">PedBerMedDisc!$O$21</definedName>
    <definedName name="MedOpl_21">PedBerMedDisc!$O$22</definedName>
    <definedName name="MedOpl_22">PedBerMedDisc!$O$23</definedName>
    <definedName name="MedOpl_23">PedBerMedDisc!$O$24</definedName>
    <definedName name="MedOpl_24">PedBerMedDisc!$O$25</definedName>
    <definedName name="MedOpl_25">PedBerMedDisc!$O$26</definedName>
    <definedName name="MedOpl_26">PedBerMedDisc!$O$27</definedName>
    <definedName name="MedOpl_27">PedBerMedDisc!$O$28</definedName>
    <definedName name="MedOpl_28">PedBerMedDisc!$O$29</definedName>
    <definedName name="MedOpl_29">PedBerMedDisc!$O$30</definedName>
    <definedName name="MedOpl_3">PedBerMedDisc!$O$4</definedName>
    <definedName name="MedOpl_30">PedBerMedDisc!$O$31</definedName>
    <definedName name="MedOpl_4">PedBerMedDisc!$O$5</definedName>
    <definedName name="MedOpl_5">PedBerMedDisc!$O$6</definedName>
    <definedName name="MedOpl_6">PedBerMedDisc!$O$7</definedName>
    <definedName name="MedOpl_7">PedBerMedDisc!$O$8</definedName>
    <definedName name="MedOpl_8">PedBerMedDisc!$O$9</definedName>
    <definedName name="MedOpl_9">PedBerMedDisc!$O$10</definedName>
    <definedName name="MedOplVol_1">PedBerMedDisc!$N$2</definedName>
    <definedName name="MedOplVol_10">PedBerMedDisc!$N$11</definedName>
    <definedName name="MedOplVol_11">PedBerMedDisc!$N$12</definedName>
    <definedName name="MedOplVol_12">PedBerMedDisc!$N$13</definedName>
    <definedName name="MedOplVol_13">PedBerMedDisc!$N$14</definedName>
    <definedName name="MedOplVol_14">PedBerMedDisc!$N$15</definedName>
    <definedName name="MedOplVol_15">PedBerMedDisc!$N$16</definedName>
    <definedName name="MedOplVol_16">PedBerMedDisc!$N$17</definedName>
    <definedName name="MedOplVol_17">PedBerMedDisc!$N$18</definedName>
    <definedName name="MedOplVol_18">PedBerMedDisc!$N$19</definedName>
    <definedName name="MedOplVol_19">PedBerMedDisc!$N$20</definedName>
    <definedName name="MedOplVol_2">PedBerMedDisc!$N$3</definedName>
    <definedName name="MedOplVol_20">PedBerMedDisc!$N$21</definedName>
    <definedName name="MedOplVol_21">PedBerMedDisc!$N$22</definedName>
    <definedName name="MedOplVol_22">PedBerMedDisc!$N$23</definedName>
    <definedName name="MedOplVol_23">PedBerMedDisc!$N$24</definedName>
    <definedName name="MedOplVol_24">PedBerMedDisc!$N$25</definedName>
    <definedName name="MedOplVol_25">PedBerMedDisc!$N$26</definedName>
    <definedName name="MedOplVol_26">PedBerMedDisc!$N$27</definedName>
    <definedName name="MedOplVol_27">PedBerMedDisc!$N$28</definedName>
    <definedName name="MedOplVol_28">PedBerMedDisc!$N$29</definedName>
    <definedName name="MedOplVol_29">PedBerMedDisc!$N$30</definedName>
    <definedName name="MedOplVol_3">PedBerMedDisc!$N$4</definedName>
    <definedName name="MedOplVol_30">PedBerMedDisc!$N$31</definedName>
    <definedName name="MedOplVol_4">PedBerMedDisc!$N$5</definedName>
    <definedName name="MedOplVol_5">PedBerMedDisc!$N$6</definedName>
    <definedName name="MedOplVol_6">PedBerMedDisc!$N$7</definedName>
    <definedName name="MedOplVol_7">PedBerMedDisc!$N$8</definedName>
    <definedName name="MedOplVol_8">PedBerMedDisc!$N$9</definedName>
    <definedName name="MedOplVol_9">PedBerMedDisc!$N$10</definedName>
    <definedName name="MedTijden_1">PedBerMedDisc!$I$2</definedName>
    <definedName name="MedTijden_10">PedBerMedDisc!$I$11</definedName>
    <definedName name="MedTijden_11">PedBerMedDisc!$I$12</definedName>
    <definedName name="MedTijden_12">PedBerMedDisc!$I$13</definedName>
    <definedName name="MedTijden_13">PedBerMedDisc!$I$14</definedName>
    <definedName name="MedTijden_14">PedBerMedDisc!$I$15</definedName>
    <definedName name="MedTijden_15">PedBerMedDisc!$I$16</definedName>
    <definedName name="MedTijden_16">PedBerMedDisc!$I$17</definedName>
    <definedName name="MedTijden_17">PedBerMedDisc!$I$18</definedName>
    <definedName name="MedTijden_18">PedBerMedDisc!$I$19</definedName>
    <definedName name="MedTijden_19">PedBerMedDisc!$I$20</definedName>
    <definedName name="MedTijden_2">PedBerMedDisc!$I$3</definedName>
    <definedName name="MedTijden_20">PedBerMedDisc!$I$21</definedName>
    <definedName name="MedTijden_21">PedBerMedDisc!$I$22</definedName>
    <definedName name="MedTijden_22">PedBerMedDisc!$I$23</definedName>
    <definedName name="MedTijden_23">PedBerMedDisc!$I$24</definedName>
    <definedName name="MedTijden_24">PedBerMedDisc!$I$25</definedName>
    <definedName name="MedTijden_25">PedBerMedDisc!$I$26</definedName>
    <definedName name="MedTijden_26">PedBerMedDisc!$I$27</definedName>
    <definedName name="MedTijden_27">PedBerMedDisc!$I$28</definedName>
    <definedName name="MedTijden_28">PedBerMedDisc!$I$29</definedName>
    <definedName name="MedTijden_29">PedBerMedDisc!$I$30</definedName>
    <definedName name="MedTijden_3">PedBerMedDisc!$I$4</definedName>
    <definedName name="MedTijden_30">PedBerMedDisc!$I$31</definedName>
    <definedName name="MedTijden_4">PedBerMedDisc!$I$5</definedName>
    <definedName name="MedTijden_5">PedBerMedDisc!$I$6</definedName>
    <definedName name="MedTijden_6">PedBerMedDisc!$I$7</definedName>
    <definedName name="MedTijden_7">PedBerMedDisc!$I$8</definedName>
    <definedName name="MedTijden_8">PedBerMedDisc!$I$9</definedName>
    <definedName name="MedTijden_9">PedBerMedDisc!$I$10</definedName>
    <definedName name="MedToed_1">PedBerMedDisc!$L$2</definedName>
    <definedName name="MedToed_10">PedBerMedDisc!$L$11</definedName>
    <definedName name="MedToed_11">PedBerMedDisc!$L$12</definedName>
    <definedName name="MedToed_12">PedBerMedDisc!$L$13</definedName>
    <definedName name="MedToed_13">PedBerMedDisc!$L$14</definedName>
    <definedName name="MedToed_14">PedBerMedDisc!$L$15</definedName>
    <definedName name="MedToed_15">PedBerMedDisc!$L$16</definedName>
    <definedName name="MedToed_16">PedBerMedDisc!$L$17</definedName>
    <definedName name="MedToed_17">PedBerMedDisc!$L$18</definedName>
    <definedName name="MedToed_18">PedBerMedDisc!$L$19</definedName>
    <definedName name="MedToed_19">PedBerMedDisc!$L$20</definedName>
    <definedName name="MedToed_2">PedBerMedDisc!$L$3</definedName>
    <definedName name="MedToed_20">PedBerMedDisc!$L$21</definedName>
    <definedName name="MedToed_21">PedBerMedDisc!$L$22</definedName>
    <definedName name="MedToed_22">PedBerMedDisc!$L$23</definedName>
    <definedName name="MedToed_23">PedBerMedDisc!$L$24</definedName>
    <definedName name="MedToed_24">PedBerMedDisc!$L$25</definedName>
    <definedName name="MedToed_25">PedBerMedDisc!$L$26</definedName>
    <definedName name="MedToed_26">PedBerMedDisc!$L$27</definedName>
    <definedName name="MedToed_27">PedBerMedDisc!$L$28</definedName>
    <definedName name="MedToed_28">PedBerMedDisc!$L$29</definedName>
    <definedName name="MedToed_29">PedBerMedDisc!$L$30</definedName>
    <definedName name="MedToed_3">PedBerMedDisc!$L$4</definedName>
    <definedName name="MedToed_30">PedBerMedDisc!$L$31</definedName>
    <definedName name="MedToed_4">PedBerMedDisc!$L$5</definedName>
    <definedName name="MedToed_5">PedBerMedDisc!$L$6</definedName>
    <definedName name="MedToed_6">PedBerMedDisc!$L$7</definedName>
    <definedName name="MedToed_7">PedBerMedDisc!$L$8</definedName>
    <definedName name="MedToed_8">PedBerMedDisc!$L$9</definedName>
    <definedName name="MedToed_9">PedBerMedDisc!$L$10</definedName>
    <definedName name="MgCl">PedBerTPN!$C$10</definedName>
    <definedName name="MgClVol">PedBerTPN!$E$10</definedName>
    <definedName name="NaCl">PedBerTPN!$C$7</definedName>
    <definedName name="NaCl_2">PedBerTPN!$C$21</definedName>
    <definedName name="NaClVol">PedBerTPN!$E$7</definedName>
    <definedName name="NaClVol_2">PedBerTPN!$E$21</definedName>
    <definedName name="Opl">NeoTblLijst!$A$3:$H$18</definedName>
    <definedName name="opmAfsprBlad__1">GlobBerOpm!$C$2</definedName>
    <definedName name="opmAfsprBlad__10">GlobBerOpm!$C$11</definedName>
    <definedName name="opmAfsprBlad__11">GlobBerOpm!$C$12</definedName>
    <definedName name="opmAfsprBlad__12">GlobBerOpm!$C$13</definedName>
    <definedName name="opmAfsprBlad__13">GlobBerOpm!$C$14</definedName>
    <definedName name="opmAfsprBlad__14">GlobBerOpm!$C$15</definedName>
    <definedName name="opmAfsprBlad__15">GlobBerOpm!$C$36</definedName>
    <definedName name="opmAfsprBlad__2">GlobBerOpm!$C$3</definedName>
    <definedName name="opmAfsprBlad__3">GlobBerOpm!$C$4</definedName>
    <definedName name="opmAfsprBlad__4">GlobBerOpm!$C$5</definedName>
    <definedName name="opmAfsprBlad__5">GlobBerOpm!$C$6</definedName>
    <definedName name="opmAfsprBlad__6">GlobBerOpm!$C$7</definedName>
    <definedName name="opmAfsprBlad__7">GlobBerOpm!$C$8</definedName>
    <definedName name="opmAfsprBlad__8">GlobBerOpm!$C$9</definedName>
    <definedName name="opmAfsprBlad__9">GlobBerOpm!$C$10</definedName>
    <definedName name="opmMedDisc__1">GlobBerOpm!$C$16</definedName>
    <definedName name="opmMedDisc__10">GlobBerOpm!$C$25</definedName>
    <definedName name="opmMedDisc__11">GlobBerOpm!$C$26</definedName>
    <definedName name="opmMedDisc__12">GlobBerOpm!$C$27</definedName>
    <definedName name="opmMedDisc__13">GlobBerOpm!$C$28</definedName>
    <definedName name="opmMedDisc__14">GlobBerOpm!$C$29</definedName>
    <definedName name="opmMedDisc__15">GlobBerOpm!$C$30</definedName>
    <definedName name="opmMedDisc__16">GlobBerOpm!$C$31</definedName>
    <definedName name="opmMedDisc__17">GlobBerOpm!$C$32</definedName>
    <definedName name="opmMedDisc__18">GlobBerOpm!$C$33</definedName>
    <definedName name="opmMedDisc__19">GlobBerOpm!$C$34</definedName>
    <definedName name="opmMedDisc__2">GlobBerOpm!$C$17</definedName>
    <definedName name="opmMedDisc__20">GlobBerOpm!$C$35</definedName>
    <definedName name="opmMedDisc__21">GlobBerOpm!$C$37</definedName>
    <definedName name="opmMedDisc__22">GlobBerOpm!$C$38</definedName>
    <definedName name="opmMedDisc__23">GlobBerOpm!$C$39</definedName>
    <definedName name="opmMedDisc__24">GlobBerOpm!$C$40</definedName>
    <definedName name="opmMedDisc__25">GlobBerOpm!$C$41</definedName>
    <definedName name="opmMedDisc__26">GlobBerOpm!$C$42</definedName>
    <definedName name="opmMedDisc__27">GlobBerOpm!$C$43</definedName>
    <definedName name="opmMedDisc__28">GlobBerOpm!$C$44</definedName>
    <definedName name="opmMedDisc__29">GlobBerOpm!$C$45</definedName>
    <definedName name="opmMedDisc__3">GlobBerOpm!$C$18</definedName>
    <definedName name="opmMedDisc__30">GlobBerOpm!$C$46</definedName>
    <definedName name="opmMedDisc__4">GlobBerOpm!$C$19</definedName>
    <definedName name="opmMedDisc__5">GlobBerOpm!$C$20</definedName>
    <definedName name="opmMedDisc__6">GlobBerOpm!$C$21</definedName>
    <definedName name="opmMedDisc__7">GlobBerOpm!$C$22</definedName>
    <definedName name="opmMedDisc__8">GlobBerOpm!$C$23</definedName>
    <definedName name="opmMedDisc__9">GlobBerOpm!$C$24</definedName>
    <definedName name="OpnDatum">PatDetails!$C$2</definedName>
    <definedName name="patRec">PatData!$S$1</definedName>
    <definedName name="Peditrace">PedBerTPN!$E$5</definedName>
    <definedName name="PM">PedBerIVenPM!$D$2</definedName>
    <definedName name="PM_AO">PedBerIVenPM!$G$2</definedName>
    <definedName name="PM_AS">PedBerIVenPM!$G$5</definedName>
    <definedName name="PM_AV">PedBerIVenPM!$G$4</definedName>
    <definedName name="PM_Freq">PedBerIVenPM!$G$1</definedName>
    <definedName name="PM_Instelling">PedBerIVenPM!$G$1:$G$6</definedName>
    <definedName name="PM_Mod">PedBerIVenPM!$E$2</definedName>
    <definedName name="PM_Standaard">PedBerIVenPM!$H$1:$H$6</definedName>
    <definedName name="PM_VO">PedBerIVenPM!$G$3</definedName>
    <definedName name="PM_VS">PedBerIVenPM!$G$6</definedName>
    <definedName name="Pos">NeoTblLijst!$M$3:$Y$19</definedName>
    <definedName name="_xlnm.Print_Area" localSheetId="58">NeoGuiAcuut!$B$2:$G$31</definedName>
    <definedName name="_xlnm.Print_Area" localSheetId="59">NeoPrtAfspr!$A$1:$Q$68</definedName>
    <definedName name="_xlnm.Print_Area" localSheetId="60">NeoPrtApoth!$A$1:$Q$63</definedName>
    <definedName name="_xlnm.Print_Area" localSheetId="52">NeoPrtMedDisc!$B$1:$AG$22</definedName>
    <definedName name="_xlnm.Print_Area" localSheetId="47">NeoPrtWerkbr!$A$1:$P$55</definedName>
    <definedName name="_xlnm.Print_Area" localSheetId="29">PedGuiAcuut!$B$2:$G$44</definedName>
    <definedName name="_xlnm.Print_Area" localSheetId="32">PedPrtAfspr!$A$2:$J$127</definedName>
    <definedName name="_xlnm.Print_Area" localSheetId="33">PedPrtMedDisc!$B$1:$AG$22</definedName>
    <definedName name="_xlnm.Print_Area" localSheetId="37">PedPrtTPN16tot30!$A$1:$H$48</definedName>
    <definedName name="_xlnm.Print_Area" localSheetId="35">PedPrtTPN2tot6!$A$1:$H$48</definedName>
    <definedName name="_xlnm.Print_Area" localSheetId="39">PedPrtTPN50!$A$1:$H$52</definedName>
    <definedName name="_xlnm.Print_Area" localSheetId="36">PedPrtTPN7tot15!$A$1:$H$50</definedName>
    <definedName name="_xlnm.Print_Area" localSheetId="38">PedTPN31tot50!$A$1:$H$49</definedName>
    <definedName name="RecNo_1">PedBerMedDisc!$U$2</definedName>
    <definedName name="RecNo_10">PedBerMedDisc!$U$11</definedName>
    <definedName name="RecNo_11">PedBerMedDisc!$U$12</definedName>
    <definedName name="RecNo_12">PedBerMedDisc!$U$13</definedName>
    <definedName name="RecNo_13">PedBerMedDisc!$U$14</definedName>
    <definedName name="RecNo_14">PedBerMedDisc!$U$15</definedName>
    <definedName name="RecNo_15">PedBerMedDisc!$U$16</definedName>
    <definedName name="RecNo_16">PedBerMedDisc!$U$17</definedName>
    <definedName name="RecNo_17">PedBerMedDisc!$U$18</definedName>
    <definedName name="RecNo_18">PedBerMedDisc!$U$19</definedName>
    <definedName name="RecNo_19">PedBerMedDisc!$U$20</definedName>
    <definedName name="RecNo_2">PedBerMedDisc!$U$3</definedName>
    <definedName name="RecNo_20">PedBerMedDisc!$U$21</definedName>
    <definedName name="RecNo_21">PedBerMedDisc!$U$22</definedName>
    <definedName name="RecNo_22">PedBerMedDisc!$U$23</definedName>
    <definedName name="RecNo_23">PedBerMedDisc!$U$24</definedName>
    <definedName name="RecNo_24">PedBerMedDisc!$U$25</definedName>
    <definedName name="RecNo_25">PedBerMedDisc!$U$26</definedName>
    <definedName name="RecNo_26">PedBerMedDisc!$U$27</definedName>
    <definedName name="RecNo_27">PedBerMedDisc!$U$28</definedName>
    <definedName name="RecNo_28">PedBerMedDisc!$U$29</definedName>
    <definedName name="RecNo_29">PedBerMedDisc!$U$30</definedName>
    <definedName name="RecNo_3">PedBerMedDisc!$U$4</definedName>
    <definedName name="RecNo_30">PedBerMedDisc!$U$31</definedName>
    <definedName name="RecNo_4">PedBerMedDisc!$U$5</definedName>
    <definedName name="RecNo_5">PedBerMedDisc!$U$6</definedName>
    <definedName name="RecNo_6">PedBerMedDisc!$U$7</definedName>
    <definedName name="RecNo_7">PedBerMedDisc!$U$8</definedName>
    <definedName name="RecNo_8">PedBerMedDisc!$U$9</definedName>
    <definedName name="RecNo_9">PedBerMedDisc!$U$10</definedName>
    <definedName name="reservePat">PatData!$C$2:$C$521</definedName>
    <definedName name="SelectedIntralipidSmof">NeoBerIV!$F$35</definedName>
    <definedName name="SelectedIntralipidSmof1700">NeoBer1700!$F$35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MOF">PedBerTPN!$C$16</definedName>
    <definedName name="Soluvit">PedBerTPN!$C$15</definedName>
    <definedName name="SoluvitVol">PedBerTPN!$E$15</definedName>
    <definedName name="Sonde">PedBerEnt!$O$2</definedName>
    <definedName name="SpecVoed_1">PedBerEnt!$H$2</definedName>
    <definedName name="SpecVoed_10">PedBerEnt!$H$11</definedName>
    <definedName name="SpecVoed_11">PedBerEnt!$H$12</definedName>
    <definedName name="SpecVoed_12">PedBerEnt!$H$13</definedName>
    <definedName name="SpecVoed_2">PedBerEnt!$H$3</definedName>
    <definedName name="SpecVoed_3">PedBerEnt!$H$4</definedName>
    <definedName name="SpecVoed_4">PedBerEnt!$H$5</definedName>
    <definedName name="SpecVoed_5">PedBerEnt!$H$6</definedName>
    <definedName name="SpecVoed_6">PedBerEnt!$H$7</definedName>
    <definedName name="SpecVoed_7">PedBerEnt!$H$8</definedName>
    <definedName name="SpecVoed_8">PedBerEnt!$H$9</definedName>
    <definedName name="SpecVoed_9">PedBerEnt!$H$10</definedName>
    <definedName name="SST2Stand">PedBerTPN!$D$19</definedName>
    <definedName name="SSTglucose">PedBerTPN!$B$6</definedName>
    <definedName name="SSTGlucose_2">PedBerTPN!$B$20</definedName>
    <definedName name="SSTStand">PedBerTPN!$D$3</definedName>
    <definedName name="StandDos_1">PedBerMedDisc!$E$2</definedName>
    <definedName name="StandDos_10">PedBerMedDisc!$E$11</definedName>
    <definedName name="StandDos_11">PedBerMedDisc!$E$12</definedName>
    <definedName name="StandDos_12">PedBerMedDisc!$E$13</definedName>
    <definedName name="StandDos_13">PedBerMedDisc!$E$14</definedName>
    <definedName name="StandDos_14">PedBerMedDisc!$E$15</definedName>
    <definedName name="StandDos_15">PedBerMedDisc!$E$16</definedName>
    <definedName name="StandDos_16">PedBerMedDisc!$E$17</definedName>
    <definedName name="StandDos_17">PedBerMedDisc!$E$18</definedName>
    <definedName name="StandDos_18">PedBerMedDisc!$E$19</definedName>
    <definedName name="StandDos_19">PedBerMedDisc!$E$20</definedName>
    <definedName name="StandDos_2">PedBerMedDisc!$E$3</definedName>
    <definedName name="StandDos_20">PedBerMedDisc!$E$21</definedName>
    <definedName name="StandDos_21">PedBerMedDisc!$E$22</definedName>
    <definedName name="StandDos_22">PedBerMedDisc!$E$23</definedName>
    <definedName name="StandDos_23">PedBerMedDisc!$E$24</definedName>
    <definedName name="StandDos_24">PedBerMedDisc!$E$25</definedName>
    <definedName name="StandDos_25">PedBerMedDisc!$E$26</definedName>
    <definedName name="StandDos_26">PedBerMedDisc!$E$27</definedName>
    <definedName name="StandDos_27">PedBerMedDisc!$E$28</definedName>
    <definedName name="StandDos_28">PedBerMedDisc!$E$29</definedName>
    <definedName name="StandDos_29">PedBerMedDisc!$E$30</definedName>
    <definedName name="StandDos_3">PedBerMedDisc!$E$4</definedName>
    <definedName name="StandDos_30">PedBerMedDisc!$E$31</definedName>
    <definedName name="StandDos_4">PedBerMedDisc!$E$5</definedName>
    <definedName name="StandDos_5">PedBerMedDisc!$E$6</definedName>
    <definedName name="StandDos_6">PedBerMedDisc!$E$7</definedName>
    <definedName name="StandDos_7">PedBerMedDisc!$E$8</definedName>
    <definedName name="StandDos_8">PedBerMedDisc!$E$9</definedName>
    <definedName name="StandDos_9">PedBerMedDisc!$E$10</definedName>
    <definedName name="StartDatum_1">PedBerMedDisc!$B$2</definedName>
    <definedName name="StartDatum_10">PedBerMedDisc!$B$11</definedName>
    <definedName name="StartDatum_11">PedBerMedDisc!$B$12</definedName>
    <definedName name="StartDatum_12">PedBerMedDisc!$B$13</definedName>
    <definedName name="StartDatum_13">PedBerMedDisc!$B$14</definedName>
    <definedName name="StartDatum_14">PedBerMedDisc!$B$15</definedName>
    <definedName name="StartDatum_15">PedBerMedDisc!$B$16</definedName>
    <definedName name="StartDatum_16">PedBerMedDisc!$B$17</definedName>
    <definedName name="StartDatum_17">PedBerMedDisc!$B$18</definedName>
    <definedName name="StartDatum_18">PedBerMedDisc!$B$19</definedName>
    <definedName name="StartDatum_19">PedBerMedDisc!$B$20</definedName>
    <definedName name="StartDatum_2">PedBerMedDisc!$B$3</definedName>
    <definedName name="StartDatum_20">PedBerMedDisc!$B$21</definedName>
    <definedName name="StartDatum_21">PedBerMedDisc!$B$22</definedName>
    <definedName name="StartDatum_22">PedBerMedDisc!$B$23</definedName>
    <definedName name="StartDatum_23">PedBerMedDisc!$B$24</definedName>
    <definedName name="StartDatum_24">PedBerMedDisc!$B$25</definedName>
    <definedName name="StartDatum_25">PedBerMedDisc!$B$26</definedName>
    <definedName name="StartDatum_26">PedBerMedDisc!$B$27</definedName>
    <definedName name="StartDatum_27">PedBerMedDisc!$B$28</definedName>
    <definedName name="StartDatum_28">PedBerMedDisc!$B$29</definedName>
    <definedName name="StartDatum_29">PedBerMedDisc!$B$30</definedName>
    <definedName name="StartDatum_3">PedBerMedDisc!$B$4</definedName>
    <definedName name="StartDatum_30">PedBerMedDisc!$B$31</definedName>
    <definedName name="StartDatum_4">PedBerMedDisc!$B$5</definedName>
    <definedName name="StartDatum_5">PedBerMedDisc!$B$6</definedName>
    <definedName name="StartDatum_6">PedBerMedDisc!$B$7</definedName>
    <definedName name="StartDatum_7">PedBerMedDisc!$B$8</definedName>
    <definedName name="StartDatum_8">PedBerMedDisc!$B$9</definedName>
    <definedName name="StartDatum_9">PedBerMedDisc!$B$10</definedName>
    <definedName name="TabelAcuteTubeMaatKgNeo">NeoGuiAcuut!$L$22:$N$24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TotaalVocht">PedBerMedDisc!$P$33</definedName>
    <definedName name="TPN">PedBerTPN!$B$4</definedName>
    <definedName name="tpnB">PedBerTPN!$A$29:$I$29</definedName>
    <definedName name="tpnC">PedBerTPN!$A$30:$I$30</definedName>
    <definedName name="tpnD">PedBerTPN!$A$31:$I$31</definedName>
    <definedName name="tpnE">PedBerTPN!$A$32:$I$32</definedName>
    <definedName name="TpnNICU">NeoTblLijst!$M$25:$V$26</definedName>
    <definedName name="tpnNutriflex">PedBerTPN!$A$33:$I$33</definedName>
    <definedName name="tpnSelected">PedBerTPN!$A$28:$I$28</definedName>
    <definedName name="TPNVol">PedBerTPN!$E$4</definedName>
    <definedName name="VitIntra">PedBerTPN!$C$14</definedName>
    <definedName name="VitIntraVol">PedBerTPN!$E$14</definedName>
    <definedName name="VolPO_1">PedBerEnt!$K$2</definedName>
    <definedName name="VolPO_2">PedBerEnt!$K$3</definedName>
    <definedName name="VolPO_3">PedBerEnt!$K$4</definedName>
    <definedName name="VolPO_4">PedBerEnt!$K$5</definedName>
    <definedName name="Z_33CCADFA_0D48_46A6_8927_2B2144029216_.wvu.FilterData" localSheetId="5" hidden="1">GlobTemp!$A$2:$B$437</definedName>
    <definedName name="Z_33CCADFA_0D48_46A6_8927_2B2144029216_.wvu.FilterData" localSheetId="8" hidden="1">PatData!$A$1:$Q$577</definedName>
    <definedName name="Z_33CCADFA_0D48_46A6_8927_2B2144029216_.wvu.PrintArea" localSheetId="58" hidden="1">NeoGuiAcuut!$B$2:$G$31</definedName>
    <definedName name="Z_33CCADFA_0D48_46A6_8927_2B2144029216_.wvu.PrintArea" localSheetId="52" hidden="1">NeoPrtMedDisc!$B$1:$AG$22</definedName>
    <definedName name="Z_33CCADFA_0D48_46A6_8927_2B2144029216_.wvu.PrintArea" localSheetId="29" hidden="1">PedGuiAcuut!$B$2:$G$44</definedName>
    <definedName name="Z_33CCADFA_0D48_46A6_8927_2B2144029216_.wvu.PrintArea" localSheetId="32" hidden="1">PedPrtAfspr!$A$2:$J$127</definedName>
    <definedName name="Z_33CCADFA_0D48_46A6_8927_2B2144029216_.wvu.PrintArea" localSheetId="33" hidden="1">PedPrtMedDisc!$B$1:$AG$22</definedName>
    <definedName name="Z_33CCADFA_0D48_46A6_8927_2B2144029216_.wvu.PrintArea" localSheetId="37" hidden="1">PedPrtTPN16tot30!$A$1:$H$48</definedName>
    <definedName name="Z_33CCADFA_0D48_46A6_8927_2B2144029216_.wvu.PrintArea" localSheetId="35" hidden="1">PedPrtTPN2tot6!$A$1:$H$48</definedName>
    <definedName name="Z_33CCADFA_0D48_46A6_8927_2B2144029216_.wvu.PrintArea" localSheetId="39" hidden="1">PedPrtTPN50!$A$1:$H$52</definedName>
    <definedName name="Z_33CCADFA_0D48_46A6_8927_2B2144029216_.wvu.PrintArea" localSheetId="36" hidden="1">PedPrtTPN7tot15!$A$1:$H$50</definedName>
    <definedName name="Z_33CCADFA_0D48_46A6_8927_2B2144029216_.wvu.PrintArea" localSheetId="38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45" l="1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<sst xmlns="http://schemas.openxmlformats.org/spreadsheetml/2006/main" count="4670" uniqueCount="2667">
  <si>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</si>
  <si>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</si>
  <si>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</si>
  <si>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</si>
  <si>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</si>
  <si>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</si>
  <si>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</si>
  <si>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</si>
  <si>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</si>
  <si>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</si>
  <si>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</si>
  <si>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</si>
  <si>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</si>
  <si>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</si>
  <si>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</si>
  <si>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</si>
  <si>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</si>
  <si>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</si>
  <si>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</si>
  <si>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</si>
  <si>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</si>
  <si>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</si>
  <si>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</si>
  <si>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</si>
  <si>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</si>
  <si>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</si>
  <si>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</si>
  <si>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</si>
  <si>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</si>
  <si>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</si>
  <si>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</si>
  <si>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</si>
  <si>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</si>
  <si>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</si>
  <si>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</si>
  <si>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</si>
  <si>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</si>
  <si>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</si>
  <si>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</si>
  <si>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</si>
  <si>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</si>
  <si>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</si>
  <si>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</si>
  <si>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</si>
  <si>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</si>
  <si>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</si>
  <si>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</si>
  <si>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</si>
  <si>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</si>
  <si>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</si>
  <si>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</si>
  <si>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</si>
  <si>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</si>
  <si>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</si>
  <si>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</si>
  <si>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</si>
  <si>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</si>
  <si>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</si>
  <si>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</si>
  <si>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</si>
  <si>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</si>
  <si>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</si>
  <si>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</si>
  <si>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</si>
  <si>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</si>
  <si>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</si>
  <si>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</si>
  <si>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</si>
  <si>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</si>
  <si>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</si>
  <si>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</si>
  <si>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</si>
  <si>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</si>
  <si>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</si>
  <si>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</si>
  <si>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</si>
  <si>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</si>
  <si>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</si>
  <si>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</si>
  <si>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</si>
  <si>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</si>
  <si>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</si>
  <si>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</si>
  <si>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</si>
  <si>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</si>
  <si>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</si>
  <si>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</si>
  <si>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</si>
  <si>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</si>
  <si>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</si>
  <si>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</si>
  <si>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</si>
  <si>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</si>
  <si>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</si>
  <si>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</si>
  <si>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</si>
  <si>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</si>
  <si>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</si>
  <si>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</si>
  <si>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</si>
  <si>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</si>
  <si>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</si>
  <si>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</si>
  <si>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</si>
  <si>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</si>
  <si>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</si>
  <si>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</si>
  <si>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</si>
  <si>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</si>
  <si>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</si>
  <si>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</si>
  <si>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</si>
  <si>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</si>
  <si>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</si>
  <si>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</si>
  <si>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</si>
  <si>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</si>
  <si>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</si>
  <si>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</si>
  <si>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</si>
  <si>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</si>
  <si>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</si>
  <si>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</si>
  <si>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</si>
  <si>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</si>
  <si>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</si>
  <si>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</si>
  <si>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</si>
  <si>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</si>
  <si>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</si>
  <si>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</si>
  <si>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</si>
  <si>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</si>
  <si>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</si>
  <si>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</si>
  <si>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</si>
  <si>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</si>
  <si>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</si>
  <si>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</si>
  <si>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</si>
  <si>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</si>
  <si>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</si>
  <si>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</si>
  <si>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</si>
  <si>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</si>
  <si>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</si>
  <si>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</si>
  <si>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</si>
  <si>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</si>
  <si>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</si>
  <si>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</si>
  <si>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</si>
  <si>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</si>
  <si>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</si>
  <si>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</si>
  <si>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</si>
  <si>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</si>
  <si>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</si>
  <si>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</si>
  <si>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</si>
  <si>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</si>
  <si>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</si>
  <si>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</si>
  <si>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</si>
  <si>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</si>
  <si>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</si>
  <si>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</si>
  <si>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</si>
  <si>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</si>
  <si>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</si>
  <si>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</si>
  <si>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</si>
  <si>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</si>
  <si>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</si>
  <si>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</si>
  <si>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</si>
  <si>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</si>
  <si>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</si>
  <si>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</si>
  <si>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</si>
  <si>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</si>
  <si>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</si>
  <si>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</si>
  <si>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</si>
  <si>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</si>
  <si>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</si>
  <si>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</si>
  <si>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</si>
  <si>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</si>
  <si>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</si>
  <si>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</si>
  <si>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</si>
  <si>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</si>
  <si>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</si>
  <si>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</si>
  <si>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</si>
  <si>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</si>
  <si>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</si>
  <si>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</si>
  <si>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</si>
  <si>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</si>
  <si>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</si>
  <si>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</si>
  <si>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</si>
  <si>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</si>
  <si>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</si>
  <si>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</si>
  <si>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</si>
  <si>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</si>
  <si>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</si>
  <si>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</si>
  <si>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</si>
  <si>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</si>
  <si>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</si>
  <si>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</si>
  <si>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</si>
  <si>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</si>
  <si>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</si>
  <si>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</si>
  <si>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</si>
  <si>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</si>
  <si>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</si>
  <si>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</si>
  <si>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</si>
  <si>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</si>
  <si>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</si>
  <si>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</si>
  <si>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</si>
  <si>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</si>
  <si>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</si>
  <si>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</si>
  <si>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</si>
  <si>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</si>
  <si>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</si>
  <si>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</si>
  <si>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</si>
  <si>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</si>
  <si>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</si>
  <si>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</si>
  <si>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</si>
  <si>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</si>
  <si>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</si>
  <si>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</si>
  <si>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</si>
  <si>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</si>
  <si>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</si>
  <si>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</si>
  <si>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</si>
  <si>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</si>
  <si>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</si>
  <si>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</si>
  <si>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</si>
  <si>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</si>
  <si>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</si>
  <si>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</si>
  <si>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</si>
  <si>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</si>
  <si>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</si>
  <si>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</si>
  <si>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</si>
  <si>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</si>
  <si>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</si>
  <si>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</si>
  <si>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</si>
  <si>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</si>
  <si>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</si>
  <si>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</si>
  <si>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</si>
  <si>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</si>
  <si>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</si>
  <si>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</si>
  <si>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</si>
  <si>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</si>
  <si>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</si>
  <si>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</si>
  <si>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</si>
  <si>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</si>
  <si>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</si>
  <si>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</si>
  <si>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</si>
  <si>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</si>
  <si>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</si>
  <si>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</si>
  <si>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</si>
  <si>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</si>
  <si>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</si>
  <si>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</si>
  <si>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</si>
  <si>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</si>
  <si>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</si>
  <si>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</si>
  <si>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</si>
  <si>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</si>
  <si>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</si>
  <si>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</si>
  <si>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</si>
  <si>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</si>
  <si>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</si>
  <si>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</si>
  <si>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</si>
  <si>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</si>
  <si>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</si>
  <si>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</si>
  <si>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</si>
  <si>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</si>
  <si>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</si>
  <si>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</si>
  <si>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</si>
  <si>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</si>
  <si>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</si>
  <si>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</si>
  <si>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</si>
  <si>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</si>
  <si>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</si>
  <si>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</si>
  <si>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</si>
  <si>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</si>
  <si>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</si>
  <si>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</si>
  <si>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</si>
  <si>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</si>
  <si>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</si>
  <si>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</si>
  <si>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</si>
  <si>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</si>
  <si>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</si>
  <si>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</si>
  <si>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</si>
  <si>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</si>
  <si>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</si>
  <si>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</si>
  <si>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</si>
  <si>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</si>
  <si>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</si>
  <si>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</si>
  <si>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</si>
  <si>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</si>
  <si>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</si>
  <si>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</si>
  <si>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</si>
  <si>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</si>
  <si>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</si>
  <si>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</si>
  <si>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</si>
  <si>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</si>
  <si>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</si>
  <si>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</si>
  <si>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</si>
  <si>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</si>
  <si>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</si>
  <si>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</si>
  <si>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</si>
  <si>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</si>
  <si>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</si>
  <si>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</si>
  <si>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</si>
  <si>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</si>
  <si>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</si>
  <si>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</si>
  <si>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</si>
  <si>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</si>
  <si>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</si>
  <si>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</si>
  <si>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</si>
  <si>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</si>
  <si>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</si>
  <si>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</si>
  <si>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</si>
  <si>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</si>
  <si>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</si>
  <si>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</si>
  <si>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</si>
  <si>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</si>
  <si>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</si>
  <si>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</si>
  <si>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</si>
  <si>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</si>
  <si>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</si>
  <si>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</si>
  <si>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</si>
  <si>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</si>
  <si>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</si>
  <si>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</si>
  <si>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</si>
  <si>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</si>
  <si>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</si>
  <si>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</si>
  <si>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</si>
  <si>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</si>
  <si>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</si>
  <si>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</si>
  <si>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</si>
  <si>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</si>
  <si>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</si>
  <si>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</si>
  <si>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</si>
  <si>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</si>
  <si>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</si>
  <si>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</si>
  <si>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</si>
  <si>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</si>
  <si>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</si>
  <si>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</si>
  <si>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</si>
  <si>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</si>
  <si>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</si>
  <si>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</si>
  <si>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</si>
  <si>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</si>
  <si>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</si>
  <si>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</si>
  <si>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</si>
  <si>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</si>
  <si>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</si>
  <si>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</si>
  <si>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</si>
  <si>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</si>
  <si>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</si>
  <si>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</si>
  <si>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</si>
  <si>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</si>
  <si>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</si>
  <si>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</si>
  <si>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</si>
  <si>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</si>
  <si>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</si>
  <si>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</si>
  <si>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</si>
  <si>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</si>
  <si>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</si>
  <si>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</si>
  <si>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</si>
  <si>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</si>
  <si>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</si>
  <si>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</si>
  <si>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</si>
  <si>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</si>
  <si>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</si>
  <si>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</si>
  <si>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</si>
  <si>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</si>
  <si>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</si>
  <si>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</si>
  <si>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</si>
  <si>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</si>
  <si>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</si>
  <si>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</si>
  <si>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</si>
  <si>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</si>
  <si>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</si>
  <si>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</si>
  <si>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</si>
  <si>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</si>
  <si>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</si>
  <si>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</si>
  <si>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</si>
  <si>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</si>
  <si>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</si>
  <si>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</si>
  <si>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</si>
  <si>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</si>
  <si>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</si>
  <si>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</si>
  <si>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</si>
  <si>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</si>
  <si>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</si>
  <si>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</si>
  <si>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</si>
  <si>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</si>
  <si>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</si>
  <si>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</si>
  <si>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</si>
  <si>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</si>
  <si>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</si>
  <si>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</si>
  <si>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</si>
  <si>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</si>
  <si>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</si>
  <si>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</si>
  <si>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</si>
  <si>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</si>
  <si>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</si>
  <si>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</si>
  <si>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</si>
  <si>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</si>
  <si>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</si>
  <si>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</si>
  <si>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</si>
  <si>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</si>
  <si>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</si>
  <si>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</si>
  <si>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</si>
  <si>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</si>
  <si>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</si>
  <si>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</si>
  <si>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</si>
  <si>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</si>
  <si>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</si>
  <si>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</si>
  <si>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</si>
  <si>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</si>
  <si>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</si>
  <si>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</si>
  <si>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</si>
  <si>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</si>
  <si>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</si>
  <si>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</si>
  <si>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</si>
  <si>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</si>
  <si>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</si>
  <si>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</si>
  <si>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</si>
  <si>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</si>
  <si>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</si>
  <si>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</si>
  <si>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</si>
  <si>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</si>
  <si>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</si>
  <si>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</si>
  <si>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</si>
  <si>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</si>
  <si>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</si>
  <si>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</si>
  <si>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</si>
  <si>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</si>
  <si>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</si>
  <si>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</si>
  <si>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</si>
  <si>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</si>
  <si>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</si>
  <si>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</si>
  <si>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</si>
  <si>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</si>
  <si>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</si>
  <si>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</si>
  <si>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</si>
  <si>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</si>
  <si>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</si>
  <si>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</si>
  <si>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</si>
  <si>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</si>
  <si>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</si>
  <si>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</si>
  <si>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</si>
  <si>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</si>
  <si>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</si>
  <si>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</si>
  <si>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</si>
  <si>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</si>
  <si>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</si>
  <si>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</si>
  <si>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</si>
  <si>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</si>
  <si>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</si>
  <si>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</si>
  <si>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</si>
  <si>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</si>
  <si>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</si>
  <si>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</si>
  <si>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</si>
  <si>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</si>
  <si>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</si>
  <si>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</si>
  <si>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</si>
  <si>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</si>
  <si>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</si>
  <si>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</si>
  <si>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</si>
  <si>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</si>
  <si>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</si>
  <si>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</si>
  <si>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</si>
  <si>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</si>
  <si>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</si>
  <si>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</si>
  <si>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</si>
  <si>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</si>
  <si>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</si>
  <si>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</si>
  <si>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</si>
  <si>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</si>
  <si>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</si>
  <si>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</si>
  <si>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</si>
  <si>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</si>
  <si>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</si>
  <si>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</si>
  <si>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</si>
  <si>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</si>
  <si>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</si>
  <si>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</si>
  <si>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</si>
  <si>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</si>
  <si>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</si>
  <si>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</si>
  <si>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</si>
  <si>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</si>
  <si>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</si>
  <si>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</si>
  <si>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</si>
  <si>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</si>
  <si>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</si>
  <si>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</si>
  <si>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</si>
  <si>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</si>
  <si>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</si>
  <si>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</si>
  <si>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</si>
  <si>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</si>
  <si>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</si>
  <si>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</si>
  <si>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</si>
  <si>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</si>
  <si>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</si>
  <si>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</si>
  <si>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</si>
  <si>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</si>
  <si>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</si>
  <si>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</si>
  <si>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</si>
  <si>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</si>
  <si>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</si>
  <si>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</si>
  <si>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</si>
  <si>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</si>
  <si>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</si>
  <si>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</si>
  <si>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</si>
  <si>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</si>
  <si>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</si>
  <si>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</si>
  <si>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</si>
  <si>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</si>
  <si>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</si>
  <si>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</si>
  <si>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</si>
  <si>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</si>
  <si>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</si>
  <si>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</si>
  <si>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</si>
  <si>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</si>
  <si>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</si>
  <si>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</si>
  <si>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</si>
  <si>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</si>
  <si>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</si>
  <si>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</si>
  <si>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</si>
  <si>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</si>
  <si>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</si>
  <si>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</si>
  <si>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</si>
  <si>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</si>
  <si>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</si>
  <si>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</si>
  <si>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</si>
  <si>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</si>
  <si>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</si>
  <si>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</si>
  <si>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</si>
  <si>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</si>
  <si>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</si>
  <si>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</si>
  <si>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</si>
  <si>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</si>
  <si>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</si>
  <si>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</si>
  <si>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</si>
  <si>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</si>
  <si>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</si>
  <si>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</si>
  <si>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</si>
  <si>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</si>
  <si>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</si>
  <si>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</si>
  <si>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</si>
  <si>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</si>
  <si>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</si>
  <si>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</si>
  <si>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</si>
  <si>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</si>
  <si>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</si>
  <si>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</si>
  <si>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</si>
  <si>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</si>
  <si>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</si>
  <si>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</si>
  <si>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</si>
  <si>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</si>
  <si>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</si>
  <si>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</si>
  <si>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</si>
  <si>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</si>
  <si>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</si>
  <si>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</si>
  <si>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</si>
  <si>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</si>
  <si>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</si>
  <si>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</si>
  <si>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</si>
  <si>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</si>
  <si>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</si>
  <si>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</si>
  <si>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</si>
  <si>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</si>
  <si>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</si>
  <si>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</si>
  <si>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</si>
  <si>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</si>
  <si>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</si>
  <si>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</si>
  <si>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</si>
  <si>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</si>
  <si>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</si>
  <si>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</si>
  <si>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</si>
  <si>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</si>
  <si>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</si>
  <si>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</si>
  <si>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</si>
  <si>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</si>
  <si>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</si>
  <si>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</si>
  <si>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</si>
  <si>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</si>
  <si>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</si>
  <si>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</si>
  <si>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</si>
  <si>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</si>
  <si>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</si>
  <si>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</si>
  <si>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</si>
  <si>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</si>
  <si>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</si>
  <si>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</si>
  <si>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</si>
  <si>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</si>
  <si>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</si>
  <si>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</si>
  <si>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</si>
  <si>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</si>
  <si>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</si>
  <si>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</si>
  <si>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</si>
  <si>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</si>
  <si>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</si>
  <si>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</si>
  <si>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</si>
  <si>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</si>
  <si>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</si>
  <si>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</si>
  <si>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</si>
  <si>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</si>
  <si>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</si>
  <si>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</si>
  <si>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</si>
  <si>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</si>
  <si>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</si>
  <si>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</si>
  <si>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</si>
  <si>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</si>
  <si>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</si>
  <si>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</si>
  <si>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</si>
  <si>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</si>
  <si>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</si>
  <si>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</si>
  <si>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</si>
  <si>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</si>
  <si>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</si>
  <si>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</si>
  <si>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</si>
  <si>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</si>
  <si>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</si>
  <si>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</si>
  <si>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</si>
  <si>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</si>
  <si>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</si>
  <si>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</si>
  <si>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</si>
  <si>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</si>
  <si>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</si>
  <si>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</si>
  <si>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</si>
  <si>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</si>
  <si>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</si>
  <si>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</si>
  <si>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</si>
  <si>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</si>
  <si>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</si>
  <si>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</si>
  <si>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</si>
  <si>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</si>
  <si>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</si>
  <si>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</si>
  <si>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</si>
  <si>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</si>
  <si>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</si>
  <si>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</si>
  <si>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</si>
  <si>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</si>
  <si>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</si>
  <si>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</si>
  <si>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</si>
  <si>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</si>
  <si>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</si>
  <si>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</si>
  <si>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</si>
  <si>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</si>
  <si>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</si>
  <si>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</si>
  <si>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</si>
  <si>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</si>
  <si>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</si>
  <si>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</si>
  <si>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</si>
  <si>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</si>
  <si>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</si>
  <si>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</si>
  <si>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</si>
  <si>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</si>
  <si>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</si>
  <si>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</si>
  <si>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</si>
  <si>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</si>
  <si>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</si>
  <si>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</si>
  <si>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</si>
  <si>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</si>
  <si>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</si>
  <si>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</si>
  <si>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</si>
  <si>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</si>
  <si>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</si>
  <si>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</si>
  <si>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</si>
  <si>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</si>
  <si>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</si>
  <si>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</si>
  <si>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</si>
  <si>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</si>
  <si>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</si>
  <si>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</si>
  <si>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</si>
  <si>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</si>
  <si>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</si>
  <si>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</si>
  <si>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</si>
  <si>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</si>
  <si>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</si>
  <si>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</si>
  <si>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</si>
  <si>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</si>
  <si>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</si>
  <si>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</si>
  <si>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</si>
  <si>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</si>
  <si>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</si>
  <si>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</si>
  <si>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</si>
  <si>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</si>
  <si>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</si>
  <si>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</si>
  <si>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</si>
  <si>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</si>
  <si>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</si>
  <si>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</si>
  <si>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</si>
  <si>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</si>
  <si>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</si>
  <si>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</si>
  <si>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</si>
  <si>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</si>
  <si>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</si>
  <si>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</si>
  <si>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</si>
  <si>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</si>
  <si>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</si>
  <si>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</si>
  <si>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</si>
  <si>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</si>
  <si>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</si>
  <si>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</si>
  <si>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</si>
  <si>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</si>
  <si>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</si>
  <si>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</si>
  <si>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</si>
  <si>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</si>
  <si>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</si>
  <si>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</si>
  <si>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</si>
  <si>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</si>
  <si>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</si>
  <si>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</si>
  <si>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</si>
  <si>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</si>
  <si>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</si>
  <si>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</si>
  <si>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</si>
  <si>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</si>
  <si>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</si>
  <si>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</si>
  <si>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</si>
  <si>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</si>
  <si>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</si>
  <si>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</si>
  <si>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</si>
  <si>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</si>
  <si>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</si>
  <si>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</si>
  <si>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</si>
  <si>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</si>
  <si>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</si>
  <si>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</si>
  <si>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</si>
  <si>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</si>
  <si>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</si>
  <si>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</si>
  <si>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</si>
  <si>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</si>
  <si>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</si>
  <si>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</si>
  <si>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</si>
  <si>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</si>
  <si>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</si>
  <si>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</si>
  <si>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</si>
  <si>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</si>
  <si>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</si>
  <si>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</si>
  <si>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</si>
  <si>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</si>
  <si>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</si>
  <si>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</si>
  <si>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</si>
  <si>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</si>
  <si>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</si>
  <si>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</si>
  <si>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</si>
  <si>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</si>
  <si>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</si>
  <si>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</si>
  <si>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</si>
  <si>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</si>
  <si>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</si>
  <si>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</si>
  <si>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</si>
  <si>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</si>
  <si>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</si>
  <si>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</si>
  <si>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</si>
  <si>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</si>
  <si>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</si>
  <si>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</si>
  <si>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</si>
  <si>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</si>
  <si>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</si>
  <si>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</si>
  <si>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</si>
  <si>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</si>
  <si>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</si>
  <si>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</si>
  <si>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</si>
  <si>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</si>
  <si>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</si>
  <si>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</si>
  <si>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</si>
  <si>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</si>
  <si>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</si>
  <si>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</si>
  <si>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</si>
  <si>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</si>
  <si>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</si>
  <si>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</si>
  <si>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</si>
  <si>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</si>
  <si>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</si>
  <si>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</si>
  <si>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</si>
  <si>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</si>
  <si>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</si>
  <si>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</si>
  <si>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</si>
  <si>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</si>
  <si>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</si>
  <si>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</si>
  <si>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</si>
  <si>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</si>
  <si>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</si>
  <si>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</si>
  <si>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</si>
  <si>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</si>
  <si>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</si>
  <si>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</si>
  <si>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</si>
  <si>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</si>
  <si>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</si>
  <si>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</si>
  <si>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</si>
  <si>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</si>
  <si>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</si>
  <si>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</si>
  <si>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</si>
  <si>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</si>
  <si>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</si>
  <si>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</si>
  <si>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</si>
  <si>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</si>
  <si>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</si>
  <si>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</si>
  <si>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</si>
  <si>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</si>
  <si>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</si>
  <si>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</si>
  <si>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</si>
  <si>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</si>
  <si>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</si>
  <si>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</si>
  <si>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</si>
  <si>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</si>
  <si>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</si>
  <si>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</si>
  <si>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</si>
  <si>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</si>
  <si>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</si>
  <si>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</si>
  <si>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</si>
  <si>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</si>
  <si>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</si>
  <si>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</si>
  <si>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</si>
  <si>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</si>
  <si>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</si>
  <si>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</si>
  <si>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</si>
  <si>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</si>
  <si>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</si>
  <si>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</si>
  <si>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</si>
  <si>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</si>
  <si>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</si>
  <si>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</si>
  <si>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</si>
  <si>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</si>
  <si>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</si>
  <si>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</si>
  <si>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</si>
  <si>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</si>
  <si>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</si>
  <si>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</si>
  <si>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</si>
  <si>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</si>
  <si>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</si>
  <si>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</si>
  <si>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</si>
  <si>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</si>
  <si>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</si>
  <si>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</si>
  <si>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</si>
  <si>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</si>
  <si>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</si>
  <si>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</si>
  <si>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</si>
  <si>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</si>
  <si>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</si>
  <si>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</si>
  <si>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</si>
  <si>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</si>
  <si>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</si>
  <si>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</si>
  <si>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</si>
  <si>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</si>
  <si>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</si>
  <si>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</si>
  <si>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</si>
  <si>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</si>
  <si>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</si>
  <si>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</si>
  <si>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</si>
  <si>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</si>
  <si>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</si>
  <si>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</si>
  <si>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</si>
  <si>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</si>
  <si>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</si>
  <si>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</si>
  <si>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</si>
  <si>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</si>
  <si>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</si>
  <si>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</si>
  <si>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</si>
  <si>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</si>
  <si>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</si>
  <si>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</si>
  <si>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</si>
  <si>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</si>
  <si>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</si>
  <si>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</si>
  <si>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</si>
  <si>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</si>
  <si>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</si>
  <si>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</si>
  <si>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</si>
  <si>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</si>
  <si>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</si>
  <si>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</si>
  <si>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</si>
  <si>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</si>
  <si>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</si>
  <si>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</si>
  <si>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</si>
  <si>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</si>
  <si>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</si>
  <si>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</si>
  <si>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</si>
  <si>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</si>
  <si>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</si>
  <si>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</si>
  <si>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</si>
  <si>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</si>
  <si>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</si>
  <si>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</si>
  <si>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</si>
  <si>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</si>
  <si>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</si>
  <si>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</si>
  <si>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</si>
  <si>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</si>
  <si>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</si>
  <si>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</si>
  <si>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</si>
  <si>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</si>
  <si>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</si>
  <si>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</si>
  <si>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</si>
  <si>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</si>
  <si>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</si>
  <si>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</si>
  <si>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</si>
  <si>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</si>
  <si>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</si>
  <si>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</si>
  <si>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</si>
  <si>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</si>
  <si>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</si>
  <si>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</si>
  <si>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</si>
  <si>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</si>
  <si>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</si>
  <si>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</si>
  <si>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</si>
  <si>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</si>
  <si>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</si>
  <si>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</si>
  <si>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</si>
  <si>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</si>
  <si>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</si>
  <si>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</si>
  <si>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</si>
  <si>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</si>
  <si>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</si>
  <si>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</si>
  <si>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</si>
  <si>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</si>
  <si>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</si>
  <si>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</si>
  <si>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</si>
  <si>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</si>
  <si>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</si>
  <si>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</si>
  <si>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</si>
  <si>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</si>
  <si>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</si>
  <si>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</si>
  <si>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</si>
  <si>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</si>
  <si>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</si>
  <si>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</si>
  <si>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</si>
  <si>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</si>
  <si>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</si>
  <si>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</si>
  <si>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</si>
  <si>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</si>
  <si>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</si>
  <si>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</si>
  <si>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</si>
  <si>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</si>
  <si>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</si>
  <si>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</si>
  <si>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</si>
  <si>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</si>
  <si>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</si>
  <si>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</si>
  <si>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</si>
  <si>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</si>
  <si>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</si>
  <si>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</si>
  <si>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</si>
  <si>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</si>
  <si>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</si>
  <si>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</si>
  <si>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</si>
  <si>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</si>
  <si>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</si>
  <si>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</si>
  <si>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</si>
  <si>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</si>
  <si>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</si>
  <si>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</si>
  <si>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</si>
  <si>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</si>
  <si>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</si>
  <si>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</si>
  <si>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</si>
  <si>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</si>
  <si>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</si>
  <si>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</si>
  <si>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</si>
  <si>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</si>
  <si>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</si>
  <si>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</si>
  <si>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</si>
  <si>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</si>
  <si>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</si>
  <si>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</si>
  <si>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</si>
  <si>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</si>
  <si>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</si>
  <si>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</si>
  <si>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</si>
  <si>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</si>
  <si>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</si>
  <si>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</si>
  <si>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</si>
  <si>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</si>
  <si>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</si>
  <si>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</si>
  <si>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</si>
  <si>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</si>
  <si>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</si>
  <si>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</si>
  <si>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</si>
  <si>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</si>
  <si>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</si>
  <si>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</si>
  <si>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</si>
  <si>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</si>
  <si>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</si>
  <si>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</si>
  <si>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</si>
  <si>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</si>
  <si>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</si>
  <si>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</si>
  <si>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</si>
  <si>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</si>
  <si>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</si>
  <si>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</si>
  <si>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</si>
  <si>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</si>
  <si>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</si>
  <si>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</si>
  <si>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</si>
  <si>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</si>
  <si>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</si>
  <si>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</si>
  <si>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</si>
  <si>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</si>
  <si>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</si>
  <si>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</si>
  <si>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</si>
  <si>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</si>
  <si>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</si>
  <si>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</si>
  <si>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</si>
  <si>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</si>
  <si>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</si>
  <si>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</si>
  <si>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</si>
  <si>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</si>
  <si>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</si>
  <si>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</si>
  <si>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</si>
  <si>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</si>
  <si>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</si>
  <si>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</si>
  <si>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</si>
  <si>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</si>
  <si>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</si>
  <si>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</si>
  <si>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</si>
  <si>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</si>
  <si>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</si>
  <si>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</si>
  <si>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</si>
  <si>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</si>
  <si>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</si>
  <si>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</si>
  <si>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</si>
  <si>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</si>
  <si>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</si>
  <si>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</si>
  <si>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</si>
  <si>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</si>
  <si>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</si>
  <si>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</si>
  <si>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</si>
  <si>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</si>
  <si>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</si>
  <si>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</si>
  <si>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</si>
  <si>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</si>
  <si>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</si>
  <si>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</si>
  <si>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</si>
  <si>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</si>
  <si>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</si>
  <si>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</si>
  <si>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</si>
  <si>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</si>
  <si>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</si>
  <si>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</si>
  <si>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</si>
  <si>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</si>
  <si>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</si>
  <si>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</si>
  <si>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</si>
  <si>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</si>
  <si>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</si>
  <si>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</si>
  <si>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</si>
  <si>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</si>
  <si>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</si>
  <si>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</si>
  <si>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</si>
  <si>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</si>
  <si>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</si>
  <si>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</si>
  <si>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</si>
  <si>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</si>
  <si>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</si>
  <si>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</si>
  <si>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</si>
  <si>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</si>
  <si>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</si>
  <si>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</si>
  <si>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</si>
  <si>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</si>
  <si>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</si>
  <si>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</si>
  <si>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</si>
  <si>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</si>
  <si>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</si>
  <si>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</si>
  <si>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</si>
  <si>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</si>
  <si>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</si>
  <si>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</si>
  <si>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</si>
  <si>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</si>
  <si>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</si>
  <si>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</si>
  <si>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</si>
  <si>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</si>
  <si>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</si>
  <si>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</si>
  <si>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</si>
  <si>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</si>
  <si>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</si>
  <si>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</si>
  <si>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</si>
  <si>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</si>
  <si>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</si>
  <si>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</si>
  <si>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</si>
  <si>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</si>
  <si>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</si>
  <si>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</si>
  <si>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</si>
  <si>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</si>
  <si>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</si>
  <si>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</si>
  <si>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</si>
  <si>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</si>
  <si>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</si>
  <si>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</si>
  <si>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</si>
  <si>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</si>
  <si>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</si>
  <si>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</si>
  <si>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</si>
  <si>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</si>
  <si>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</si>
  <si>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</si>
  <si>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</si>
  <si>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</si>
  <si>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</si>
  <si>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</si>
  <si>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</si>
  <si>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</si>
  <si>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</si>
  <si>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</si>
  <si>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</si>
  <si>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</si>
  <si>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</si>
  <si>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</si>
  <si>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</si>
  <si>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</si>
  <si>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</si>
  <si>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</si>
  <si>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</si>
  <si>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</si>
  <si>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</si>
  <si>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</si>
  <si>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</si>
  <si>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</si>
  <si>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</si>
  <si>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</si>
  <si>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</si>
  <si>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</si>
  <si>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</si>
  <si>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</si>
  <si>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</si>
  <si>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</si>
  <si>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</si>
  <si>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</si>
  <si>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</si>
  <si>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</si>
  <si>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</si>
  <si>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</si>
  <si>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</si>
  <si>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</si>
  <si>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</si>
  <si>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</si>
  <si>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</si>
  <si>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</si>
  <si>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</si>
  <si>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</si>
  <si>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</si>
  <si>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</si>
  <si>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</si>
  <si>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</si>
  <si>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</si>
  <si>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</si>
  <si>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</si>
  <si>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</si>
  <si>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</si>
  <si>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</si>
  <si>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</si>
  <si>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</si>
  <si>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</si>
  <si>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</si>
  <si>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</si>
  <si>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</si>
  <si>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</si>
  <si>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</si>
  <si>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</si>
  <si>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</si>
  <si>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</si>
  <si>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</si>
  <si>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</si>
  <si>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</si>
  <si>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</si>
  <si>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</si>
  <si>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</si>
  <si>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</si>
  <si>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</si>
  <si>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</si>
  <si>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</si>
  <si>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</si>
  <si>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</si>
  <si>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</si>
  <si>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</si>
  <si>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</si>
  <si>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</si>
  <si>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</si>
  <si>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</si>
  <si>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</si>
  <si>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</si>
  <si>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</si>
  <si>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</si>
  <si>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</si>
  <si>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</si>
  <si>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</si>
  <si>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</si>
  <si>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</si>
  <si>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</si>
  <si>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</si>
  <si>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</si>
  <si>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</si>
  <si>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</si>
  <si>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</si>
  <si>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</si>
  <si>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</si>
  <si>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</si>
  <si>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</si>
  <si>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</si>
  <si>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</si>
  <si>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</si>
  <si>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</si>
  <si>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</si>
  <si>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</si>
  <si>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</si>
  <si>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</si>
  <si>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</si>
  <si>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</si>
  <si>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</si>
  <si>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</si>
  <si>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</si>
  <si>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</si>
  <si>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</si>
  <si>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</si>
  <si>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</si>
  <si>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</si>
  <si>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</si>
  <si>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</si>
  <si>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</si>
  <si>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</si>
  <si>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</si>
  <si>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</si>
  <si>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</si>
  <si>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</si>
  <si>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</si>
  <si>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</si>
  <si>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</si>
  <si>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</si>
  <si>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</si>
  <si>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</si>
  <si>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</si>
  <si>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</si>
  <si>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</si>
  <si>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</si>
  <si>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</si>
  <si>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</si>
  <si>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</si>
  <si>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</si>
  <si>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</si>
  <si>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</si>
  <si>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</si>
  <si>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</si>
  <si>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</si>
  <si>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</si>
  <si>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</si>
  <si>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</si>
  <si>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</si>
  <si>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</si>
  <si>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</si>
  <si>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</si>
  <si>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</si>
  <si>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</si>
  <si>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</si>
  <si>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</si>
  <si>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</si>
  <si>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</si>
  <si>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</si>
  <si>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</si>
  <si>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</si>
  <si>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</si>
  <si>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</si>
  <si>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</si>
  <si>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</si>
  <si>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</si>
  <si>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</si>
  <si>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</si>
  <si>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</si>
  <si>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</si>
  <si>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</si>
  <si>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</si>
  <si>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</si>
  <si>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</si>
  <si>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</si>
  <si>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</si>
  <si>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</si>
  <si>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</si>
  <si>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</si>
  <si>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</si>
  <si>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</si>
  <si>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</si>
  <si>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</si>
  <si>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</si>
  <si>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</si>
  <si>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</si>
  <si>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</si>
  <si>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</si>
  <si>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</si>
  <si>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</si>
  <si>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</si>
  <si>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</si>
  <si>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</si>
  <si>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</si>
  <si>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</si>
  <si>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</si>
  <si>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</si>
  <si>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</si>
  <si>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</si>
  <si>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</si>
  <si>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</si>
  <si>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</si>
  <si>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</si>
  <si>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</si>
  <si>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</si>
  <si>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</si>
  <si>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</si>
  <si>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</si>
  <si>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</si>
  <si>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</si>
  <si>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</si>
  <si>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</si>
  <si>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</si>
  <si>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</si>
  <si>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</si>
  <si>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</si>
  <si>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</si>
  <si>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</si>
  <si>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</si>
  <si>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</si>
  <si>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</si>
  <si>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</si>
  <si>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</si>
  <si>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</si>
  <si>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</si>
  <si>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</si>
  <si>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</si>
  <si>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</si>
  <si>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</si>
  <si>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</si>
  <si>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</si>
  <si>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</si>
  <si>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</si>
  <si>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</si>
  <si>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</si>
  <si>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</si>
  <si>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</si>
  <si>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</si>
  <si>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</si>
  <si>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</si>
  <si>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</si>
  <si>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</si>
  <si>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</si>
  <si>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</si>
  <si>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</si>
  <si>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</si>
  <si>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</si>
  <si>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</si>
  <si>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</si>
  <si>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</si>
  <si>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</si>
  <si>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</si>
  <si>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</si>
  <si>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</si>
  <si>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</si>
  <si>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</si>
  <si>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</si>
  <si>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</si>
  <si>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</si>
  <si>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</si>
  <si>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</si>
  <si>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</si>
  <si>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</si>
  <si>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</si>
  <si>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</si>
  <si>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</si>
  <si>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</si>
  <si>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</si>
  <si>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</si>
  <si>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</si>
  <si>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</si>
  <si>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</si>
  <si>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</si>
  <si>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</si>
  <si>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</si>
  <si>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</si>
  <si>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</si>
  <si>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</si>
  <si>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</si>
  <si>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</si>
  <si>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</si>
  <si>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</si>
  <si>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</si>
  <si>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</si>
  <si>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</si>
  <si>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</si>
  <si>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</si>
  <si>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</si>
  <si>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</si>
  <si>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</si>
  <si>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</si>
  <si>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</si>
  <si>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</si>
  <si>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</si>
  <si>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</si>
  <si>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</si>
  <si>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</si>
  <si>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</si>
  <si>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</si>
  <si>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</si>
  <si>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</si>
  <si>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</si>
  <si>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</si>
  <si>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</si>
  <si>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</si>
  <si>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</si>
  <si>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</si>
  <si>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</si>
  <si>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</si>
  <si>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</si>
  <si>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</si>
  <si>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</si>
  <si>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</si>
  <si>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</si>
  <si>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</si>
  <si>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</si>
  <si>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</si>
  <si>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</si>
  <si>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</si>
  <si>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</si>
  <si>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</si>
  <si>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</si>
  <si>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</si>
  <si>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</si>
  <si>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</si>
  <si>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</si>
  <si>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</si>
  <si>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</si>
  <si>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</si>
  <si>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</si>
  <si>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</si>
  <si>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</si>
  <si>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</si>
  <si>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</si>
  <si>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</si>
  <si>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</si>
  <si>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</si>
  <si>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</si>
  <si>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</si>
  <si>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</si>
  <si>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</si>
  <si>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</si>
  <si>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</si>
  <si>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</si>
  <si>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</si>
  <si>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</si>
  <si>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</si>
  <si>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</si>
  <si>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</si>
  <si>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</si>
  <si>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</si>
  <si>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</si>
  <si>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</si>
  <si>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</si>
  <si>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</si>
  <si>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</si>
  <si>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</si>
  <si>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</si>
  <si>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</si>
  <si>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</si>
  <si>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</si>
  <si>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</si>
  <si>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</si>
  <si>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</si>
  <si>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</si>
  <si>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</si>
  <si>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</si>
  <si>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</si>
  <si>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</si>
  <si>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</si>
  <si>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</si>
  <si>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</si>
  <si>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</si>
  <si>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</si>
  <si>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</si>
  <si>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</si>
  <si>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</si>
  <si>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</si>
  <si>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</si>
  <si>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</si>
  <si>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</si>
  <si>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</si>
  <si>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</si>
  <si>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</si>
  <si>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</si>
  <si>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</si>
  <si>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</si>
  <si>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</si>
  <si>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</si>
  <si>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</si>
  <si>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</si>
  <si>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</si>
  <si>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</si>
  <si>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</si>
  <si>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</si>
  <si>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</si>
  <si>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</si>
  <si>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</si>
  <si>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</si>
  <si>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</si>
  <si>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</si>
  <si>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</si>
  <si>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</si>
  <si>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</si>
  <si>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</si>
  <si>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</si>
  <si>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</si>
  <si>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</si>
  <si>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</si>
  <si>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</si>
  <si>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</si>
  <si>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</si>
  <si>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</si>
  <si>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</si>
  <si>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</si>
  <si>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</si>
  <si>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</si>
  <si>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</si>
  <si>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</si>
  <si>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</si>
  <si>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</si>
  <si>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</si>
  <si>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</si>
  <si>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</si>
  <si>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</si>
  <si>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</si>
  <si>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</si>
  <si>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</si>
  <si>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</si>
  <si>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</si>
  <si>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</si>
  <si>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</si>
  <si>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</si>
  <si>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</si>
  <si>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</si>
  <si>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</si>
  <si>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</si>
  <si>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</si>
  <si>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</si>
  <si>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</si>
  <si>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</si>
  <si>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</si>
  <si>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</si>
  <si>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</si>
  <si>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</si>
  <si>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</si>
  <si>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</si>
  <si>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</si>
  <si>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</si>
  <si>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</si>
  <si>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</si>
  <si>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</si>
  <si>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</si>
  <si>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</si>
  <si>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</si>
  <si>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</si>
  <si>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</si>
  <si>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</si>
  <si>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</si>
  <si>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</si>
  <si>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</si>
  <si>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</si>
  <si>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</si>
  <si>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</si>
  <si>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</si>
  <si>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</si>
  <si>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</si>
  <si>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</si>
  <si>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</si>
  <si>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</si>
  <si>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</si>
  <si>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</si>
  <si>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</si>
  <si>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</si>
  <si>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</si>
  <si>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</si>
  <si>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</si>
  <si>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</si>
  <si>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</si>
  <si>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</si>
  <si>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</si>
  <si>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</si>
  <si>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</si>
  <si>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</si>
  <si>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</si>
  <si>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</si>
  <si>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</si>
  <si>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</si>
  <si>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</si>
  <si>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</si>
  <si>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</si>
  <si>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</si>
  <si>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</si>
  <si>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</si>
  <si>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</si>
  <si>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</si>
  <si>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</si>
  <si>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</si>
  <si>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</si>
  <si>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</si>
  <si>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</si>
  <si>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</si>
  <si>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</si>
  <si>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</si>
  <si>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</si>
  <si>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</si>
  <si>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</si>
  <si>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</si>
  <si>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</si>
  <si>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</si>
  <si>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</si>
  <si>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</si>
  <si>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</si>
  <si>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</si>
  <si>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</si>
  <si>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</si>
  <si>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</si>
  <si>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</si>
  <si>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</si>
  <si>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</si>
  <si>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</si>
  <si>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</si>
  <si>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</si>
  <si>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</si>
  <si>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</si>
  <si>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</si>
  <si>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</si>
  <si>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</si>
  <si>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</si>
  <si>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</si>
  <si>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</si>
  <si>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</si>
  <si>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</si>
  <si>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</si>
  <si>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</si>
  <si>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</si>
  <si>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</si>
  <si>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</si>
  <si>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</si>
  <si>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</si>
  <si>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</si>
  <si>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</si>
  <si>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</si>
  <si>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</si>
  <si>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</si>
  <si>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</si>
  <si>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</si>
  <si>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</si>
  <si>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</si>
  <si>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</si>
  <si>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</si>
  <si>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</si>
  <si>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</si>
  <si>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</si>
  <si>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</si>
  <si>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</si>
  <si>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</si>
  <si>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</si>
  <si>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</si>
  <si>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</si>
  <si>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</si>
  <si>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</si>
  <si>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</si>
  <si>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</si>
  <si>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</si>
  <si>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</si>
  <si>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</si>
  <si>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</si>
  <si>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</si>
  <si>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</si>
  <si>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</si>
  <si>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</si>
  <si>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</si>
  <si>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</si>
  <si>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</si>
  <si>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</si>
  <si>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</si>
  <si>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</si>
  <si>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</si>
  <si>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</si>
  <si>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</si>
  <si>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</si>
  <si>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</si>
  <si>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</si>
  <si>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</si>
  <si>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</si>
  <si>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</si>
  <si>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</si>
  <si>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</si>
  <si>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</si>
  <si>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</si>
  <si>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</si>
  <si>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</si>
  <si>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</si>
  <si>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</si>
  <si>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</si>
  <si>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</si>
  <si>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</si>
  <si>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</si>
  <si>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</si>
  <si>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</si>
  <si>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</si>
  <si>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</si>
  <si>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</si>
  <si>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</si>
  <si>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</si>
  <si>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</si>
  <si>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</si>
  <si>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</si>
  <si>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</si>
  <si>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</si>
  <si>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</si>
  <si>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</si>
  <si>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</si>
  <si>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</si>
  <si>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</si>
  <si>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</si>
  <si>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</si>
  <si>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</si>
  <si>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</si>
  <si>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</si>
  <si>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</si>
  <si>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</si>
  <si>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</si>
  <si>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</si>
  <si>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</si>
  <si>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</si>
  <si>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</si>
  <si>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</si>
  <si>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</si>
  <si>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</si>
  <si>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</si>
  <si>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</si>
  <si>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</si>
  <si>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</si>
  <si>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</si>
  <si>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</si>
  <si>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</si>
  <si>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</si>
  <si>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</si>
  <si>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</si>
  <si>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</si>
  <si>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</si>
  <si>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</si>
  <si>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</si>
  <si>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</si>
  <si>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</si>
  <si>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</si>
  <si>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</si>
  <si>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</si>
  <si>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</si>
  <si>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</si>
  <si>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</si>
  <si>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</si>
  <si>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</si>
  <si>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</si>
  <si>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</si>
  <si>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</si>
  <si>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</si>
  <si>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</si>
  <si>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</si>
  <si>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</si>
  <si>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</si>
  <si>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</si>
  <si>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</si>
  <si>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</si>
  <si>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</si>
  <si>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</si>
  <si>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</si>
  <si>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</si>
  <si>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</si>
  <si>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</si>
  <si>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</si>
  <si>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</si>
  <si>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</si>
  <si>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</si>
  <si>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</si>
  <si>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</si>
  <si>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</si>
  <si>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</si>
  <si>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</si>
  <si>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</si>
  <si>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</si>
  <si>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</si>
  <si>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</si>
  <si>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</si>
  <si>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</si>
  <si>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</si>
  <si>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</si>
  <si>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</si>
  <si>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</si>
  <si>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</si>
  <si>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</si>
  <si>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</si>
  <si>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</si>
  <si>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</si>
  <si>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</si>
  <si>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</si>
  <si>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</si>
  <si>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</si>
  <si>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</si>
  <si>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</si>
  <si>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</si>
  <si>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</si>
  <si>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</si>
  <si>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</si>
  <si>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</si>
  <si>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</si>
  <si>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</si>
  <si>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</si>
  <si>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</si>
  <si>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</si>
  <si>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</si>
  <si>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</si>
  <si>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</si>
  <si>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</si>
  <si>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</si>
  <si>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</si>
  <si>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</si>
  <si>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</si>
  <si>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</si>
  <si>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</si>
  <si>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</si>
  <si>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</si>
  <si>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</si>
  <si>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</si>
  <si>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</si>
  <si>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</si>
  <si>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</si>
  <si>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</si>
  <si>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</si>
  <si>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</si>
  <si>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</si>
  <si>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</si>
  <si>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</si>
  <si>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</si>
  <si>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</si>
  <si>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</si>
  <si>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</si>
  <si>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</si>
  <si>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</si>
  <si>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</si>
  <si>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</si>
  <si>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</si>
  <si>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</si>
  <si>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</si>
  <si>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</si>
  <si>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</si>
  <si>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</si>
  <si>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</si>
  <si>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</si>
  <si>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</si>
  <si>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</si>
  <si>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</si>
  <si>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</si>
  <si>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</si>
  <si>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</si>
  <si>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</si>
  <si>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</si>
  <si>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</si>
  <si>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</si>
  <si>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</si>
  <si>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</si>
  <si>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</si>
  <si>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</si>
  <si>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</si>
  <si>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</si>
  <si>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</si>
  <si>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</si>
  <si>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</si>
  <si>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</si>
  <si>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</si>
  <si>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</si>
  <si>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</si>
  <si>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</si>
  <si>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</si>
  <si>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</si>
  <si>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</si>
  <si>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</si>
  <si>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</si>
  <si>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</si>
  <si>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</si>
  <si>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</si>
  <si>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</si>
  <si>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</si>
  <si>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</si>
  <si>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</si>
  <si>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</si>
  <si>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</si>
  <si>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</si>
  <si>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</si>
  <si>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</si>
  <si>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</si>
  <si>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</si>
  <si>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</si>
  <si>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</si>
  <si>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</si>
  <si>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</si>
  <si>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</si>
  <si>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</si>
  <si>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</si>
  <si>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</si>
  <si>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</si>
  <si>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</si>
  <si>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</si>
  <si>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</si>
  <si>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</si>
  <si>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</si>
  <si>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</si>
  <si>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</si>
  <si>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</si>
  <si>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</si>
  <si>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</si>
  <si>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</si>
  <si>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</si>
  <si>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</si>
  <si>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</si>
  <si>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</si>
  <si>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</si>
  <si>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</si>
  <si>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</si>
  <si>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</si>
  <si>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</si>
  <si>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</si>
  <si>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</si>
  <si>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</si>
  <si>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</si>
  <si>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</si>
  <si>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</si>
  <si>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</si>
  <si>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</si>
  <si>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</si>
  <si>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</si>
  <si>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</si>
  <si>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</si>
  <si>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</si>
  <si>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</si>
  <si>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</si>
  <si>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</si>
  <si>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</si>
  <si>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</si>
  <si>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</si>
  <si>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</si>
  <si>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</si>
  <si>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</si>
  <si>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</si>
  <si>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</si>
  <si>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</si>
  <si>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</si>
  <si>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</si>
  <si>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</si>
  <si>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</si>
  <si>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</si>
  <si>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</si>
  <si>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</si>
  <si>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</si>
  <si>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</si>
  <si>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</si>
  <si>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</si>
  <si>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</si>
  <si>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</si>
  <si>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</si>
  <si>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</si>
  <si>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</si>
  <si>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</si>
  <si>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</si>
  <si>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</si>
  <si>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</si>
  <si>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</si>
  <si>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</si>
  <si>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</si>
  <si>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</si>
  <si>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</si>
  <si>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</si>
  <si>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</si>
  <si>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</si>
  <si>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</si>
  <si>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</si>
  <si>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</si>
  <si>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</si>
  <si>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</si>
  <si>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</si>
  <si>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</si>
  <si>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</si>
  <si>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</si>
  <si>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</si>
  <si>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</si>
  <si>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</si>
  <si>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</si>
  <si>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</si>
  <si>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</si>
  <si>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</si>
  <si>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</si>
  <si>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</si>
  <si>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</si>
  <si>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</si>
  <si>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</si>
  <si>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</si>
  <si>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</si>
  <si>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</si>
  <si>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</si>
  <si>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</si>
  <si>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</si>
  <si>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</si>
  <si>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</si>
  <si>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</si>
  <si>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</si>
  <si>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</si>
  <si>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</si>
  <si>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</si>
  <si>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</si>
  <si>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</si>
  <si>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</si>
  <si>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</si>
  <si>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</si>
  <si>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</si>
  <si>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</si>
  <si>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</si>
  <si>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</si>
  <si>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</si>
  <si>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</si>
  <si>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</si>
  <si>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</si>
  <si>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</si>
  <si>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</si>
  <si>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</si>
  <si>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</si>
  <si>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</si>
  <si>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</si>
  <si>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</si>
  <si>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</si>
  <si>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</si>
  <si>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</si>
  <si>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</si>
  <si>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</si>
  <si>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</si>
  <si>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</si>
  <si>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</si>
  <si>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</si>
  <si>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</si>
  <si>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</si>
  <si>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</si>
  <si>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</si>
  <si>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</si>
  <si>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</si>
  <si>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</si>
  <si>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</si>
  <si>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</si>
  <si>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</si>
  <si>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</si>
  <si>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</si>
  <si>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</si>
  <si>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</si>
  <si>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</si>
  <si>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</si>
  <si>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</si>
  <si>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</si>
  <si>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</si>
  <si>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</si>
  <si>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</si>
  <si>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</si>
  <si>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</si>
  <si>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</si>
  <si>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</si>
  <si>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</si>
  <si>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</si>
  <si>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</si>
  <si>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</si>
  <si>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</si>
  <si>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</si>
  <si>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</si>
  <si>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</si>
  <si>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</si>
  <si>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</si>
  <si>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</si>
  <si>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</si>
  <si>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</si>
  <si>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</si>
  <si>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</si>
  <si>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</si>
  <si>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</si>
  <si>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</si>
  <si>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</si>
  <si>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</si>
  <si>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</si>
  <si>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</si>
  <si>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</si>
  <si>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</si>
  <si>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</si>
  <si>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</si>
  <si>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</si>
  <si>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</si>
  <si>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</si>
  <si>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</si>
  <si>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</si>
  <si>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</si>
  <si>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</si>
  <si>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</si>
  <si>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</si>
  <si>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</si>
  <si>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</si>
  <si>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</si>
  <si>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</si>
  <si>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</si>
  <si>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</si>
  <si>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</si>
  <si>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</si>
  <si>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</si>
  <si>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</si>
  <si>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</si>
  <si>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</si>
  <si>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</si>
  <si>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</si>
  <si>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</si>
  <si>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</si>
  <si>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</si>
  <si>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</si>
  <si>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</si>
  <si>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</si>
  <si>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</si>
  <si>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</si>
  <si>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</si>
  <si>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</si>
  <si>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</si>
  <si>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</si>
  <si>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</si>
  <si>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</si>
  <si>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</si>
  <si>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rect                          </t>
  </si>
  <si>
    <t xml:space="preserve">or                            </t>
  </si>
  <si>
    <t>paracetamol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</si>
  <si>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</si>
  <si>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</si>
  <si>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</si>
  <si>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</si>
  <si>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</si>
  <si>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</si>
  <si>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</si>
  <si>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</si>
  <si>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</si>
  <si>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</si>
  <si>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</si>
  <si>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</si>
  <si>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</si>
  <si>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</si>
  <si>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</si>
  <si>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</si>
  <si>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</si>
  <si>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</si>
  <si>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</si>
  <si>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</si>
  <si>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</si>
  <si>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</si>
  <si>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</si>
  <si>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</si>
  <si>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</si>
  <si>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</si>
  <si>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</si>
  <si>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</si>
  <si>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</si>
  <si>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</si>
  <si>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</si>
  <si>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</si>
  <si>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</si>
  <si>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</si>
  <si>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</si>
  <si>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</si>
  <si>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</si>
  <si>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</si>
  <si>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</si>
  <si>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</si>
  <si>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</si>
  <si>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</si>
  <si>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</si>
  <si>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</si>
  <si>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</si>
  <si>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</si>
  <si>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</si>
  <si>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</si>
  <si>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</si>
  <si>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</si>
  <si>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</si>
  <si>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</si>
  <si>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</si>
  <si>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</si>
  <si>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</si>
  <si>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</si>
  <si>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</si>
  <si>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</si>
  <si>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</si>
  <si>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</si>
  <si>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</si>
  <si>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</si>
  <si>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</si>
  <si>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</si>
  <si>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</si>
  <si>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</si>
  <si>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</si>
  <si>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</si>
  <si>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</si>
  <si>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</si>
  <si>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</si>
  <si>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</si>
  <si>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</si>
  <si>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</si>
  <si>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</si>
  <si>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</si>
  <si>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</si>
  <si>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</si>
  <si>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</si>
  <si>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</si>
  <si>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</si>
  <si>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</si>
  <si>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</si>
  <si>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</si>
  <si>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</si>
  <si>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</si>
  <si>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</si>
  <si>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</si>
  <si>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</si>
  <si>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</si>
  <si>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</si>
  <si>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</si>
  <si>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</si>
  <si>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</si>
  <si>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</si>
  <si>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</si>
  <si>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</si>
  <si>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</si>
  <si>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</si>
  <si>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</si>
  <si>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</si>
  <si>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</si>
  <si>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</si>
  <si>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</si>
  <si>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</si>
  <si>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</si>
  <si>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</si>
  <si>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</si>
  <si>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</si>
  <si>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</si>
  <si>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</si>
  <si>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</si>
  <si>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</si>
  <si>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</si>
  <si>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</si>
  <si>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</si>
  <si>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</si>
  <si>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</si>
  <si>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</si>
  <si>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</si>
  <si>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</si>
  <si>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</si>
  <si>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</si>
  <si>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</si>
  <si>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</si>
  <si>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</si>
  <si>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</si>
  <si>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</si>
  <si>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</si>
  <si>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</si>
  <si>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</si>
  <si>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</si>
  <si>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</si>
  <si>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</si>
  <si>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</si>
  <si>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</si>
  <si>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</si>
  <si>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</si>
  <si>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</si>
  <si>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</si>
  <si>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</si>
  <si>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</si>
  <si>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</si>
  <si>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</si>
  <si>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</si>
  <si>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</si>
  <si>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</si>
  <si>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</si>
  <si>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</si>
  <si>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</si>
  <si>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</si>
  <si>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</si>
  <si>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</si>
  <si>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</si>
  <si>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</si>
  <si>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</si>
  <si>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</si>
  <si>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</si>
  <si>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</si>
  <si>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</si>
  <si>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</si>
  <si>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</si>
  <si>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</si>
  <si>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</si>
  <si>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</si>
  <si>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</si>
  <si>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</si>
  <si>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</si>
  <si>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</si>
  <si>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</si>
  <si>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</si>
  <si>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</si>
  <si>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</si>
  <si>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</si>
  <si>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</si>
  <si>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</si>
  <si>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</si>
  <si>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</si>
  <si>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</si>
  <si>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</si>
  <si>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</si>
  <si>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</si>
  <si>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</si>
  <si>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</si>
  <si>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</si>
  <si>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</si>
  <si>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</si>
  <si>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</si>
  <si>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</si>
  <si>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</si>
  <si>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</si>
  <si>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</si>
  <si>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</si>
  <si>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</si>
  <si>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</si>
  <si>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</si>
  <si>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</si>
  <si>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</si>
  <si>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</si>
  <si>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</si>
  <si>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</si>
  <si>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</si>
  <si>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</si>
  <si>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</si>
  <si>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</si>
  <si>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</si>
  <si>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</si>
  <si>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</si>
  <si>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</si>
  <si>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</si>
  <si>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Test</t>
  </si>
  <si>
    <t xml:space="preserve">foliumzuur 5 mg/tabl        </t>
  </si>
  <si>
    <t xml:space="preserve">Ziagen (abacavir) 20 mg/ml          </t>
  </si>
  <si>
    <t xml:space="preserve">paracetamol 120 mg/zetp        </t>
  </si>
  <si>
    <t>foliumzuur</t>
  </si>
  <si>
    <t>abacavir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</si>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</sst>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9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 applyNumberFormat="1" applyFill="1"/>
    <xf numFmtId="0" fontId="10" fillId="0" borderId="0" xfId="42" applyNumberFormat="1"/>
    <xf numFmtId="0" fontId="10" fillId="0" borderId="0" xfId="42" applyNumberFormat="1"/>
    <xf numFmtId="0" fontId="10" fillId="0" borderId="0" xfId="42"/>
    <xf numFmtId="0" fontId="10" fillId="0" borderId="0" xfId="42"/>
    <xf numFmtId="0" fontId="10" fillId="0" borderId="0" xfId="42" applyNumberFormat="1"/>
    <xf numFmtId="0" fontId="10" fillId="0" borderId="0" xfId="42"/>
    <xf numFmtId="0" fontId="10" fillId="0" borderId="0" xfId="42" applyNumberFormat="1"/>
    <xf numFmtId="0" fontId="10" fillId="0" borderId="0" xfId="42" applyNumberFormat="1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attachedToolbars" Target="attachedToolbars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Aanvullend_ThoraxDrainSub2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Aanvullend_ThoraxDrainSub3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Aanvullend_ThoraxDrainSub2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Aanvullend_ThoraxDrainSub3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Aanvullend_Per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Aanvullend_Per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Aanvullend_ThoraxDrainSub1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Aanvullend_ThoraxDrainSub1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Aanvullend_ThoraxDrainSub2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Aanvullend_ThoraxDrainSub3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Aanvullend_ThoraxDrainSub1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Aanvullend_LiquorDrainSub1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Medicamenten" sel="1" val="0"/>
</file>

<file path=xl/ctrlProps/ctrlProp602.xml><?xml version="1.0" encoding="utf-8"?>
<formControlPr xmlns="http://schemas.microsoft.com/office/spreadsheetml/2009/9/main" objectType="Drop" dropStyle="combo" dx="16" fmlaLink="NeoBerIV!$B$21" fmlaRange="Medicamenten" sel="1" val="0"/>
</file>

<file path=xl/ctrlProps/ctrlProp603.xml><?xml version="1.0" encoding="utf-8"?>
<formControlPr xmlns="http://schemas.microsoft.com/office/spreadsheetml/2009/9/main" objectType="Drop" dropStyle="combo" dx="16" fmlaLink="NeoBerIV!$B$22" fmlaRange="Medicamenten" sel="1" val="0"/>
</file>

<file path=xl/ctrlProps/ctrlProp604.xml><?xml version="1.0" encoding="utf-8"?>
<formControlPr xmlns="http://schemas.microsoft.com/office/spreadsheetml/2009/9/main" objectType="Drop" dropStyle="combo" dx="16" fmlaLink="NeoBerIV!$B$23" fmlaRange="Medicamenten" sel="1" val="0"/>
</file>

<file path=xl/ctrlProps/ctrlProp605.xml><?xml version="1.0" encoding="utf-8"?>
<formControlPr xmlns="http://schemas.microsoft.com/office/spreadsheetml/2009/9/main" objectType="Drop" dropStyle="combo" dx="16" fmlaLink="NeoBerIV!$B$24" fmlaRange="Medicamenten" sel="1" val="0"/>
</file>

<file path=xl/ctrlProps/ctrlProp606.xml><?xml version="1.0" encoding="utf-8"?>
<formControlPr xmlns="http://schemas.microsoft.com/office/spreadsheetml/2009/9/main" objectType="Drop" dropStyle="combo" dx="16" fmlaLink="NeoBerIV!$B$25" fmlaRange="Medicamenten" sel="1" val="0"/>
</file>

<file path=xl/ctrlProps/ctrlProp607.xml><?xml version="1.0" encoding="utf-8"?>
<formControlPr xmlns="http://schemas.microsoft.com/office/spreadsheetml/2009/9/main" objectType="Drop" dropStyle="combo" dx="16" fmlaLink="NeoBerIV!$B$26" fmlaRange="Medicamenten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K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Opl" sel="1" val="8"/>
</file>

<file path=xl/ctrlProps/ctrlProp637.xml><?xml version="1.0" encoding="utf-8"?>
<formControlPr xmlns="http://schemas.microsoft.com/office/spreadsheetml/2009/9/main" objectType="Drop" dropStyle="combo" dx="16" fmlaLink="NeoBerIV!$E$21" fmlaRange="Opl" sel="1" val="0"/>
</file>

<file path=xl/ctrlProps/ctrlProp638.xml><?xml version="1.0" encoding="utf-8"?>
<formControlPr xmlns="http://schemas.microsoft.com/office/spreadsheetml/2009/9/main" objectType="Drop" dropStyle="combo" dx="16" fmlaLink="NeoBerIV!$E$22" fmlaRange="Opl" sel="1" val="0"/>
</file>

<file path=xl/ctrlProps/ctrlProp639.xml><?xml version="1.0" encoding="utf-8"?>
<formControlPr xmlns="http://schemas.microsoft.com/office/spreadsheetml/2009/9/main" objectType="Drop" dropStyle="combo" dx="16" fmlaLink="NeoBerIV!$E$23" fmlaRange="Opl" sel="1" val="0"/>
</file>

<file path=xl/ctrlProps/ctrlProp640.xml><?xml version="1.0" encoding="utf-8"?>
<formControlPr xmlns="http://schemas.microsoft.com/office/spreadsheetml/2009/9/main" objectType="Drop" dropStyle="combo" dx="16" fmlaLink="NeoBerIV!$E$24" fmlaRange="Opl" sel="1" val="0"/>
</file>

<file path=xl/ctrlProps/ctrlProp641.xml><?xml version="1.0" encoding="utf-8"?>
<formControlPr xmlns="http://schemas.microsoft.com/office/spreadsheetml/2009/9/main" objectType="Drop" dropStyle="combo" dx="16" fmlaLink="NeoBerIV!$E$25" fmlaRange="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K$18" lockText="1"/>
</file>

<file path=xl/ctrlProps/ctrlProp659.xml><?xml version="1.0" encoding="utf-8"?>
<formControlPr xmlns="http://schemas.microsoft.com/office/spreadsheetml/2009/9/main" objectType="CheckBox" fmlaLink="NeoBerIV!$K$20" lockText="1"/>
</file>

<file path=xl/ctrlProps/ctrlProp660.xml><?xml version="1.0" encoding="utf-8"?>
<formControlPr xmlns="http://schemas.microsoft.com/office/spreadsheetml/2009/9/main" objectType="CheckBox" fmlaLink="NeoBerIV!$K$21" lockText="1"/>
</file>

<file path=xl/ctrlProps/ctrlProp661.xml><?xml version="1.0" encoding="utf-8"?>
<formControlPr xmlns="http://schemas.microsoft.com/office/spreadsheetml/2009/9/main" objectType="CheckBox" fmlaLink="NeoBerIV!$K$22" lockText="1"/>
</file>

<file path=xl/ctrlProps/ctrlProp662.xml><?xml version="1.0" encoding="utf-8"?>
<formControlPr xmlns="http://schemas.microsoft.com/office/spreadsheetml/2009/9/main" objectType="CheckBox" fmlaLink="NeoBerIV!$K$23" lockText="1"/>
</file>

<file path=xl/ctrlProps/ctrlProp663.xml><?xml version="1.0" encoding="utf-8"?>
<formControlPr xmlns="http://schemas.microsoft.com/office/spreadsheetml/2009/9/main" objectType="CheckBox" fmlaLink="NeoBerIV!$K$24" lockText="1"/>
</file>

<file path=xl/ctrlProps/ctrlProp664.xml><?xml version="1.0" encoding="utf-8"?>
<formControlPr xmlns="http://schemas.microsoft.com/office/spreadsheetml/2009/9/main" objectType="CheckBox" fmlaLink="NeoBerIV!$K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Medicamenten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K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Opl" sel="1" val="0"/>
</file>

<file path=xl/ctrlProps/ctrlProp675.xml><?xml version="1.0" encoding="utf-8"?>
<formControlPr xmlns="http://schemas.microsoft.com/office/spreadsheetml/2009/9/main" objectType="Drop" dropStyle="combo" dx="16" fmlaLink="NeoBerIV!$E$28" fmlaRange="Opl" sel="1" val="0"/>
</file>

<file path=xl/ctrlProps/ctrlProp676.xml><?xml version="1.0" encoding="utf-8"?>
<formControlPr xmlns="http://schemas.microsoft.com/office/spreadsheetml/2009/9/main" objectType="CheckBox" fmlaLink="NeoBerIV!$K$27" lockText="1"/>
</file>

<file path=xl/ctrlProps/ctrlProp677.xml><?xml version="1.0" encoding="utf-8"?>
<formControlPr xmlns="http://schemas.microsoft.com/office/spreadsheetml/2009/9/main" objectType="CheckBox" fmlaLink="NeoBerIV!$K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_VoedingToevoegingenMoedermelk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_VoedingToevoegingenMoedermelk" sel="1" val="0"/>
</file>

<file path=xl/ctrlProps/ctrlProp688.xml><?xml version="1.0" encoding="utf-8"?>
<formControlPr xmlns="http://schemas.microsoft.com/office/spreadsheetml/2009/9/main" objectType="Drop" dropStyle="combo" dx="16" fmlaLink="NeoBerIV!$B$56" fmlaRange="_VoedingToevoegingenMoedermelk" sel="1" val="0"/>
</file>

<file path=xl/ctrlProps/ctrlProp689.xml><?xml version="1.0" encoding="utf-8"?>
<formControlPr xmlns="http://schemas.microsoft.com/office/spreadsheetml/2009/9/main" objectType="Drop" dropStyle="combo" dx="16" fmlaLink="NeoBerIV!$B$28" fmlaRange="Medicamenten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Opl" sel="1" val="0"/>
</file>

<file path=xl/ctrlProps/ctrlProp693.xml><?xml version="1.0" encoding="utf-8"?>
<formControlPr xmlns="http://schemas.microsoft.com/office/spreadsheetml/2009/9/main" objectType="Drop" dropStyle="combo" dx="16" fmlaLink="NeoBerIV!$E$29" fmlaRange="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K$29" lockText="1"/>
</file>

<file path=xl/ctrlProps/ctrlProp696.xml><?xml version="1.0" encoding="utf-8"?>
<formControlPr xmlns="http://schemas.microsoft.com/office/spreadsheetml/2009/9/main" objectType="Drop" dropStyle="combo" dx="16" fmlaLink="NeoBerIV!$E$30" fmlaRange="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K$30" lockText="1"/>
</file>

<file path=xl/ctrlProps/ctrlProp699.xml><?xml version="1.0" encoding="utf-8"?>
<formControlPr xmlns="http://schemas.microsoft.com/office/spreadsheetml/2009/9/main" objectType="CheckBox" fmlaLink="NeoBerIV!$K$30" lockText="1"/>
</file>

<file path=xl/ctrlProps/ctrlProp700.xml><?xml version="1.0" encoding="utf-8"?>
<formControlPr xmlns="http://schemas.microsoft.com/office/spreadsheetml/2009/9/main" objectType="Drop" dropStyle="combo" dx="16" fmlaLink="NeoBerIV!$E$31" fmlaRange="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K$31" lockText="1"/>
</file>

<file path=xl/ctrlProps/ctrlProp703.xml><?xml version="1.0" encoding="utf-8"?>
<formControlPr xmlns="http://schemas.microsoft.com/office/spreadsheetml/2009/9/main" objectType="Drop" dropStyle="combo" dx="16" fmlaLink="NeoBerIV!$B$59" fmlaRange="_VoedingToevoegingenKunstvoeding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_VoedingToevoegingenKunstvoeding" sel="1" val="0"/>
</file>

<file path=xl/ctrlProps/ctrlProp706.xml><?xml version="1.0" encoding="utf-8"?>
<formControlPr xmlns="http://schemas.microsoft.com/office/spreadsheetml/2009/9/main" objectType="Drop" dropStyle="combo" dx="16" fmlaLink="NeoBerIV!$B$61" fmlaRange="_VoedingToevoegingenKunstvoeding" sel="1" val="0"/>
</file>

<file path=xl/ctrlProps/ctrlProp707.xml><?xml version="1.0" encoding="utf-8"?>
<formControlPr xmlns="http://schemas.microsoft.com/office/spreadsheetml/2009/9/main" objectType="Drop" dropStyle="combo" dx="16" fmlaLink="NeoBerIV!$L$58" fmlaRange="_VoedingToevoegingenWaarden" sel="0" val="0"/>
</file>

<file path=xl/ctrlProps/ctrlProp708.xml><?xml version="1.0" encoding="utf-8"?>
<formControlPr xmlns="http://schemas.microsoft.com/office/spreadsheetml/2009/9/main" objectType="Drop" dropStyle="combo" dx="16" fmlaLink="NeoBerIV!$K$59" fmlaRange="_VoedingToevoegingenWaarden" sel="1" val="0"/>
</file>

<file path=xl/ctrlProps/ctrlProp709.xml><?xml version="1.0" encoding="utf-8"?>
<formControlPr xmlns="http://schemas.microsoft.com/office/spreadsheetml/2009/9/main" objectType="Drop" dropStyle="combo" dx="16" fmlaLink="NeoBerIV!$K$60" fmlaRange="_VoedingToevoegingenWaarden" sel="1" val="0"/>
</file>

<file path=xl/ctrlProps/ctrlProp710.xml><?xml version="1.0" encoding="utf-8"?>
<formControlPr xmlns="http://schemas.microsoft.com/office/spreadsheetml/2009/9/main" objectType="Drop" dropStyle="combo" dx="16" fmlaLink="NeoBerIV!$K$61" fmlaRange="_VoedingToevoegingenWaarden" sel="1" val="0"/>
</file>

<file path=xl/ctrlProps/ctrlProp711.xml><?xml version="1.0" encoding="utf-8"?>
<formControlPr xmlns="http://schemas.microsoft.com/office/spreadsheetml/2009/9/main" objectType="Drop" dropStyle="combo" dx="16" fmlaLink="NeoBerIV!$B$53" fmlaRange="_VoedingToevoegingenMoedermelk" sel="1" val="0"/>
</file>

<file path=xl/ctrlProps/ctrlProp712.xml><?xml version="1.0" encoding="utf-8"?>
<formControlPr xmlns="http://schemas.microsoft.com/office/spreadsheetml/2009/9/main" objectType="Drop" dropStyle="combo" dx="16" fmlaLink="NeoBerIV!$B$58" fmlaRange="_VoedingToevoegingenKunstvoeding" sel="1" val="0"/>
</file>

<file path=xl/ctrlProps/ctrlProp713.xml><?xml version="1.0" encoding="utf-8"?>
<formControlPr xmlns="http://schemas.microsoft.com/office/spreadsheetml/2009/9/main" objectType="Drop" dropStyle="combo" dx="16" fmlaLink="NeoBerIV!$K$58" fmlaRange="_VoedingToevoegingenWaarden" sel="1" val="0"/>
</file>

<file path=xl/ctrlProps/ctrlProp714.xml><?xml version="1.0" encoding="utf-8"?>
<formControlPr xmlns="http://schemas.microsoft.com/office/spreadsheetml/2009/9/main" objectType="Drop" dropStyle="combo" dx="16" fmlaLink="NeoBerIV!$K$52" fmlaRange="_VoedingBMFWaarden" sel="1" val="0"/>
</file>

<file path=xl/ctrlProps/ctrlProp715.xml><?xml version="1.0" encoding="utf-8"?>
<formControlPr xmlns="http://schemas.microsoft.com/office/spreadsheetml/2009/9/main" objectType="Drop" dropStyle="combo" dx="16" fmlaLink="NeoBerIV!$K$54" fmlaRange="_VoedingToevoegingenWaarden" sel="1" val="0"/>
</file>

<file path=xl/ctrlProps/ctrlProp716.xml><?xml version="1.0" encoding="utf-8"?>
<formControlPr xmlns="http://schemas.microsoft.com/office/spreadsheetml/2009/9/main" objectType="Drop" dropStyle="combo" dx="16" fmlaLink="NeoBerIV!$K$55" fmlaRange="_VoedingToevoegingenWaarden" sel="1" val="0"/>
</file>

<file path=xl/ctrlProps/ctrlProp717.xml><?xml version="1.0" encoding="utf-8"?>
<formControlPr xmlns="http://schemas.microsoft.com/office/spreadsheetml/2009/9/main" objectType="Drop" dropStyle="combo" dx="16" fmlaLink="NeoBerIV!$K$56" fmlaRange="_VoedingToevoegingenWaarden" sel="1" val="0"/>
</file>

<file path=xl/ctrlProps/ctrlProp718.xml><?xml version="1.0" encoding="utf-8"?>
<formControlPr xmlns="http://schemas.microsoft.com/office/spreadsheetml/2009/9/main" objectType="Drop" dropStyle="combo" dx="16" fmlaLink="NeoBerIV!$K$53" fmlaRange="_VoedingToevoegingenWaarden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lijst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Medicamenten" sel="1" val="0"/>
</file>

<file path=xl/ctrlProps/ctrlProp730.xml><?xml version="1.0" encoding="utf-8"?>
<formControlPr xmlns="http://schemas.microsoft.com/office/spreadsheetml/2009/9/main" objectType="Drop" dropStyle="combo" dx="16" fmlaLink="NeoBer1700!$B$21" fmlaRange="Medicamenten" sel="1" val="0"/>
</file>

<file path=xl/ctrlProps/ctrlProp731.xml><?xml version="1.0" encoding="utf-8"?>
<formControlPr xmlns="http://schemas.microsoft.com/office/spreadsheetml/2009/9/main" objectType="Drop" dropStyle="combo" dx="16" fmlaLink="NeoBer1700!$B$22" fmlaRange="Medicamenten" sel="1" val="0"/>
</file>

<file path=xl/ctrlProps/ctrlProp732.xml><?xml version="1.0" encoding="utf-8"?>
<formControlPr xmlns="http://schemas.microsoft.com/office/spreadsheetml/2009/9/main" objectType="Drop" dropStyle="combo" dx="16" fmlaLink="NeoBer1700!$B$23" fmlaRange="Medicamenten" sel="1" val="0"/>
</file>

<file path=xl/ctrlProps/ctrlProp733.xml><?xml version="1.0" encoding="utf-8"?>
<formControlPr xmlns="http://schemas.microsoft.com/office/spreadsheetml/2009/9/main" objectType="Drop" dropStyle="combo" dx="16" fmlaLink="NeoBer1700!$B$24" fmlaRange="Medicamenten" sel="1" val="0"/>
</file>

<file path=xl/ctrlProps/ctrlProp734.xml><?xml version="1.0" encoding="utf-8"?>
<formControlPr xmlns="http://schemas.microsoft.com/office/spreadsheetml/2009/9/main" objectType="Drop" dropStyle="combo" dx="16" fmlaLink="NeoBer1700!$B$25" fmlaRange="Medicamenten" sel="1" val="0"/>
</file>

<file path=xl/ctrlProps/ctrlProp735.xml><?xml version="1.0" encoding="utf-8"?>
<formControlPr xmlns="http://schemas.microsoft.com/office/spreadsheetml/2009/9/main" objectType="Drop" dropStyle="combo" dx="16" fmlaLink="NeoBer1700!$B$26" fmlaRange="Medicamenten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K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Opl" sel="1" val="2"/>
</file>

<file path=xl/ctrlProps/ctrlProp765.xml><?xml version="1.0" encoding="utf-8"?>
<formControlPr xmlns="http://schemas.microsoft.com/office/spreadsheetml/2009/9/main" objectType="Drop" dropStyle="combo" dx="16" fmlaLink="NeoBer1700!$E$21" fmlaRange="Opl" sel="1" val="0"/>
</file>

<file path=xl/ctrlProps/ctrlProp766.xml><?xml version="1.0" encoding="utf-8"?>
<formControlPr xmlns="http://schemas.microsoft.com/office/spreadsheetml/2009/9/main" objectType="Drop" dropStyle="combo" dx="16" fmlaLink="NeoBer1700!$E$22" fmlaRange="Opl" sel="1" val="0"/>
</file>

<file path=xl/ctrlProps/ctrlProp767.xml><?xml version="1.0" encoding="utf-8"?>
<formControlPr xmlns="http://schemas.microsoft.com/office/spreadsheetml/2009/9/main" objectType="Drop" dropStyle="combo" dx="16" fmlaLink="NeoBer1700!$E$23" fmlaRange="Opl" sel="1" val="0"/>
</file>

<file path=xl/ctrlProps/ctrlProp768.xml><?xml version="1.0" encoding="utf-8"?>
<formControlPr xmlns="http://schemas.microsoft.com/office/spreadsheetml/2009/9/main" objectType="Drop" dropStyle="combo" dx="16" fmlaLink="NeoBer1700!$E$24" fmlaRange="Opl" sel="1" val="0"/>
</file>

<file path=xl/ctrlProps/ctrlProp769.xml><?xml version="1.0" encoding="utf-8"?>
<formControlPr xmlns="http://schemas.microsoft.com/office/spreadsheetml/2009/9/main" objectType="Drop" dropStyle="combo" dx="16" fmlaLink="NeoBer1700!$E$25" fmlaRange="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K$18" lockText="1"/>
</file>

<file path=xl/ctrlProps/ctrlProp787.xml><?xml version="1.0" encoding="utf-8"?>
<formControlPr xmlns="http://schemas.microsoft.com/office/spreadsheetml/2009/9/main" objectType="CheckBox" fmlaLink="NeoBer1700!$K$20" lockText="1"/>
</file>

<file path=xl/ctrlProps/ctrlProp788.xml><?xml version="1.0" encoding="utf-8"?>
<formControlPr xmlns="http://schemas.microsoft.com/office/spreadsheetml/2009/9/main" objectType="CheckBox" fmlaLink="NeoBer1700!$K$21" lockText="1"/>
</file>

<file path=xl/ctrlProps/ctrlProp789.xml><?xml version="1.0" encoding="utf-8"?>
<formControlPr xmlns="http://schemas.microsoft.com/office/spreadsheetml/2009/9/main" objectType="CheckBox" fmlaLink="NeoBer1700!$K$22" lockText="1"/>
</file>

<file path=xl/ctrlProps/ctrlProp790.xml><?xml version="1.0" encoding="utf-8"?>
<formControlPr xmlns="http://schemas.microsoft.com/office/spreadsheetml/2009/9/main" objectType="CheckBox" fmlaLink="NeoBer1700!$K$23" lockText="1"/>
</file>

<file path=xl/ctrlProps/ctrlProp791.xml><?xml version="1.0" encoding="utf-8"?>
<formControlPr xmlns="http://schemas.microsoft.com/office/spreadsheetml/2009/9/main" objectType="CheckBox" fmlaLink="NeoBer1700!$K$24" lockText="1"/>
</file>

<file path=xl/ctrlProps/ctrlProp792.xml><?xml version="1.0" encoding="utf-8"?>
<formControlPr xmlns="http://schemas.microsoft.com/office/spreadsheetml/2009/9/main" objectType="CheckBox" fmlaLink="NeoBer1700!$K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Medicamenten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K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Opl" sel="1" val="0"/>
</file>

<file path=xl/ctrlProps/ctrlProp803.xml><?xml version="1.0" encoding="utf-8"?>
<formControlPr xmlns="http://schemas.microsoft.com/office/spreadsheetml/2009/9/main" objectType="Drop" dropStyle="combo" dx="16" fmlaLink="NeoBer1700!$E$28" fmlaRange="Opl" sel="1" val="0"/>
</file>

<file path=xl/ctrlProps/ctrlProp804.xml><?xml version="1.0" encoding="utf-8"?>
<formControlPr xmlns="http://schemas.microsoft.com/office/spreadsheetml/2009/9/main" objectType="CheckBox" fmlaLink="NeoBer1700!$K$27" lockText="1"/>
</file>

<file path=xl/ctrlProps/ctrlProp805.xml><?xml version="1.0" encoding="utf-8"?>
<formControlPr xmlns="http://schemas.microsoft.com/office/spreadsheetml/2009/9/main" objectType="CheckBox" fmlaLink="NeoBer1700!$K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_VoedingToevoegingenMoedermelk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_VoedingToevoegingenMoedermelk" sel="1" val="0"/>
</file>

<file path=xl/ctrlProps/ctrlProp816.xml><?xml version="1.0" encoding="utf-8"?>
<formControlPr xmlns="http://schemas.microsoft.com/office/spreadsheetml/2009/9/main" objectType="Drop" dropStyle="combo" dx="16" fmlaLink="NeoBer1700!$B$56" fmlaRange="_VoedingToevoegingenMoedermelk" sel="1" val="0"/>
</file>

<file path=xl/ctrlProps/ctrlProp817.xml><?xml version="1.0" encoding="utf-8"?>
<formControlPr xmlns="http://schemas.microsoft.com/office/spreadsheetml/2009/9/main" objectType="Drop" dropStyle="combo" dx="16" fmlaLink="NeoBer1700!$B$28" fmlaRange="Medicamenten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Opl" sel="1" val="2"/>
</file>

<file path=xl/ctrlProps/ctrlProp821.xml><?xml version="1.0" encoding="utf-8"?>
<formControlPr xmlns="http://schemas.microsoft.com/office/spreadsheetml/2009/9/main" objectType="Drop" dropStyle="combo" dx="16" fmlaLink="NeoBer1700!$E$29" fmlaRange="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K$29" lockText="1"/>
</file>

<file path=xl/ctrlProps/ctrlProp824.xml><?xml version="1.0" encoding="utf-8"?>
<formControlPr xmlns="http://schemas.microsoft.com/office/spreadsheetml/2009/9/main" objectType="Drop" dropStyle="combo" dx="16" fmlaLink="NeoBer1700!$E$30" fmlaRange="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K$30" lockText="1"/>
</file>

<file path=xl/ctrlProps/ctrlProp827.xml><?xml version="1.0" encoding="utf-8"?>
<formControlPr xmlns="http://schemas.microsoft.com/office/spreadsheetml/2009/9/main" objectType="CheckBox" fmlaLink="NeoBer1700!$K$30" lockText="1"/>
</file>

<file path=xl/ctrlProps/ctrlProp828.xml><?xml version="1.0" encoding="utf-8"?>
<formControlPr xmlns="http://schemas.microsoft.com/office/spreadsheetml/2009/9/main" objectType="Drop" dropStyle="combo" dx="16" fmlaLink="NeoBer1700!$E$31" fmlaRange="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K$31" lockText="1"/>
</file>

<file path=xl/ctrlProps/ctrlProp831.xml><?xml version="1.0" encoding="utf-8"?>
<formControlPr xmlns="http://schemas.microsoft.com/office/spreadsheetml/2009/9/main" objectType="Drop" dropStyle="combo" dx="16" fmlaLink="NeoBer1700!$B$59" fmlaRange="_VoedingToevoegingenKunstvoeding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_VoedingToevoegingenKunstvoeding" sel="1" val="0"/>
</file>

<file path=xl/ctrlProps/ctrlProp834.xml><?xml version="1.0" encoding="utf-8"?>
<formControlPr xmlns="http://schemas.microsoft.com/office/spreadsheetml/2009/9/main" objectType="Drop" dropStyle="combo" dx="16" fmlaLink="NeoBer1700!$B$61" fmlaRange="_VoedingToevoegingenKunstvoeding" sel="1" val="0"/>
</file>

<file path=xl/ctrlProps/ctrlProp835.xml><?xml version="1.0" encoding="utf-8"?>
<formControlPr xmlns="http://schemas.microsoft.com/office/spreadsheetml/2009/9/main" objectType="Drop" dropStyle="combo" dx="16" fmlaLink="NeoBer1700!$L$58" fmlaRange="_VoedingToevoegingenWaarden" sel="0" val="0"/>
</file>

<file path=xl/ctrlProps/ctrlProp836.xml><?xml version="1.0" encoding="utf-8"?>
<formControlPr xmlns="http://schemas.microsoft.com/office/spreadsheetml/2009/9/main" objectType="Drop" dropStyle="combo" dx="16" fmlaLink="NeoBer1700!$K$59" fmlaRange="_VoedingToevoegingenWaarden" sel="1" val="3"/>
</file>

<file path=xl/ctrlProps/ctrlProp837.xml><?xml version="1.0" encoding="utf-8"?>
<formControlPr xmlns="http://schemas.microsoft.com/office/spreadsheetml/2009/9/main" objectType="Drop" dropStyle="combo" dx="16" fmlaLink="NeoBer1700!$K$60" fmlaRange="_VoedingToevoegingenWaarden" sel="1" val="0"/>
</file>

<file path=xl/ctrlProps/ctrlProp838.xml><?xml version="1.0" encoding="utf-8"?>
<formControlPr xmlns="http://schemas.microsoft.com/office/spreadsheetml/2009/9/main" objectType="Drop" dropStyle="combo" dx="16" fmlaLink="NeoBer1700!$K$61" fmlaRange="_VoedingToevoegingenWaarden" sel="1" val="0"/>
</file>

<file path=xl/ctrlProps/ctrlProp839.xml><?xml version="1.0" encoding="utf-8"?>
<formControlPr xmlns="http://schemas.microsoft.com/office/spreadsheetml/2009/9/main" objectType="Drop" dropStyle="combo" dx="16" fmlaLink="NeoBer1700!$B$53" fmlaRange="_VoedingToevoegingenMoedermelk" sel="1" val="0"/>
</file>

<file path=xl/ctrlProps/ctrlProp840.xml><?xml version="1.0" encoding="utf-8"?>
<formControlPr xmlns="http://schemas.microsoft.com/office/spreadsheetml/2009/9/main" objectType="Drop" dropStyle="combo" dx="16" fmlaLink="NeoBer1700!$B$58" fmlaRange="_VoedingToevoegingenKunstvoeding" sel="1" val="0"/>
</file>

<file path=xl/ctrlProps/ctrlProp841.xml><?xml version="1.0" encoding="utf-8"?>
<formControlPr xmlns="http://schemas.microsoft.com/office/spreadsheetml/2009/9/main" objectType="Drop" dropStyle="combo" dx="16" fmlaLink="NeoBer1700!$K$58" fmlaRange="_VoedingToevoegingenWaarden" sel="1" val="0"/>
</file>

<file path=xl/ctrlProps/ctrlProp842.xml><?xml version="1.0" encoding="utf-8"?>
<formControlPr xmlns="http://schemas.microsoft.com/office/spreadsheetml/2009/9/main" objectType="Drop" dropStyle="combo" dx="16" fmlaLink="NeoBer1700!$K$52" fmlaRange="_VoedingBMFWaarden" sel="1" val="0"/>
</file>

<file path=xl/ctrlProps/ctrlProp843.xml><?xml version="1.0" encoding="utf-8"?>
<formControlPr xmlns="http://schemas.microsoft.com/office/spreadsheetml/2009/9/main" objectType="Drop" dropStyle="combo" dx="16" fmlaLink="NeoBer1700!$K$54" fmlaRange="_VoedingToevoegingenWaarden" sel="1" val="0"/>
</file>

<file path=xl/ctrlProps/ctrlProp844.xml><?xml version="1.0" encoding="utf-8"?>
<formControlPr xmlns="http://schemas.microsoft.com/office/spreadsheetml/2009/9/main" objectType="Drop" dropStyle="combo" dx="16" fmlaLink="NeoBer1700!$K$55" fmlaRange="_VoedingToevoegingenWaarden" sel="1" val="0"/>
</file>

<file path=xl/ctrlProps/ctrlProp845.xml><?xml version="1.0" encoding="utf-8"?>
<formControlPr xmlns="http://schemas.microsoft.com/office/spreadsheetml/2009/9/main" objectType="Drop" dropStyle="combo" dx="16" fmlaLink="NeoBer1700!$K$56" fmlaRange="_VoedingToevoegingenWaarden" sel="1" val="0"/>
</file>

<file path=xl/ctrlProps/ctrlProp846.xml><?xml version="1.0" encoding="utf-8"?>
<formControlPr xmlns="http://schemas.microsoft.com/office/spreadsheetml/2009/9/main" objectType="Drop" dropStyle="combo" dx="16" fmlaLink="NeoBer1700!$K$53" fmlaRange="_VoedingToevoegingenWaarden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lijst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Aanvullend_ThoraxDrainSub2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Aanvullend_ThoraxDrainSub2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Aanvullen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Aanvullend_ThoraxDrainSub1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Aanvullend_ThoraxDrainSub3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Aanvullend_ThoraxDrainSub3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Aanvullend_ThoraxDrainSub2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Aanvullend_ThoraxDrainSub1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Aanvullend_ThoraxDrainSub3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Aanvullend_LiquorDrainSub1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Aanvullend_Per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Aanvullend_Per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Aanvullend_Per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B4" sqref="B4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10" sqref="B10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2663</v>
      </c>
      <c r="B1" s="518" t="s">
        <v>2664</v>
      </c>
    </row>
    <row r="2" spans="1:2" x14ac:dyDescent="0.35">
      <c r="A2" s="518" t="s">
        <v>2649</v>
      </c>
      <c r="B2" t="b">
        <v>0</v>
      </c>
    </row>
    <row r="3" spans="1:2" x14ac:dyDescent="0.35">
      <c r="A3" s="518" t="s">
        <v>2650</v>
      </c>
      <c r="B3" t="b">
        <v>0</v>
      </c>
    </row>
    <row r="4" spans="1:2" x14ac:dyDescent="0.35">
      <c r="A4" s="518" t="s">
        <v>2651</v>
      </c>
      <c r="B4" s="518" t="s">
        <v>2653</v>
      </c>
    </row>
    <row r="5" spans="1:2" x14ac:dyDescent="0.35">
      <c r="A5" s="518" t="s">
        <v>2652</v>
      </c>
      <c r="B5" s="518" t="s">
        <v>2654</v>
      </c>
    </row>
    <row r="6" spans="1:2" x14ac:dyDescent="0.35">
      <c r="A6" s="518" t="s">
        <v>2655</v>
      </c>
      <c r="B6" s="518" t="s">
        <v>2656</v>
      </c>
    </row>
    <row r="7" spans="1:2" x14ac:dyDescent="0.35">
      <c r="A7" s="518" t="s">
        <v>2657</v>
      </c>
      <c r="B7" t="s">
        <v>2658</v>
      </c>
    </row>
    <row r="8" spans="1:2" x14ac:dyDescent="0.35">
      <c r="A8" s="518" t="s">
        <v>2659</v>
      </c>
      <c r="B8" s="518" t="s">
        <v>2660</v>
      </c>
    </row>
    <row r="9" spans="1:2" x14ac:dyDescent="0.35">
      <c r="A9" s="518" t="s">
        <v>2661</v>
      </c>
      <c r="B9" t="s">
        <v>2662</v>
      </c>
    </row>
    <row r="10" spans="1:2" x14ac:dyDescent="0.35">
      <c r="A10" s="518" t="s">
        <v>2665</v>
      </c>
      <c r="B10" s="518" t="s">
        <v>2666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46"/>
  <sheetViews>
    <sheetView workbookViewId="0">
      <selection activeCell="C16" sqref="C16:D16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3" x14ac:dyDescent="0.35">
      <c r="A1" s="577" t="s">
        <v>513</v>
      </c>
      <c r="B1" t="s">
        <v>185</v>
      </c>
      <c r="C1" t="s">
        <v>514</v>
      </c>
    </row>
    <row r="2" spans="1:3" x14ac:dyDescent="0.35">
      <c r="A2" t="s">
        <v>515</v>
      </c>
      <c r="B2" t="s">
        <v>216</v>
      </c>
    </row>
    <row r="3" spans="1:3" x14ac:dyDescent="0.35">
      <c r="A3" t="s">
        <v>515</v>
      </c>
      <c r="B3" t="s">
        <v>223</v>
      </c>
    </row>
    <row r="4" spans="1:3" x14ac:dyDescent="0.35">
      <c r="A4" t="s">
        <v>515</v>
      </c>
      <c r="B4" t="s">
        <v>119</v>
      </c>
    </row>
    <row r="5" spans="1:3" x14ac:dyDescent="0.35">
      <c r="A5" t="s">
        <v>515</v>
      </c>
      <c r="B5" t="s">
        <v>120</v>
      </c>
    </row>
    <row r="6" spans="1:3" x14ac:dyDescent="0.35">
      <c r="A6" s="577" t="s">
        <v>515</v>
      </c>
      <c r="B6" t="s">
        <v>121</v>
      </c>
    </row>
    <row r="7" spans="1:3" x14ac:dyDescent="0.35">
      <c r="A7" t="s">
        <v>515</v>
      </c>
      <c r="B7" t="s">
        <v>122</v>
      </c>
    </row>
    <row r="8" spans="1:3" x14ac:dyDescent="0.35">
      <c r="A8" t="s">
        <v>515</v>
      </c>
      <c r="B8" t="s">
        <v>123</v>
      </c>
    </row>
    <row r="9" spans="1:3" x14ac:dyDescent="0.35">
      <c r="A9" t="s">
        <v>515</v>
      </c>
      <c r="B9" t="s">
        <v>124</v>
      </c>
    </row>
    <row r="10" spans="1:3" x14ac:dyDescent="0.35">
      <c r="A10" t="s">
        <v>515</v>
      </c>
      <c r="B10" t="s">
        <v>246</v>
      </c>
      <c r="C10" s="25"/>
    </row>
    <row r="11" spans="1:3" x14ac:dyDescent="0.35">
      <c r="A11" t="s">
        <v>515</v>
      </c>
      <c r="B11" t="s">
        <v>296</v>
      </c>
      <c r="C11" s="25"/>
    </row>
    <row r="12" spans="1:3" x14ac:dyDescent="0.35">
      <c r="A12" t="s">
        <v>515</v>
      </c>
      <c r="B12" t="s">
        <v>297</v>
      </c>
    </row>
    <row r="13" spans="1:3" x14ac:dyDescent="0.35">
      <c r="A13" t="s">
        <v>515</v>
      </c>
      <c r="B13" t="s">
        <v>298</v>
      </c>
    </row>
    <row r="14" spans="1:3" x14ac:dyDescent="0.35">
      <c r="A14" t="s">
        <v>515</v>
      </c>
      <c r="B14" t="s">
        <v>299</v>
      </c>
    </row>
    <row r="15" spans="1:3" x14ac:dyDescent="0.35">
      <c r="A15" t="s">
        <v>515</v>
      </c>
      <c r="B15" t="s">
        <v>300</v>
      </c>
    </row>
    <row r="16" spans="1:3" x14ac:dyDescent="0.35">
      <c r="A16" t="s">
        <v>231</v>
      </c>
      <c r="B16" t="s">
        <v>232</v>
      </c>
      <c r="C16" s="517"/>
    </row>
    <row r="17" spans="1:4" x14ac:dyDescent="0.35">
      <c r="A17" t="s">
        <v>231</v>
      </c>
      <c r="B17" t="s">
        <v>232</v>
      </c>
      <c r="C17" s="517"/>
    </row>
    <row r="18" spans="1:4" x14ac:dyDescent="0.35">
      <c r="A18" t="s">
        <v>231</v>
      </c>
      <c r="B18" t="s">
        <v>232</v>
      </c>
      <c r="C18" s="517"/>
      <c r="D18" s="517"/>
    </row>
    <row r="19" spans="1:4" x14ac:dyDescent="0.35">
      <c r="A19" t="s">
        <v>231</v>
      </c>
      <c r="B19" t="s">
        <v>232</v>
      </c>
      <c r="C19" s="517"/>
      <c r="D19" s="517"/>
    </row>
    <row r="20" spans="1:4" x14ac:dyDescent="0.35">
      <c r="A20" t="s">
        <v>231</v>
      </c>
      <c r="B20" t="s">
        <v>232</v>
      </c>
      <c r="C20" s="517"/>
      <c r="D20" s="517"/>
    </row>
    <row r="21" spans="1:4" x14ac:dyDescent="0.35">
      <c r="A21" t="s">
        <v>231</v>
      </c>
      <c r="B21" t="s">
        <v>232</v>
      </c>
      <c r="C21" s="517"/>
      <c r="D21" s="517"/>
    </row>
    <row r="22" spans="1:4" x14ac:dyDescent="0.35">
      <c r="A22" t="s">
        <v>231</v>
      </c>
      <c r="B22" t="s">
        <v>232</v>
      </c>
      <c r="C22" s="517"/>
      <c r="D22" s="517"/>
    </row>
    <row r="23" spans="1:4" x14ac:dyDescent="0.35">
      <c r="A23" t="s">
        <v>231</v>
      </c>
      <c r="B23" t="s">
        <v>232</v>
      </c>
      <c r="C23" s="517"/>
      <c r="D23" s="517"/>
    </row>
    <row r="24" spans="1:4" x14ac:dyDescent="0.35">
      <c r="A24" t="s">
        <v>231</v>
      </c>
      <c r="B24" t="s">
        <v>232</v>
      </c>
      <c r="C24" s="517"/>
      <c r="D24" s="517"/>
    </row>
    <row r="25" spans="1:4" x14ac:dyDescent="0.35">
      <c r="A25" t="s">
        <v>231</v>
      </c>
      <c r="B25" t="s">
        <v>232</v>
      </c>
      <c r="C25" s="517"/>
      <c r="D25" s="517"/>
    </row>
    <row r="26" spans="1:4" x14ac:dyDescent="0.35">
      <c r="A26" t="s">
        <v>231</v>
      </c>
      <c r="B26" t="s">
        <v>232</v>
      </c>
      <c r="C26" s="517"/>
      <c r="D26" s="517"/>
    </row>
    <row r="27" spans="1:4" x14ac:dyDescent="0.35">
      <c r="A27" t="s">
        <v>231</v>
      </c>
      <c r="B27" t="s">
        <v>232</v>
      </c>
      <c r="C27" s="517"/>
      <c r="D27" s="517"/>
    </row>
    <row r="28" spans="1:4" x14ac:dyDescent="0.35">
      <c r="A28" t="s">
        <v>231</v>
      </c>
      <c r="B28" t="s">
        <v>232</v>
      </c>
      <c r="C28" s="517"/>
      <c r="D28" s="517"/>
    </row>
    <row r="29" spans="1:4" x14ac:dyDescent="0.35">
      <c r="A29" t="s">
        <v>231</v>
      </c>
      <c r="B29" t="s">
        <v>232</v>
      </c>
      <c r="C29" s="517"/>
      <c r="D29" s="517"/>
    </row>
    <row r="30" spans="1:4" x14ac:dyDescent="0.35">
      <c r="A30" t="s">
        <v>231</v>
      </c>
      <c r="B30" t="s">
        <v>232</v>
      </c>
      <c r="C30" s="517"/>
      <c r="D30" s="517"/>
    </row>
    <row r="31" spans="1:4" x14ac:dyDescent="0.35">
      <c r="A31" t="s">
        <v>231</v>
      </c>
      <c r="B31" t="s">
        <v>232</v>
      </c>
      <c r="C31" s="517"/>
      <c r="D31" s="517"/>
    </row>
    <row r="32" spans="1:4" x14ac:dyDescent="0.35">
      <c r="A32" t="s">
        <v>231</v>
      </c>
      <c r="B32" t="s">
        <v>232</v>
      </c>
      <c r="C32" s="517"/>
      <c r="D32" s="517"/>
    </row>
    <row r="33" spans="1:4" x14ac:dyDescent="0.35">
      <c r="A33" t="s">
        <v>231</v>
      </c>
      <c r="B33" t="s">
        <v>232</v>
      </c>
      <c r="C33" s="517"/>
      <c r="D33" s="517"/>
    </row>
    <row r="34" spans="1:4" x14ac:dyDescent="0.35">
      <c r="A34" t="s">
        <v>231</v>
      </c>
      <c r="B34" t="s">
        <v>232</v>
      </c>
      <c r="C34" s="517"/>
      <c r="D34" s="517"/>
    </row>
    <row r="35" spans="1:4" x14ac:dyDescent="0.35">
      <c r="A35" t="s">
        <v>231</v>
      </c>
      <c r="B35" t="s">
        <v>232</v>
      </c>
      <c r="C35" s="517"/>
      <c r="D35" s="517"/>
    </row>
    <row r="36" spans="1:4" x14ac:dyDescent="0.35">
      <c r="A36" s="518" t="s">
        <v>515</v>
      </c>
      <c r="B36" s="518" t="s">
        <v>1348</v>
      </c>
      <c r="C36" s="517"/>
    </row>
    <row r="37" spans="1:4" x14ac:dyDescent="0.35">
      <c r="A37" s="517" t="s">
        <v>231</v>
      </c>
      <c r="B37" s="517" t="s">
        <v>232</v>
      </c>
      <c r="C37" s="517"/>
    </row>
    <row r="38" spans="1:4" x14ac:dyDescent="0.35">
      <c r="A38" s="517" t="s">
        <v>231</v>
      </c>
      <c r="B38" s="517" t="s">
        <v>232</v>
      </c>
      <c r="C38" s="517"/>
      <c r="D38" s="517"/>
    </row>
    <row r="39" spans="1:4" x14ac:dyDescent="0.35">
      <c r="A39" s="517" t="s">
        <v>231</v>
      </c>
      <c r="B39" s="517" t="s">
        <v>232</v>
      </c>
      <c r="C39" s="517"/>
      <c r="D39" s="517"/>
    </row>
    <row r="40" spans="1:4" x14ac:dyDescent="0.35">
      <c r="A40" s="517" t="s">
        <v>231</v>
      </c>
      <c r="B40" s="517" t="s">
        <v>232</v>
      </c>
      <c r="C40" s="517"/>
      <c r="D40" s="517"/>
    </row>
    <row r="41" spans="1:4" x14ac:dyDescent="0.35">
      <c r="A41" s="517" t="s">
        <v>231</v>
      </c>
      <c r="B41" s="517" t="s">
        <v>232</v>
      </c>
      <c r="C41" s="517"/>
      <c r="D41" s="517"/>
    </row>
    <row r="42" spans="1:4" x14ac:dyDescent="0.35">
      <c r="A42" s="517" t="s">
        <v>231</v>
      </c>
      <c r="B42" s="517" t="s">
        <v>232</v>
      </c>
      <c r="C42" s="517"/>
      <c r="D42" s="517"/>
    </row>
    <row r="43" spans="1:4" x14ac:dyDescent="0.35">
      <c r="A43" s="517" t="s">
        <v>231</v>
      </c>
      <c r="B43" s="517" t="s">
        <v>232</v>
      </c>
      <c r="C43" s="517"/>
      <c r="D43" s="517"/>
    </row>
    <row r="44" spans="1:4" x14ac:dyDescent="0.35">
      <c r="A44" s="517" t="s">
        <v>231</v>
      </c>
      <c r="B44" s="517" t="s">
        <v>232</v>
      </c>
      <c r="C44" s="517"/>
      <c r="D44" s="517"/>
    </row>
    <row r="45" spans="1:4" x14ac:dyDescent="0.35">
      <c r="A45" s="517" t="s">
        <v>231</v>
      </c>
      <c r="B45" s="517" t="s">
        <v>232</v>
      </c>
      <c r="C45" s="517"/>
      <c r="D45" s="517"/>
    </row>
    <row r="46" spans="1:4" x14ac:dyDescent="0.35">
      <c r="A46" s="517" t="s">
        <v>231</v>
      </c>
      <c r="B46" s="517" t="s">
        <v>232</v>
      </c>
      <c r="C46" s="517"/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105</v>
      </c>
      <c r="E1" s="1" t="s">
        <v>330</v>
      </c>
    </row>
    <row r="2" spans="1:8" x14ac:dyDescent="0.35">
      <c r="D2" t="s">
        <v>77</v>
      </c>
    </row>
    <row r="4" spans="1:8" x14ac:dyDescent="0.35">
      <c r="C4" s="6"/>
      <c r="D4" s="44" t="s">
        <v>472</v>
      </c>
      <c r="E4" s="44">
        <v>4.3478000000000003E-2</v>
      </c>
      <c r="H4" s="44"/>
    </row>
    <row r="5" spans="1:8" x14ac:dyDescent="0.35">
      <c r="C5" s="6"/>
      <c r="D5" s="44" t="s">
        <v>473</v>
      </c>
      <c r="E5" s="44">
        <v>2.5641000000000001E-2</v>
      </c>
      <c r="H5" s="44"/>
    </row>
    <row r="6" spans="1:8" x14ac:dyDescent="0.35">
      <c r="A6" s="577"/>
      <c r="D6" s="44" t="s">
        <v>474</v>
      </c>
      <c r="E6" s="44">
        <v>2.5000000000000001E-2</v>
      </c>
      <c r="H6" s="44"/>
    </row>
    <row r="7" spans="1:8" x14ac:dyDescent="0.35">
      <c r="D7" s="44" t="s">
        <v>481</v>
      </c>
      <c r="E7" s="44">
        <v>3.2288999999999998E-2</v>
      </c>
      <c r="H7" s="44"/>
    </row>
    <row r="8" spans="1:8" x14ac:dyDescent="0.35">
      <c r="D8" s="44" t="s">
        <v>475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721</v>
      </c>
      <c r="E17" t="s">
        <v>722</v>
      </c>
      <c r="F17" s="20">
        <f ca="1">TODAY()-__4_GebDatum+1</f>
        <v>359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723</v>
      </c>
      <c r="F18">
        <f>Gewicht/10</f>
        <v>10</v>
      </c>
    </row>
    <row r="20" spans="1:6" x14ac:dyDescent="0.35">
      <c r="A20" t="s">
        <v>241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1201" workbookViewId="0">
      <selection sqref="A1:B62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zoomScaleNormal="100" workbookViewId="0">
      <selection activeCell="C5" sqref="C5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606</v>
      </c>
      <c r="B1" s="235" t="s">
        <v>908</v>
      </c>
      <c r="C1" s="234" t="str">
        <f>PedPrtAfspr!F2&amp;" geb: "&amp;TEXT(PedPrtAfspr!F3,"dd-mmm-jj")&amp;". Gewicht: "&amp;ROUND(Gewicht/10,1)&amp;" kg"</f>
        <v>Achternaam, Voornaam geb: 01-jan-16. Gewicht: 10 kg</v>
      </c>
    </row>
    <row r="2" spans="1:3 4305:4305" x14ac:dyDescent="0.35">
      <c r="A2" t="s">
        <v>606</v>
      </c>
      <c r="B2" s="236" t="s">
        <v>909</v>
      </c>
      <c r="C2" s="234" t="str">
        <f>__2_AchterNaam</f>
        <v>Achternaam</v>
      </c>
      <c r="FIO2">
        <v>30</v>
      </c>
    </row>
    <row r="3" spans="1:3 4305:4305" x14ac:dyDescent="0.35">
      <c r="A3" t="s">
        <v>606</v>
      </c>
      <c r="B3" s="236" t="s">
        <v>910</v>
      </c>
      <c r="C3" s="234" t="str">
        <f>__3_VoorNaam</f>
        <v>Voornaam</v>
      </c>
    </row>
    <row r="4" spans="1:3 4305:4305" x14ac:dyDescent="0.35">
      <c r="A4" t="s">
        <v>606</v>
      </c>
      <c r="B4" s="236" t="s">
        <v>911</v>
      </c>
      <c r="C4" s="234" t="str">
        <f>TEXT(PedPrtAfspr!F3,"dd-mmm-jj")</f>
        <v>01-jan-16</v>
      </c>
    </row>
    <row r="5" spans="1:3 4305:4305" x14ac:dyDescent="0.35">
      <c r="A5" t="s">
        <v>606</v>
      </c>
      <c r="B5" s="236" t="s">
        <v>912</v>
      </c>
      <c r="C5" s="22">
        <f>__0_PatNum</f>
        <v>0</v>
      </c>
    </row>
    <row r="6" spans="1:3 4305:4305" x14ac:dyDescent="0.35">
      <c r="A6" s="577" t="s">
        <v>928</v>
      </c>
      <c r="B6" s="236" t="s">
        <v>908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928</v>
      </c>
      <c r="B7" s="236" t="s">
        <v>909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928</v>
      </c>
      <c r="B8" s="236" t="s">
        <v>910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928</v>
      </c>
      <c r="B9" s="235" t="s">
        <v>911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928</v>
      </c>
      <c r="B10" s="235" t="s">
        <v>912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928</v>
      </c>
      <c r="B11" s="235" t="s">
        <v>913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928</v>
      </c>
      <c r="B12" s="235" t="s">
        <v>914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928</v>
      </c>
      <c r="B13" s="235" t="s">
        <v>915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928</v>
      </c>
      <c r="B14" s="235" t="s">
        <v>916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928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928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928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928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928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928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928</v>
      </c>
      <c r="B21" s="235">
        <v>16</v>
      </c>
      <c r="C21" t="str">
        <f>IF(GlobBerOpm!C4&lt;&gt;0,PedPrtAfspr!C67&amp;" "&amp;GlobBerOpm!C4,"")</f>
        <v/>
      </c>
    </row>
    <row r="22" spans="1:6" x14ac:dyDescent="0.35">
      <c r="A22" t="s">
        <v>929</v>
      </c>
      <c r="B22" s="235" t="s">
        <v>908</v>
      </c>
      <c r="C22" t="str">
        <f>PedBerMedDisc!AC2</f>
        <v/>
      </c>
    </row>
    <row r="23" spans="1:6" x14ac:dyDescent="0.35">
      <c r="A23" t="s">
        <v>929</v>
      </c>
      <c r="B23" s="235" t="s">
        <v>909</v>
      </c>
      <c r="C23" t="str">
        <f>PedBerMedDisc!AC3</f>
        <v/>
      </c>
    </row>
    <row r="24" spans="1:6" x14ac:dyDescent="0.35">
      <c r="A24" t="s">
        <v>929</v>
      </c>
      <c r="B24" s="235" t="s">
        <v>910</v>
      </c>
      <c r="C24" t="str">
        <f>PedBerMedDisc!AC4</f>
        <v/>
      </c>
    </row>
    <row r="25" spans="1:6" x14ac:dyDescent="0.35">
      <c r="A25" t="s">
        <v>929</v>
      </c>
      <c r="B25" s="235" t="s">
        <v>911</v>
      </c>
      <c r="C25" t="str">
        <f>PedBerMedDisc!AC5</f>
        <v/>
      </c>
    </row>
    <row r="26" spans="1:6" x14ac:dyDescent="0.35">
      <c r="A26" t="s">
        <v>929</v>
      </c>
      <c r="B26" s="235" t="s">
        <v>912</v>
      </c>
      <c r="C26" t="str">
        <f>PedBerMedDisc!AC6</f>
        <v/>
      </c>
    </row>
    <row r="27" spans="1:6" x14ac:dyDescent="0.35">
      <c r="A27" t="s">
        <v>929</v>
      </c>
      <c r="B27" s="235" t="s">
        <v>913</v>
      </c>
      <c r="C27" t="str">
        <f>PedBerMedDisc!AC7</f>
        <v/>
      </c>
    </row>
    <row r="28" spans="1:6" x14ac:dyDescent="0.35">
      <c r="A28" t="s">
        <v>929</v>
      </c>
      <c r="B28" s="235" t="s">
        <v>914</v>
      </c>
      <c r="C28" t="str">
        <f>PedBerMedDisc!AC8</f>
        <v/>
      </c>
    </row>
    <row r="29" spans="1:6" x14ac:dyDescent="0.35">
      <c r="A29" t="s">
        <v>929</v>
      </c>
      <c r="B29" s="235" t="s">
        <v>915</v>
      </c>
      <c r="C29" t="str">
        <f>PedBerMedDisc!AC9</f>
        <v/>
      </c>
      <c r="E29" s="517"/>
      <c r="F29" s="520"/>
    </row>
    <row r="30" spans="1:6" x14ac:dyDescent="0.35">
      <c r="A30" t="s">
        <v>929</v>
      </c>
      <c r="B30" s="235" t="s">
        <v>916</v>
      </c>
      <c r="C30" t="str">
        <f>PedBerMedDisc!AC10</f>
        <v/>
      </c>
    </row>
    <row r="31" spans="1:6" x14ac:dyDescent="0.35">
      <c r="A31" t="s">
        <v>929</v>
      </c>
      <c r="B31" s="235">
        <v>10</v>
      </c>
      <c r="C31" t="str">
        <f>PedBerMedDisc!AC11</f>
        <v/>
      </c>
    </row>
    <row r="32" spans="1:6" x14ac:dyDescent="0.35">
      <c r="A32" t="s">
        <v>929</v>
      </c>
      <c r="B32" s="235">
        <v>11</v>
      </c>
      <c r="C32" t="str">
        <f>PedBerMedDisc!AC12</f>
        <v/>
      </c>
    </row>
    <row r="33" spans="1:7" x14ac:dyDescent="0.35">
      <c r="A33" t="s">
        <v>929</v>
      </c>
      <c r="B33" s="235">
        <v>12</v>
      </c>
      <c r="C33" t="str">
        <f>PedBerMedDisc!AC13</f>
        <v/>
      </c>
    </row>
    <row r="34" spans="1:7" x14ac:dyDescent="0.35">
      <c r="A34" t="s">
        <v>929</v>
      </c>
      <c r="B34" s="235">
        <v>13</v>
      </c>
      <c r="C34" t="str">
        <f>PedBerMedDisc!AC14</f>
        <v/>
      </c>
    </row>
    <row r="35" spans="1:7" x14ac:dyDescent="0.35">
      <c r="A35" t="s">
        <v>929</v>
      </c>
      <c r="B35" s="235">
        <v>14</v>
      </c>
      <c r="C35" t="str">
        <f>PedBerMedDisc!AC15</f>
        <v/>
      </c>
    </row>
    <row r="36" spans="1:7" x14ac:dyDescent="0.35">
      <c r="A36" t="s">
        <v>929</v>
      </c>
      <c r="B36" s="235">
        <v>15</v>
      </c>
      <c r="C36" t="str">
        <f>PedBerMedDisc!AC16</f>
        <v/>
      </c>
    </row>
    <row r="37" spans="1:7" x14ac:dyDescent="0.35">
      <c r="A37" t="s">
        <v>929</v>
      </c>
      <c r="B37" s="235">
        <v>16</v>
      </c>
      <c r="C37" t="str">
        <f>PedBerMedDisc!AC17</f>
        <v/>
      </c>
    </row>
    <row r="38" spans="1:7" x14ac:dyDescent="0.35">
      <c r="A38" t="s">
        <v>929</v>
      </c>
      <c r="B38" s="235">
        <v>17</v>
      </c>
      <c r="C38" t="str">
        <f>PedBerMedDisc!AC18</f>
        <v/>
      </c>
    </row>
    <row r="39" spans="1:7" x14ac:dyDescent="0.35">
      <c r="A39" t="s">
        <v>929</v>
      </c>
      <c r="B39" s="235">
        <v>18</v>
      </c>
      <c r="C39" t="str">
        <f>PedBerMedDisc!AC19</f>
        <v/>
      </c>
    </row>
    <row r="40" spans="1:7" x14ac:dyDescent="0.35">
      <c r="A40" t="s">
        <v>929</v>
      </c>
      <c r="B40" s="235">
        <v>19</v>
      </c>
      <c r="C40" t="str">
        <f>PedBerMedDisc!AC20</f>
        <v/>
      </c>
    </row>
    <row r="41" spans="1:7" x14ac:dyDescent="0.35">
      <c r="A41" t="s">
        <v>929</v>
      </c>
      <c r="B41" s="235">
        <v>20</v>
      </c>
      <c r="C41" t="str">
        <f>PedBerMedDisc!AC21</f>
        <v/>
      </c>
    </row>
    <row r="42" spans="1:7" x14ac:dyDescent="0.35">
      <c r="A42" s="517" t="s">
        <v>929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929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929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929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929</v>
      </c>
      <c r="B46" s="520">
        <v>25</v>
      </c>
      <c r="C46" s="517" t="str">
        <f>PedBerMedDisc!AC26</f>
        <v/>
      </c>
    </row>
    <row r="47" spans="1:7" x14ac:dyDescent="0.35">
      <c r="A47" s="517" t="s">
        <v>929</v>
      </c>
      <c r="B47" s="520">
        <v>26</v>
      </c>
      <c r="C47" s="517" t="str">
        <f>PedBerMedDisc!AC27</f>
        <v/>
      </c>
    </row>
    <row r="48" spans="1:7" x14ac:dyDescent="0.35">
      <c r="A48" s="517" t="s">
        <v>929</v>
      </c>
      <c r="B48" s="520">
        <v>27</v>
      </c>
      <c r="C48" s="517" t="str">
        <f>PedBerMedDisc!AC28</f>
        <v/>
      </c>
    </row>
    <row r="49" spans="1:5" x14ac:dyDescent="0.35">
      <c r="A49" s="517" t="s">
        <v>929</v>
      </c>
      <c r="B49" s="520">
        <v>28</v>
      </c>
      <c r="C49" s="517" t="str">
        <f>PedBerMedDisc!AC29</f>
        <v/>
      </c>
    </row>
    <row r="50" spans="1:5" x14ac:dyDescent="0.35">
      <c r="A50" s="517" t="s">
        <v>929</v>
      </c>
      <c r="B50" s="520">
        <v>29</v>
      </c>
      <c r="C50" s="517" t="str">
        <f>PedBerMedDisc!AC30</f>
        <v/>
      </c>
    </row>
    <row r="51" spans="1:5" x14ac:dyDescent="0.35">
      <c r="A51" s="517" t="s">
        <v>929</v>
      </c>
      <c r="B51" s="520">
        <v>30</v>
      </c>
      <c r="C51" s="517" t="str">
        <f>PedBerMedDisc!AC31</f>
        <v/>
      </c>
    </row>
    <row r="52" spans="1:5" x14ac:dyDescent="0.35">
      <c r="A52" s="518" t="s">
        <v>1656</v>
      </c>
      <c r="B52" s="520" t="s">
        <v>908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1656</v>
      </c>
      <c r="B53" s="520" t="s">
        <v>909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1656</v>
      </c>
      <c r="B54" s="520" t="s">
        <v>910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1656</v>
      </c>
      <c r="B55" s="520" t="s">
        <v>911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930</v>
      </c>
      <c r="B56" s="235" t="s">
        <v>908</v>
      </c>
      <c r="C56" t="str">
        <f>IF(PedPrtAfspr!C39&lt;&gt;0,PedPrtAfspr!C39,"")</f>
        <v/>
      </c>
    </row>
    <row r="57" spans="1:5" x14ac:dyDescent="0.35">
      <c r="A57" t="s">
        <v>930</v>
      </c>
      <c r="B57" s="235" t="s">
        <v>909</v>
      </c>
      <c r="C57" t="str">
        <f>IF(PedPrtAfspr!C40&lt;&gt;0,PedPrtAfspr!C40,"")</f>
        <v/>
      </c>
    </row>
    <row r="58" spans="1:5" x14ac:dyDescent="0.35">
      <c r="A58" t="s">
        <v>930</v>
      </c>
      <c r="B58" s="235" t="s">
        <v>910</v>
      </c>
      <c r="C58" t="str">
        <f>IF(PedPrtAfspr!C41&lt;&gt;0,PedPrtAfspr!C41,"")</f>
        <v/>
      </c>
    </row>
    <row r="59" spans="1:5" x14ac:dyDescent="0.35">
      <c r="A59" t="s">
        <v>930</v>
      </c>
      <c r="B59" s="235" t="s">
        <v>911</v>
      </c>
      <c r="C59" t="str">
        <f>IF(PedPrtAfspr!C42&lt;&gt;0,PedPrtAfspr!C42,"")</f>
        <v/>
      </c>
    </row>
    <row r="60" spans="1:5" x14ac:dyDescent="0.35">
      <c r="A60" t="s">
        <v>930</v>
      </c>
      <c r="B60" s="235" t="s">
        <v>912</v>
      </c>
      <c r="C60" t="str">
        <f>IF(PedPrtAfspr!C43&lt;&gt;0,PedPrtAfspr!C43,"")</f>
        <v/>
      </c>
    </row>
    <row r="61" spans="1:5" x14ac:dyDescent="0.35">
      <c r="A61" t="s">
        <v>930</v>
      </c>
      <c r="B61" s="235" t="s">
        <v>913</v>
      </c>
      <c r="C61" t="str">
        <f>IF(PedPrtAfspr!C44&lt;&gt;0,PedPrtAfspr!C44,"")</f>
        <v/>
      </c>
    </row>
    <row r="62" spans="1:5" x14ac:dyDescent="0.35">
      <c r="A62" t="s">
        <v>930</v>
      </c>
      <c r="B62" s="235" t="s">
        <v>914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27</v>
      </c>
      <c r="B63" s="521" t="s">
        <v>908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931</v>
      </c>
      <c r="B64" s="235" t="s">
        <v>908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931</v>
      </c>
      <c r="B65" s="235" t="s">
        <v>909</v>
      </c>
      <c r="C65" t="str">
        <f>IF(PedPrtAfspr!D12&lt;&gt;0,"Opmerkingen: "&amp;PedPrtAfspr!D12,"")</f>
        <v/>
      </c>
    </row>
    <row r="66" spans="1:3" x14ac:dyDescent="0.35">
      <c r="A66" t="s">
        <v>931</v>
      </c>
      <c r="B66" s="235" t="s">
        <v>910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931</v>
      </c>
      <c r="B67" s="235" t="s">
        <v>911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931</v>
      </c>
      <c r="B68" s="235" t="s">
        <v>912</v>
      </c>
      <c r="C68" t="str">
        <f>IF(PedPrtAfspr!E85&lt;&gt;" ",PedPrtAfspr!D85&amp;": "&amp;PedPrtAfspr!E85,"")</f>
        <v/>
      </c>
    </row>
    <row r="69" spans="1:3" x14ac:dyDescent="0.35">
      <c r="A69" t="s">
        <v>931</v>
      </c>
      <c r="B69" s="235" t="s">
        <v>913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931</v>
      </c>
      <c r="B70" s="235" t="s">
        <v>914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931</v>
      </c>
      <c r="B71" s="236" t="s">
        <v>915</v>
      </c>
      <c r="C71" t="str">
        <f>IF(PedGuiEntTPN!D32&lt;&gt;0,"Opmerkingen: "&amp;PedGuiEntTPN!D32,"")</f>
        <v/>
      </c>
    </row>
    <row r="72" spans="1:3" x14ac:dyDescent="0.35">
      <c r="A72" t="s">
        <v>285</v>
      </c>
      <c r="B72" s="235" t="s">
        <v>908</v>
      </c>
      <c r="C72" t="str">
        <f>IF(PedPrtAfspr!D15&lt;&gt;"",PedPrtAfspr!C15&amp;": "&amp;PedPrtAfspr!D15,"")</f>
        <v/>
      </c>
    </row>
    <row r="73" spans="1:3" x14ac:dyDescent="0.35">
      <c r="A73" t="s">
        <v>285</v>
      </c>
      <c r="B73" s="235" t="s">
        <v>909</v>
      </c>
      <c r="C73" t="str">
        <f>IF(PedPrtAfspr!D16&lt;&gt;"",PedPrtAfspr!C16&amp;": "&amp;PedPrtAfspr!D16,"")</f>
        <v/>
      </c>
    </row>
    <row r="74" spans="1:3" x14ac:dyDescent="0.35">
      <c r="A74" t="s">
        <v>285</v>
      </c>
      <c r="B74" s="235" t="s">
        <v>910</v>
      </c>
      <c r="C74" t="str">
        <f>IF(PedPrtAfspr!D17&lt;&gt;"",PedPrtAfspr!C17&amp;": "&amp;PedPrtAfspr!D17,"")</f>
        <v/>
      </c>
    </row>
    <row r="75" spans="1:3" x14ac:dyDescent="0.35">
      <c r="A75" t="s">
        <v>285</v>
      </c>
      <c r="B75" s="235" t="s">
        <v>911</v>
      </c>
      <c r="C75" t="str">
        <f>IF(PedPrtAfspr!D18&lt;&gt;"",PedPrtAfspr!C18&amp;": "&amp;PedPrtAfspr!D18,"")</f>
        <v/>
      </c>
    </row>
    <row r="76" spans="1:3" x14ac:dyDescent="0.35">
      <c r="A76" t="s">
        <v>285</v>
      </c>
      <c r="B76" s="235" t="s">
        <v>912</v>
      </c>
      <c r="C76" t="str">
        <f>IF(PedPrtAfspr!D19&lt;&gt;"",PedPrtAfspr!C19&amp;": "&amp;PedPrtAfspr!D19,"")</f>
        <v/>
      </c>
    </row>
    <row r="77" spans="1:3" x14ac:dyDescent="0.35">
      <c r="A77" t="s">
        <v>285</v>
      </c>
      <c r="B77" s="235" t="s">
        <v>913</v>
      </c>
      <c r="C77" t="str">
        <f>IF(PedPrtAfspr!D20&lt;&gt;0,PedPrtAfspr!C20&amp;": "&amp;PedPrtAfspr!D20,"")</f>
        <v/>
      </c>
    </row>
    <row r="78" spans="1:3" x14ac:dyDescent="0.35">
      <c r="A78" t="s">
        <v>728</v>
      </c>
      <c r="B78" s="235" t="s">
        <v>908</v>
      </c>
      <c r="C78" t="str">
        <f>PedPrtAfspr!C96&amp;": "&amp;PedPrtAfspr!D96</f>
        <v>Vocht: 0 ml/kg</v>
      </c>
    </row>
    <row r="79" spans="1:3" x14ac:dyDescent="0.35">
      <c r="A79" t="s">
        <v>728</v>
      </c>
      <c r="B79" s="235" t="s">
        <v>909</v>
      </c>
      <c r="C79" t="str">
        <f>PedPrtAfspr!C97&amp;": "&amp;PedPrtAfspr!D97</f>
        <v>Eiwit: 0  gram/kg</v>
      </c>
    </row>
    <row r="80" spans="1:3" x14ac:dyDescent="0.35">
      <c r="A80" t="s">
        <v>728</v>
      </c>
      <c r="B80" s="235" t="s">
        <v>910</v>
      </c>
      <c r="C80" t="str">
        <f>PedPrtAfspr!C98&amp;": "&amp;PedPrtAfspr!D98</f>
        <v>Glucose/KH: 0 g/kg</v>
      </c>
    </row>
    <row r="81" spans="1:3" x14ac:dyDescent="0.35">
      <c r="A81" t="s">
        <v>728</v>
      </c>
      <c r="B81" s="235" t="s">
        <v>911</v>
      </c>
      <c r="C81" t="str">
        <f>PedPrtAfspr!E96&amp;": "&amp;PedPrtAfspr!F96</f>
        <v>Calorieen: 0 kCal/kg</v>
      </c>
    </row>
    <row r="82" spans="1:3" x14ac:dyDescent="0.35">
      <c r="A82" t="s">
        <v>728</v>
      </c>
      <c r="B82" s="235" t="s">
        <v>912</v>
      </c>
      <c r="C82" t="str">
        <f>PedPrtAfspr!E97&amp;": "&amp;PedPrtAfspr!F97</f>
        <v>Vet: 0 gram/kg</v>
      </c>
    </row>
    <row r="83" spans="1:3" x14ac:dyDescent="0.35">
      <c r="A83" t="s">
        <v>728</v>
      </c>
      <c r="B83" s="235" t="s">
        <v>913</v>
      </c>
      <c r="C83" t="str">
        <f>PedPrtAfspr!G96&amp;": "&amp;PedPrtAfspr!H96</f>
        <v>Kalium: 0 mmol/kg</v>
      </c>
    </row>
    <row r="84" spans="1:3" x14ac:dyDescent="0.35">
      <c r="A84" t="s">
        <v>728</v>
      </c>
      <c r="B84" s="235" t="s">
        <v>914</v>
      </c>
      <c r="C84" t="str">
        <f>PedPrtAfspr!G97&amp;": "&amp;PedPrtAfspr!H97</f>
        <v>Calcium: 0 mmol/kg</v>
      </c>
    </row>
    <row r="85" spans="1:3" x14ac:dyDescent="0.35">
      <c r="A85" t="s">
        <v>728</v>
      </c>
      <c r="B85" s="235" t="s">
        <v>915</v>
      </c>
      <c r="C85" t="str">
        <f>PedPrtAfspr!G98&amp;": "&amp;PedPrtAfspr!H98</f>
        <v>Magnesium: 0 mmol/kg</v>
      </c>
    </row>
    <row r="86" spans="1:3" x14ac:dyDescent="0.35">
      <c r="A86" t="s">
        <v>728</v>
      </c>
      <c r="B86" s="235" t="s">
        <v>916</v>
      </c>
      <c r="C86" t="str">
        <f>PedPrtAfspr!I96&amp;": "&amp;PedPrtAfspr!J96</f>
        <v>Natrium : 0 mmol/kg</v>
      </c>
    </row>
    <row r="87" spans="1:3" x14ac:dyDescent="0.35">
      <c r="A87" t="s">
        <v>728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1261</v>
      </c>
      <c r="B88" s="517">
        <v>6</v>
      </c>
      <c r="C88" s="519" t="str">
        <f ca="1">NeoGuiAfspraken!H15</f>
        <v>81 weken en 1 dag(-en)</v>
      </c>
    </row>
    <row r="89" spans="1:3" x14ac:dyDescent="0.35">
      <c r="A89" s="518" t="s">
        <v>2283</v>
      </c>
      <c r="B89" s="520" t="s">
        <v>908</v>
      </c>
      <c r="C89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2283</v>
      </c>
      <c r="B90" s="520" t="s">
        <v>909</v>
      </c>
      <c r="C90" s="517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2283</v>
      </c>
      <c r="B91" s="520" t="s">
        <v>910</v>
      </c>
      <c r="C91" s="517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2283</v>
      </c>
      <c r="B92" s="520" t="s">
        <v>911</v>
      </c>
      <c r="C92" s="517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2283</v>
      </c>
      <c r="B93" s="520" t="s">
        <v>912</v>
      </c>
      <c r="C93" s="517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2283</v>
      </c>
      <c r="B94" s="520" t="s">
        <v>913</v>
      </c>
      <c r="C94" s="517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2283</v>
      </c>
      <c r="B95" s="520" t="s">
        <v>914</v>
      </c>
      <c r="C95" s="517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2283</v>
      </c>
      <c r="B96" s="520" t="s">
        <v>915</v>
      </c>
      <c r="C96" s="517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2283</v>
      </c>
      <c r="B97" s="520" t="s">
        <v>916</v>
      </c>
      <c r="C97" s="517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2283</v>
      </c>
      <c r="B98" s="520" t="s">
        <v>1264</v>
      </c>
      <c r="C98" s="517" t="str">
        <f>IF(NeoBerIV!B32="","",NeoBerIV!B32)</f>
        <v/>
      </c>
    </row>
    <row r="99" spans="1:7" x14ac:dyDescent="0.35">
      <c r="A99" s="518" t="s">
        <v>2283</v>
      </c>
      <c r="B99" s="520" t="s">
        <v>1265</v>
      </c>
      <c r="C99" s="517" t="str">
        <f>IF(NeoBerIV!B33="","",NeoBerIV!B33)</f>
        <v/>
      </c>
    </row>
    <row r="100" spans="1:7" x14ac:dyDescent="0.35">
      <c r="A100" s="518" t="s">
        <v>2283</v>
      </c>
      <c r="B100" s="520" t="s">
        <v>1266</v>
      </c>
      <c r="C100" s="517" t="str">
        <f>IF(NeoBerIV!E29&lt;&gt;0, NeoGuiAfspraken!B42&amp;": "&amp; INDEX(Opl,NeoBerIV!$E29,1)&amp;" " &amp; NeoGuiAfspraken!G42,"")</f>
        <v/>
      </c>
    </row>
    <row r="101" spans="1:7" x14ac:dyDescent="0.35">
      <c r="A101" s="518" t="s">
        <v>2283</v>
      </c>
      <c r="B101" s="520" t="s">
        <v>1488</v>
      </c>
      <c r="C101" s="517" t="str">
        <f>IF(NeoBerIV!E30&lt;&gt;0, NeoGuiAfspraken!B43&amp;": "&amp; INDEX(Opl,NeoBerIV!$E30,1)&amp;" " &amp; NeoGuiAfspraken!G43,"")</f>
        <v/>
      </c>
    </row>
    <row r="102" spans="1:7" x14ac:dyDescent="0.35">
      <c r="A102" s="518" t="s">
        <v>2283</v>
      </c>
      <c r="B102" s="520" t="s">
        <v>1489</v>
      </c>
      <c r="C102" s="517" t="str">
        <f>IF(NeoBerIV!E31&lt;&gt;0, NeoGuiAfspraken!B44&amp;": "&amp; INDEX(Opl,NeoBerIV!$E31,1)&amp;" " &amp; NeoGuiAfspraken!G44,"")</f>
        <v/>
      </c>
    </row>
    <row r="103" spans="1:7" x14ac:dyDescent="0.35">
      <c r="A103" s="518" t="s">
        <v>2283</v>
      </c>
      <c r="B103" s="520" t="s">
        <v>1996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35">
      <c r="A104" s="518" t="s">
        <v>2283</v>
      </c>
      <c r="B104" s="520" t="s">
        <v>2271</v>
      </c>
      <c r="C104" s="517" t="str">
        <f ca="1">IF(NeoBerIV!C35&lt;&gt;0,CONCATENATE(INDEX(lijstIntralipidSmof,SelectedIntralipidSmof)," ",ROUNDUP(NeoBerIV!C35/24,1)," ml/uur"),"")</f>
        <v/>
      </c>
    </row>
    <row r="105" spans="1:7" x14ac:dyDescent="0.35">
      <c r="A105" s="518" t="s">
        <v>2283</v>
      </c>
      <c r="B105" s="520" t="s">
        <v>2272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35">
      <c r="A106" s="518" t="s">
        <v>2283</v>
      </c>
      <c r="B106" s="520" t="s">
        <v>2273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35">
      <c r="A107" s="518" t="s">
        <v>2283</v>
      </c>
      <c r="B107" s="520" t="s">
        <v>2274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35">
      <c r="A108" s="518" t="s">
        <v>2283</v>
      </c>
      <c r="B108" s="520" t="s">
        <v>2275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35">
      <c r="A109" s="518" t="s">
        <v>2283</v>
      </c>
      <c r="B109" s="520" t="s">
        <v>2276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35">
      <c r="A110" s="518" t="s">
        <v>2283</v>
      </c>
      <c r="B110" s="520" t="s">
        <v>2277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35">
      <c r="A111" s="518" t="s">
        <v>2283</v>
      </c>
      <c r="B111" s="520" t="s">
        <v>2278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35">
      <c r="A112" s="518" t="s">
        <v>2283</v>
      </c>
      <c r="B112" s="520" t="s">
        <v>2279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35">
      <c r="A113" s="518" t="s">
        <v>2283</v>
      </c>
      <c r="B113" s="520" t="s">
        <v>2280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35">
      <c r="A114" s="518" t="s">
        <v>2283</v>
      </c>
      <c r="B114" s="520" t="s">
        <v>2281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35">
      <c r="A115" s="518" t="s">
        <v>2283</v>
      </c>
      <c r="B115" s="520" t="s">
        <v>2282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2284</v>
      </c>
      <c r="B116" s="520" t="s">
        <v>908</v>
      </c>
      <c r="C116" s="517" t="str">
        <f>IF(_NeoVoeding2&lt;&gt;"",_NeoVoeding2,"")</f>
        <v/>
      </c>
      <c r="D116"/>
      <c r="E116"/>
    </row>
    <row r="117" spans="1:7" s="517" customFormat="1" x14ac:dyDescent="0.35">
      <c r="A117" s="518" t="s">
        <v>2284</v>
      </c>
      <c r="B117" s="520" t="s">
        <v>909</v>
      </c>
      <c r="C117" s="517" t="str">
        <f>IF(_NeoVoeding3&lt;&gt;"",_NeoVoeding3,"")</f>
        <v/>
      </c>
      <c r="D117"/>
      <c r="E117"/>
    </row>
    <row r="118" spans="1:7" x14ac:dyDescent="0.35">
      <c r="A118" s="518" t="s">
        <v>2284</v>
      </c>
      <c r="B118" s="520" t="s">
        <v>910</v>
      </c>
      <c r="C118" s="517" t="str">
        <f>IF(_NeoVoeding4&lt;&gt;"",_NeoVoeding4,"")</f>
        <v/>
      </c>
    </row>
    <row r="119" spans="1:7" x14ac:dyDescent="0.35">
      <c r="A119" s="518" t="s">
        <v>2284</v>
      </c>
      <c r="B119" s="520" t="s">
        <v>911</v>
      </c>
      <c r="C119" s="517" t="str">
        <f>IF(_NeoVoeding5&lt;&gt;"",_NeoVoeding5,"")</f>
        <v/>
      </c>
    </row>
    <row r="120" spans="1:7" s="517" customFormat="1" x14ac:dyDescent="0.35">
      <c r="A120" s="518" t="s">
        <v>2284</v>
      </c>
      <c r="B120" s="520" t="s">
        <v>912</v>
      </c>
      <c r="C120" s="517" t="str">
        <f>IF(_NeoVoeding6&lt;&gt;"",_NeoVoeding6,"")</f>
        <v/>
      </c>
    </row>
    <row r="121" spans="1:7" x14ac:dyDescent="0.35">
      <c r="A121" s="518" t="s">
        <v>2284</v>
      </c>
      <c r="B121" s="520" t="s">
        <v>913</v>
      </c>
      <c r="C121" s="517" t="str">
        <f>IF(_NeoVoeding7&lt;&gt;"",_NeoVoeding7,"")</f>
        <v/>
      </c>
      <c r="D121" s="517"/>
      <c r="E121" s="517"/>
    </row>
    <row r="122" spans="1:7" x14ac:dyDescent="0.35">
      <c r="A122" s="518" t="s">
        <v>2284</v>
      </c>
      <c r="B122" s="520" t="s">
        <v>914</v>
      </c>
      <c r="C122" s="517" t="str">
        <f>IF(_NeoVoeding8&lt;&gt;"",_NeoVoeding8,"")</f>
        <v/>
      </c>
      <c r="D122" s="517"/>
      <c r="E122" s="517"/>
    </row>
    <row r="123" spans="1:7" x14ac:dyDescent="0.35">
      <c r="A123" s="518" t="s">
        <v>2284</v>
      </c>
      <c r="B123" s="520" t="s">
        <v>915</v>
      </c>
      <c r="C123" s="517" t="str">
        <f>IF(_NeoVoeding9&lt;&gt;"",_NeoVoeding9,"")</f>
        <v/>
      </c>
      <c r="D123" s="517"/>
      <c r="E123" s="517"/>
    </row>
    <row r="124" spans="1:7" s="517" customFormat="1" x14ac:dyDescent="0.35">
      <c r="A124" s="518" t="s">
        <v>2284</v>
      </c>
      <c r="B124" s="520" t="s">
        <v>916</v>
      </c>
      <c r="C124" s="517" t="str">
        <f>IF(_NeoVoeding10&lt;&gt;"",_NeoVoeding10,"")</f>
        <v/>
      </c>
      <c r="F124"/>
      <c r="G124"/>
    </row>
    <row r="125" spans="1:7" x14ac:dyDescent="0.35">
      <c r="A125" s="518" t="s">
        <v>2284</v>
      </c>
      <c r="B125" s="520" t="s">
        <v>1264</v>
      </c>
      <c r="C125" s="517" t="str">
        <f>IF(_NeoVoeding11&lt;&gt;"",_NeoVoeding11,"")</f>
        <v/>
      </c>
      <c r="D125" s="517"/>
      <c r="E125" s="517"/>
    </row>
    <row r="126" spans="1:7" x14ac:dyDescent="0.35">
      <c r="A126" s="518" t="s">
        <v>2284</v>
      </c>
      <c r="B126" s="520" t="s">
        <v>1265</v>
      </c>
      <c r="C126" s="517" t="str">
        <f>IF(_NeoVoeding12&lt;&gt;"",_NeoVoeding12,"")</f>
        <v/>
      </c>
      <c r="D126" s="517"/>
      <c r="E126" s="517"/>
    </row>
    <row r="127" spans="1:7" x14ac:dyDescent="0.35">
      <c r="A127" s="518" t="s">
        <v>2284</v>
      </c>
      <c r="B127" s="520" t="s">
        <v>1266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35">
      <c r="A128" s="518" t="s">
        <v>1333</v>
      </c>
      <c r="B128" s="520" t="s">
        <v>908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1333</v>
      </c>
      <c r="B129" s="520" t="s">
        <v>909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1333</v>
      </c>
      <c r="B130" s="520" t="s">
        <v>910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1333</v>
      </c>
      <c r="B131" s="520" t="s">
        <v>911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1333</v>
      </c>
      <c r="B132" s="520" t="s">
        <v>912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1262</v>
      </c>
      <c r="B133" s="520" t="s">
        <v>908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1262</v>
      </c>
      <c r="B134" s="520" t="s">
        <v>909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1262</v>
      </c>
      <c r="B135" s="520" t="s">
        <v>910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1262</v>
      </c>
      <c r="B136" s="520" t="s">
        <v>911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1262</v>
      </c>
      <c r="B137" s="520" t="s">
        <v>912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1262</v>
      </c>
      <c r="B138" s="520" t="s">
        <v>913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1262</v>
      </c>
      <c r="B139" s="520" t="s">
        <v>914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1262</v>
      </c>
      <c r="B140" s="520" t="s">
        <v>915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1262</v>
      </c>
      <c r="B141" s="520" t="s">
        <v>916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1263</v>
      </c>
      <c r="B142" s="520" t="s">
        <v>908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1263</v>
      </c>
      <c r="B143" s="520" t="s">
        <v>909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1263</v>
      </c>
      <c r="B144" s="520" t="s">
        <v>910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1263</v>
      </c>
      <c r="B145" s="520" t="s">
        <v>911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1263</v>
      </c>
      <c r="B146" s="520" t="s">
        <v>912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1263</v>
      </c>
      <c r="B147" s="520" t="s">
        <v>913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1263</v>
      </c>
      <c r="B148" s="520" t="s">
        <v>914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1263</v>
      </c>
      <c r="B149" s="520" t="s">
        <v>915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1263</v>
      </c>
      <c r="B150" s="520" t="s">
        <v>916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1263</v>
      </c>
      <c r="B151" s="521" t="s">
        <v>1264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1263</v>
      </c>
      <c r="B152" s="521" t="s">
        <v>1265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1263</v>
      </c>
      <c r="B153" s="521" t="s">
        <v>1266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71" activePane="bottomRight" state="frozen"/>
      <selection activeCell="C22" sqref="C22"/>
      <selection pane="topRight" activeCell="C22" sqref="C22"/>
      <selection pane="bottomLeft" activeCell="C22" sqref="C22"/>
      <selection pane="bottomRight" activeCell="A79" sqref="A79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s="577" t="s">
        <v>355</v>
      </c>
      <c r="B1" t="s">
        <v>356</v>
      </c>
      <c r="C1" t="s">
        <v>512</v>
      </c>
      <c r="T1">
        <v>0</v>
      </c>
    </row>
    <row r="2" spans="1:20" x14ac:dyDescent="0.35">
      <c r="A2" t="s">
        <v>969</v>
      </c>
      <c r="B2" s="517" t="s">
        <v>2638</v>
      </c>
      <c r="C2" t="s">
        <v>562</v>
      </c>
    </row>
    <row r="3" spans="1:20" x14ac:dyDescent="0.35">
      <c r="A3" t="s">
        <v>970</v>
      </c>
      <c r="B3" s="517" t="s">
        <v>2638</v>
      </c>
      <c r="C3" t="s">
        <v>563</v>
      </c>
    </row>
    <row r="4" spans="1:20" x14ac:dyDescent="0.35">
      <c r="A4" t="s">
        <v>450</v>
      </c>
      <c r="B4" s="517">
        <v>42640</v>
      </c>
      <c r="C4">
        <v>42370</v>
      </c>
    </row>
    <row r="5" spans="1:20" x14ac:dyDescent="0.35">
      <c r="A5" t="s">
        <v>757</v>
      </c>
      <c r="B5" s="517" t="b">
        <v>1</v>
      </c>
      <c r="C5" t="b">
        <v>0</v>
      </c>
    </row>
    <row r="6" spans="1:20" x14ac:dyDescent="0.35">
      <c r="A6" t="s">
        <v>758</v>
      </c>
      <c r="B6" s="517">
        <v>7</v>
      </c>
    </row>
    <row r="7" spans="1:20" x14ac:dyDescent="0.35">
      <c r="A7" s="577" t="s">
        <v>568</v>
      </c>
      <c r="B7" s="517" t="b">
        <v>1</v>
      </c>
      <c r="C7" t="b">
        <v>1</v>
      </c>
    </row>
    <row r="8" spans="1:20" x14ac:dyDescent="0.35">
      <c r="A8" t="s">
        <v>78</v>
      </c>
      <c r="B8">
        <v>1</v>
      </c>
    </row>
    <row r="9" spans="1:20" x14ac:dyDescent="0.35">
      <c r="A9" t="s">
        <v>79</v>
      </c>
    </row>
    <row r="10" spans="1:20" x14ac:dyDescent="0.35">
      <c r="A10" t="s">
        <v>80</v>
      </c>
    </row>
    <row r="11" spans="1:20" x14ac:dyDescent="0.35">
      <c r="A11" t="s">
        <v>81</v>
      </c>
    </row>
    <row r="12" spans="1:20" x14ac:dyDescent="0.35">
      <c r="A12" t="s">
        <v>21</v>
      </c>
    </row>
    <row r="13" spans="1:20" x14ac:dyDescent="0.35">
      <c r="A13" t="s">
        <v>22</v>
      </c>
    </row>
    <row r="14" spans="1:20" x14ac:dyDescent="0.35">
      <c r="A14" t="s">
        <v>703</v>
      </c>
      <c r="G14" s="517"/>
    </row>
    <row r="15" spans="1:20" x14ac:dyDescent="0.35">
      <c r="A15" t="s">
        <v>704</v>
      </c>
    </row>
    <row r="16" spans="1:20" x14ac:dyDescent="0.35">
      <c r="A16" t="s">
        <v>705</v>
      </c>
    </row>
    <row r="17" spans="1:2" x14ac:dyDescent="0.35">
      <c r="A17" t="s">
        <v>706</v>
      </c>
    </row>
    <row r="18" spans="1:2" x14ac:dyDescent="0.35">
      <c r="A18" t="s">
        <v>455</v>
      </c>
    </row>
    <row r="19" spans="1:2" x14ac:dyDescent="0.35">
      <c r="A19" t="s">
        <v>456</v>
      </c>
      <c r="B19">
        <v>4</v>
      </c>
    </row>
    <row r="20" spans="1:2" x14ac:dyDescent="0.35">
      <c r="A20" t="s">
        <v>457</v>
      </c>
    </row>
    <row r="21" spans="1:2" x14ac:dyDescent="0.35">
      <c r="A21" s="517" t="s">
        <v>2546</v>
      </c>
    </row>
    <row r="22" spans="1:2" x14ac:dyDescent="0.35">
      <c r="A22" s="517" t="s">
        <v>2547</v>
      </c>
    </row>
    <row r="23" spans="1:2" x14ac:dyDescent="0.35">
      <c r="A23" s="517" t="s">
        <v>2548</v>
      </c>
    </row>
    <row r="24" spans="1:2" x14ac:dyDescent="0.35">
      <c r="A24" s="517" t="s">
        <v>2549</v>
      </c>
    </row>
    <row r="25" spans="1:2" x14ac:dyDescent="0.35">
      <c r="A25" s="517" t="s">
        <v>2550</v>
      </c>
    </row>
    <row r="26" spans="1:2" x14ac:dyDescent="0.35">
      <c r="A26" s="517" t="s">
        <v>2551</v>
      </c>
    </row>
    <row r="27" spans="1:2" x14ac:dyDescent="0.35">
      <c r="A27" s="517" t="s">
        <v>2552</v>
      </c>
    </row>
    <row r="28" spans="1:2" x14ac:dyDescent="0.35">
      <c r="A28" s="517" t="s">
        <v>2553</v>
      </c>
    </row>
    <row r="29" spans="1:2" x14ac:dyDescent="0.35">
      <c r="A29" s="517" t="s">
        <v>2554</v>
      </c>
    </row>
    <row r="30" spans="1:2" x14ac:dyDescent="0.35">
      <c r="A30" s="517" t="s">
        <v>2555</v>
      </c>
    </row>
    <row r="31" spans="1:2" x14ac:dyDescent="0.35">
      <c r="A31" t="s">
        <v>458</v>
      </c>
      <c r="B31">
        <v>1</v>
      </c>
    </row>
    <row r="32" spans="1:2" x14ac:dyDescent="0.35">
      <c r="A32" t="s">
        <v>57</v>
      </c>
    </row>
    <row r="33" spans="1:7" x14ac:dyDescent="0.35">
      <c r="A33" t="s">
        <v>58</v>
      </c>
    </row>
    <row r="34" spans="1:7" x14ac:dyDescent="0.35">
      <c r="A34" t="s">
        <v>59</v>
      </c>
    </row>
    <row r="35" spans="1:7" x14ac:dyDescent="0.35">
      <c r="A35" t="s">
        <v>60</v>
      </c>
    </row>
    <row r="36" spans="1:7" x14ac:dyDescent="0.35">
      <c r="A36" t="s">
        <v>61</v>
      </c>
    </row>
    <row r="37" spans="1:7" x14ac:dyDescent="0.35">
      <c r="A37" t="s">
        <v>134</v>
      </c>
    </row>
    <row r="38" spans="1:7" x14ac:dyDescent="0.35">
      <c r="A38" t="s">
        <v>135</v>
      </c>
      <c r="B38" t="s">
        <v>364</v>
      </c>
    </row>
    <row r="39" spans="1:7" x14ac:dyDescent="0.35">
      <c r="A39" t="s">
        <v>136</v>
      </c>
    </row>
    <row r="40" spans="1:7" x14ac:dyDescent="0.35">
      <c r="A40" t="s">
        <v>137</v>
      </c>
    </row>
    <row r="41" spans="1:7" x14ac:dyDescent="0.35">
      <c r="A41" t="s">
        <v>138</v>
      </c>
      <c r="G41" s="517"/>
    </row>
    <row r="42" spans="1:7" x14ac:dyDescent="0.35">
      <c r="A42" t="s">
        <v>139</v>
      </c>
    </row>
    <row r="43" spans="1:7" x14ac:dyDescent="0.35">
      <c r="A43" t="s">
        <v>140</v>
      </c>
    </row>
    <row r="44" spans="1:7" x14ac:dyDescent="0.35">
      <c r="A44" t="s">
        <v>141</v>
      </c>
    </row>
    <row r="45" spans="1:7" x14ac:dyDescent="0.35">
      <c r="A45" t="s">
        <v>142</v>
      </c>
    </row>
    <row r="46" spans="1:7" x14ac:dyDescent="0.35">
      <c r="A46" t="s">
        <v>143</v>
      </c>
    </row>
    <row r="47" spans="1:7" x14ac:dyDescent="0.35">
      <c r="A47" t="s">
        <v>144</v>
      </c>
    </row>
    <row r="48" spans="1:7" x14ac:dyDescent="0.35">
      <c r="A48" t="s">
        <v>145</v>
      </c>
    </row>
    <row r="49" spans="1:2" x14ac:dyDescent="0.35">
      <c r="A49" t="s">
        <v>146</v>
      </c>
      <c r="B49" t="s">
        <v>364</v>
      </c>
    </row>
    <row r="50" spans="1:2" x14ac:dyDescent="0.35">
      <c r="A50" t="s">
        <v>147</v>
      </c>
    </row>
    <row r="51" spans="1:2" x14ac:dyDescent="0.35">
      <c r="A51" s="517" t="s">
        <v>2536</v>
      </c>
    </row>
    <row r="52" spans="1:2" x14ac:dyDescent="0.35">
      <c r="A52" s="517" t="s">
        <v>2537</v>
      </c>
    </row>
    <row r="53" spans="1:2" x14ac:dyDescent="0.35">
      <c r="A53" s="517" t="s">
        <v>2538</v>
      </c>
    </row>
    <row r="54" spans="1:2" x14ac:dyDescent="0.35">
      <c r="A54" s="517" t="s">
        <v>2539</v>
      </c>
    </row>
    <row r="55" spans="1:2" x14ac:dyDescent="0.35">
      <c r="A55" s="517" t="s">
        <v>2540</v>
      </c>
    </row>
    <row r="56" spans="1:2" x14ac:dyDescent="0.35">
      <c r="A56" s="517" t="s">
        <v>2541</v>
      </c>
    </row>
    <row r="57" spans="1:2" x14ac:dyDescent="0.35">
      <c r="A57" s="517" t="s">
        <v>2542</v>
      </c>
    </row>
    <row r="58" spans="1:2" x14ac:dyDescent="0.35">
      <c r="A58" s="517" t="s">
        <v>2543</v>
      </c>
    </row>
    <row r="59" spans="1:2" x14ac:dyDescent="0.35">
      <c r="A59" s="517" t="s">
        <v>2544</v>
      </c>
    </row>
    <row r="60" spans="1:2" x14ac:dyDescent="0.35">
      <c r="A60" s="517" t="s">
        <v>2545</v>
      </c>
    </row>
    <row r="61" spans="1:2" x14ac:dyDescent="0.35">
      <c r="A61" t="s">
        <v>148</v>
      </c>
      <c r="B61" t="s">
        <v>364</v>
      </c>
    </row>
    <row r="62" spans="1:2" x14ac:dyDescent="0.35">
      <c r="A62" t="s">
        <v>149</v>
      </c>
    </row>
    <row r="63" spans="1:2" x14ac:dyDescent="0.35">
      <c r="A63" t="s">
        <v>150</v>
      </c>
    </row>
    <row r="64" spans="1:2" x14ac:dyDescent="0.35">
      <c r="A64" t="s">
        <v>151</v>
      </c>
    </row>
    <row r="65" spans="1:3" x14ac:dyDescent="0.35">
      <c r="A65" t="s">
        <v>483</v>
      </c>
    </row>
    <row r="66" spans="1:3" x14ac:dyDescent="0.35">
      <c r="A66" t="s">
        <v>484</v>
      </c>
    </row>
    <row r="67" spans="1:3" x14ac:dyDescent="0.35">
      <c r="A67" t="s">
        <v>505</v>
      </c>
    </row>
    <row r="68" spans="1:3" x14ac:dyDescent="0.35">
      <c r="A68" t="s">
        <v>301</v>
      </c>
      <c r="B68">
        <v>1</v>
      </c>
      <c r="C68">
        <v>1</v>
      </c>
    </row>
    <row r="69" spans="1:3" x14ac:dyDescent="0.35">
      <c r="A69" t="s">
        <v>302</v>
      </c>
    </row>
    <row r="70" spans="1:3" x14ac:dyDescent="0.35">
      <c r="A70" t="s">
        <v>303</v>
      </c>
    </row>
    <row r="71" spans="1:3" x14ac:dyDescent="0.35">
      <c r="A71" t="s">
        <v>304</v>
      </c>
    </row>
    <row r="72" spans="1:3" x14ac:dyDescent="0.35">
      <c r="A72" t="s">
        <v>572</v>
      </c>
      <c r="B72" s="517">
        <v>80</v>
      </c>
      <c r="C72">
        <v>100</v>
      </c>
    </row>
    <row r="73" spans="1:3" x14ac:dyDescent="0.35">
      <c r="A73" t="s">
        <v>291</v>
      </c>
      <c r="B73" s="517">
        <v>1</v>
      </c>
      <c r="C73">
        <v>1</v>
      </c>
    </row>
    <row r="74" spans="1:3" x14ac:dyDescent="0.35">
      <c r="A74" t="s">
        <v>292</v>
      </c>
      <c r="B74" s="517">
        <v>1</v>
      </c>
      <c r="C74">
        <v>1</v>
      </c>
    </row>
    <row r="75" spans="1:3" x14ac:dyDescent="0.35">
      <c r="A75" t="s">
        <v>293</v>
      </c>
      <c r="B75" s="517">
        <v>1</v>
      </c>
      <c r="C75">
        <v>1</v>
      </c>
    </row>
    <row r="76" spans="1:3" x14ac:dyDescent="0.35">
      <c r="A76" t="s">
        <v>294</v>
      </c>
      <c r="B76" s="517">
        <v>1</v>
      </c>
      <c r="C76">
        <v>1</v>
      </c>
    </row>
    <row r="77" spans="1:3" x14ac:dyDescent="0.35">
      <c r="A77" t="s">
        <v>295</v>
      </c>
      <c r="B77" s="517">
        <v>1</v>
      </c>
      <c r="C77">
        <v>1</v>
      </c>
    </row>
    <row r="78" spans="1:3" x14ac:dyDescent="0.35">
      <c r="A78" t="s">
        <v>763</v>
      </c>
      <c r="B78" s="517">
        <v>1</v>
      </c>
      <c r="C78">
        <v>1</v>
      </c>
    </row>
    <row r="79" spans="1:3" x14ac:dyDescent="0.35">
      <c r="A79" t="s">
        <v>279</v>
      </c>
      <c r="B79" s="517" t="b">
        <v>1</v>
      </c>
      <c r="C79" t="b">
        <v>0</v>
      </c>
    </row>
    <row r="80" spans="1:3" x14ac:dyDescent="0.35">
      <c r="A80" t="s">
        <v>739</v>
      </c>
      <c r="B80" t="b">
        <v>1</v>
      </c>
    </row>
    <row r="81" spans="1:3" x14ac:dyDescent="0.35">
      <c r="A81" t="s">
        <v>280</v>
      </c>
      <c r="B81">
        <v>7</v>
      </c>
    </row>
    <row r="82" spans="1:3" x14ac:dyDescent="0.35">
      <c r="A82" t="s">
        <v>740</v>
      </c>
      <c r="B82">
        <v>2</v>
      </c>
    </row>
    <row r="83" spans="1:3" x14ac:dyDescent="0.35">
      <c r="A83" t="s">
        <v>305</v>
      </c>
      <c r="B83">
        <v>1</v>
      </c>
      <c r="C83">
        <v>1</v>
      </c>
    </row>
    <row r="84" spans="1:3" x14ac:dyDescent="0.35">
      <c r="A84" t="s">
        <v>306</v>
      </c>
    </row>
    <row r="85" spans="1:3" x14ac:dyDescent="0.35">
      <c r="A85" t="s">
        <v>307</v>
      </c>
    </row>
    <row r="86" spans="1:3" x14ac:dyDescent="0.35">
      <c r="A86" t="s">
        <v>308</v>
      </c>
    </row>
    <row r="87" spans="1:3" x14ac:dyDescent="0.35">
      <c r="A87" t="s">
        <v>642</v>
      </c>
      <c r="B87" t="b">
        <v>1</v>
      </c>
      <c r="C87" t="b">
        <v>0</v>
      </c>
    </row>
    <row r="88" spans="1:3" x14ac:dyDescent="0.35">
      <c r="A88" t="s">
        <v>65</v>
      </c>
      <c r="B88">
        <v>8</v>
      </c>
    </row>
    <row r="89" spans="1:3" x14ac:dyDescent="0.35">
      <c r="A89" t="s">
        <v>1350</v>
      </c>
      <c r="C89">
        <v>1</v>
      </c>
    </row>
    <row r="90" spans="1:3" x14ac:dyDescent="0.35">
      <c r="A90" t="s">
        <v>1351</v>
      </c>
    </row>
    <row r="91" spans="1:3" x14ac:dyDescent="0.35">
      <c r="A91" t="s">
        <v>1352</v>
      </c>
    </row>
    <row r="92" spans="1:3" x14ac:dyDescent="0.35">
      <c r="A92" t="s">
        <v>1353</v>
      </c>
    </row>
    <row r="93" spans="1:3" x14ac:dyDescent="0.35">
      <c r="A93" t="s">
        <v>1354</v>
      </c>
    </row>
    <row r="94" spans="1:3" x14ac:dyDescent="0.35">
      <c r="A94" t="s">
        <v>1355</v>
      </c>
    </row>
    <row r="95" spans="1:3" x14ac:dyDescent="0.35">
      <c r="A95" t="s">
        <v>1356</v>
      </c>
    </row>
    <row r="96" spans="1:3" x14ac:dyDescent="0.35">
      <c r="A96" t="s">
        <v>1357</v>
      </c>
    </row>
    <row r="97" spans="1:2" x14ac:dyDescent="0.35">
      <c r="A97" t="s">
        <v>1358</v>
      </c>
    </row>
    <row r="98" spans="1:2" x14ac:dyDescent="0.35">
      <c r="A98" t="s">
        <v>1359</v>
      </c>
    </row>
    <row r="99" spans="1:2" x14ac:dyDescent="0.35">
      <c r="A99" t="s">
        <v>1360</v>
      </c>
    </row>
    <row r="100" spans="1:2" x14ac:dyDescent="0.35">
      <c r="A100" t="s">
        <v>1361</v>
      </c>
      <c r="B100" t="b">
        <v>1</v>
      </c>
    </row>
    <row r="101" spans="1:2" x14ac:dyDescent="0.35">
      <c r="A101" t="s">
        <v>1362</v>
      </c>
    </row>
    <row r="102" spans="1:2" x14ac:dyDescent="0.35">
      <c r="A102" t="s">
        <v>1363</v>
      </c>
    </row>
    <row r="103" spans="1:2" x14ac:dyDescent="0.35">
      <c r="A103" t="s">
        <v>1364</v>
      </c>
    </row>
    <row r="104" spans="1:2" x14ac:dyDescent="0.35">
      <c r="A104" t="s">
        <v>1365</v>
      </c>
    </row>
    <row r="105" spans="1:2" x14ac:dyDescent="0.35">
      <c r="A105" t="s">
        <v>1366</v>
      </c>
    </row>
    <row r="106" spans="1:2" x14ac:dyDescent="0.35">
      <c r="A106" t="s">
        <v>1367</v>
      </c>
    </row>
    <row r="107" spans="1:2" x14ac:dyDescent="0.35">
      <c r="A107" t="s">
        <v>1368</v>
      </c>
    </row>
    <row r="108" spans="1:2" x14ac:dyDescent="0.35">
      <c r="A108" t="s">
        <v>1369</v>
      </c>
    </row>
    <row r="109" spans="1:2" x14ac:dyDescent="0.35">
      <c r="A109" t="s">
        <v>1448</v>
      </c>
    </row>
    <row r="110" spans="1:2" x14ac:dyDescent="0.35">
      <c r="A110" t="s">
        <v>1449</v>
      </c>
    </row>
    <row r="111" spans="1:2" x14ac:dyDescent="0.35">
      <c r="A111" t="s">
        <v>1370</v>
      </c>
    </row>
    <row r="112" spans="1:2" x14ac:dyDescent="0.35">
      <c r="A112" t="s">
        <v>1450</v>
      </c>
    </row>
    <row r="113" spans="1:2" x14ac:dyDescent="0.35">
      <c r="A113" t="s">
        <v>1451</v>
      </c>
    </row>
    <row r="114" spans="1:2" x14ac:dyDescent="0.35">
      <c r="A114" t="s">
        <v>1371</v>
      </c>
    </row>
    <row r="115" spans="1:2" x14ac:dyDescent="0.35">
      <c r="A115" t="s">
        <v>1372</v>
      </c>
    </row>
    <row r="116" spans="1:2" x14ac:dyDescent="0.35">
      <c r="A116" t="s">
        <v>1373</v>
      </c>
    </row>
    <row r="117" spans="1:2" x14ac:dyDescent="0.35">
      <c r="A117" t="s">
        <v>1374</v>
      </c>
    </row>
    <row r="118" spans="1:2" x14ac:dyDescent="0.35">
      <c r="A118" t="s">
        <v>1375</v>
      </c>
    </row>
    <row r="119" spans="1:2" x14ac:dyDescent="0.35">
      <c r="A119" t="s">
        <v>1376</v>
      </c>
    </row>
    <row r="120" spans="1:2" x14ac:dyDescent="0.35">
      <c r="A120" t="s">
        <v>1377</v>
      </c>
      <c r="B120" t="b">
        <v>1</v>
      </c>
    </row>
    <row r="121" spans="1:2" x14ac:dyDescent="0.35">
      <c r="A121" t="s">
        <v>1378</v>
      </c>
    </row>
    <row r="122" spans="1:2" x14ac:dyDescent="0.35">
      <c r="A122" t="s">
        <v>1379</v>
      </c>
    </row>
    <row r="123" spans="1:2" x14ac:dyDescent="0.35">
      <c r="A123" t="s">
        <v>1380</v>
      </c>
    </row>
    <row r="124" spans="1:2" x14ac:dyDescent="0.35">
      <c r="A124" t="s">
        <v>1381</v>
      </c>
    </row>
    <row r="125" spans="1:2" x14ac:dyDescent="0.35">
      <c r="A125" t="s">
        <v>1382</v>
      </c>
    </row>
    <row r="126" spans="1:2" x14ac:dyDescent="0.35">
      <c r="A126" t="s">
        <v>1383</v>
      </c>
    </row>
    <row r="127" spans="1:2" x14ac:dyDescent="0.35">
      <c r="A127" t="s">
        <v>1384</v>
      </c>
    </row>
    <row r="128" spans="1:2" x14ac:dyDescent="0.35">
      <c r="A128" t="s">
        <v>1385</v>
      </c>
    </row>
    <row r="129" spans="1:1" x14ac:dyDescent="0.35">
      <c r="A129" t="s">
        <v>1386</v>
      </c>
    </row>
    <row r="130" spans="1:1" x14ac:dyDescent="0.35">
      <c r="A130" t="s">
        <v>1387</v>
      </c>
    </row>
    <row r="131" spans="1:1" x14ac:dyDescent="0.35">
      <c r="A131" t="s">
        <v>1388</v>
      </c>
    </row>
    <row r="132" spans="1:1" x14ac:dyDescent="0.35">
      <c r="A132" t="s">
        <v>1389</v>
      </c>
    </row>
    <row r="133" spans="1:1" x14ac:dyDescent="0.35">
      <c r="A133" t="s">
        <v>1390</v>
      </c>
    </row>
    <row r="134" spans="1:1" x14ac:dyDescent="0.35">
      <c r="A134" t="s">
        <v>1391</v>
      </c>
    </row>
    <row r="135" spans="1:1" x14ac:dyDescent="0.35">
      <c r="A135" t="s">
        <v>1392</v>
      </c>
    </row>
    <row r="136" spans="1:1" x14ac:dyDescent="0.35">
      <c r="A136" t="s">
        <v>1393</v>
      </c>
    </row>
    <row r="137" spans="1:1" x14ac:dyDescent="0.35">
      <c r="A137" t="s">
        <v>1394</v>
      </c>
    </row>
    <row r="138" spans="1:1" x14ac:dyDescent="0.35">
      <c r="A138" t="s">
        <v>1395</v>
      </c>
    </row>
    <row r="139" spans="1:1" x14ac:dyDescent="0.35">
      <c r="A139" t="s">
        <v>1396</v>
      </c>
    </row>
    <row r="140" spans="1:1" x14ac:dyDescent="0.35">
      <c r="A140" t="s">
        <v>1444</v>
      </c>
    </row>
    <row r="141" spans="1:1" x14ac:dyDescent="0.35">
      <c r="A141" t="s">
        <v>1445</v>
      </c>
    </row>
    <row r="142" spans="1:1" x14ac:dyDescent="0.35">
      <c r="A142" t="s">
        <v>1397</v>
      </c>
    </row>
    <row r="143" spans="1:1" x14ac:dyDescent="0.35">
      <c r="A143" t="s">
        <v>1446</v>
      </c>
    </row>
    <row r="144" spans="1:1" x14ac:dyDescent="0.35">
      <c r="A144" t="s">
        <v>1447</v>
      </c>
    </row>
    <row r="145" spans="1:2" x14ac:dyDescent="0.35">
      <c r="A145" t="s">
        <v>1398</v>
      </c>
    </row>
    <row r="146" spans="1:2" x14ac:dyDescent="0.35">
      <c r="A146" t="s">
        <v>1399</v>
      </c>
    </row>
    <row r="147" spans="1:2" x14ac:dyDescent="0.35">
      <c r="A147" t="s">
        <v>1400</v>
      </c>
    </row>
    <row r="148" spans="1:2" x14ac:dyDescent="0.35">
      <c r="A148" t="s">
        <v>1401</v>
      </c>
      <c r="B148" t="b">
        <v>1</v>
      </c>
    </row>
    <row r="149" spans="1:2" x14ac:dyDescent="0.35">
      <c r="A149" t="s">
        <v>1402</v>
      </c>
    </row>
    <row r="150" spans="1:2" x14ac:dyDescent="0.35">
      <c r="A150" t="s">
        <v>1403</v>
      </c>
    </row>
    <row r="151" spans="1:2" x14ac:dyDescent="0.35">
      <c r="A151" t="s">
        <v>1404</v>
      </c>
      <c r="B151" t="b">
        <v>1</v>
      </c>
    </row>
    <row r="152" spans="1:2" x14ac:dyDescent="0.35">
      <c r="A152" t="s">
        <v>1405</v>
      </c>
    </row>
    <row r="153" spans="1:2" x14ac:dyDescent="0.35">
      <c r="A153" t="s">
        <v>1406</v>
      </c>
    </row>
    <row r="154" spans="1:2" x14ac:dyDescent="0.35">
      <c r="A154" t="s">
        <v>1407</v>
      </c>
    </row>
    <row r="155" spans="1:2" x14ac:dyDescent="0.35">
      <c r="A155" t="s">
        <v>1408</v>
      </c>
    </row>
    <row r="156" spans="1:2" x14ac:dyDescent="0.35">
      <c r="A156" t="s">
        <v>1409</v>
      </c>
    </row>
    <row r="157" spans="1:2" x14ac:dyDescent="0.35">
      <c r="A157" t="s">
        <v>1410</v>
      </c>
    </row>
    <row r="158" spans="1:2" x14ac:dyDescent="0.35">
      <c r="A158" t="s">
        <v>1411</v>
      </c>
    </row>
    <row r="159" spans="1:2" x14ac:dyDescent="0.35">
      <c r="A159" t="s">
        <v>1412</v>
      </c>
    </row>
    <row r="160" spans="1:2" x14ac:dyDescent="0.35">
      <c r="A160" t="s">
        <v>1413</v>
      </c>
    </row>
    <row r="161" spans="1:1" x14ac:dyDescent="0.35">
      <c r="A161" t="s">
        <v>1414</v>
      </c>
    </row>
    <row r="162" spans="1:1" x14ac:dyDescent="0.35">
      <c r="A162" t="s">
        <v>1415</v>
      </c>
    </row>
    <row r="163" spans="1:1" x14ac:dyDescent="0.35">
      <c r="A163" t="s">
        <v>1416</v>
      </c>
    </row>
    <row r="164" spans="1:1" x14ac:dyDescent="0.35">
      <c r="A164" t="s">
        <v>1417</v>
      </c>
    </row>
    <row r="165" spans="1:1" x14ac:dyDescent="0.35">
      <c r="A165" t="s">
        <v>1418</v>
      </c>
    </row>
    <row r="166" spans="1:1" x14ac:dyDescent="0.35">
      <c r="A166" t="s">
        <v>1419</v>
      </c>
    </row>
    <row r="167" spans="1:1" x14ac:dyDescent="0.35">
      <c r="A167" t="s">
        <v>1420</v>
      </c>
    </row>
    <row r="168" spans="1:1" x14ac:dyDescent="0.35">
      <c r="A168" t="s">
        <v>1421</v>
      </c>
    </row>
    <row r="169" spans="1:1" x14ac:dyDescent="0.35">
      <c r="A169" t="s">
        <v>1422</v>
      </c>
    </row>
    <row r="170" spans="1:1" x14ac:dyDescent="0.35">
      <c r="A170" t="s">
        <v>1423</v>
      </c>
    </row>
    <row r="171" spans="1:1" x14ac:dyDescent="0.35">
      <c r="A171" t="s">
        <v>1440</v>
      </c>
    </row>
    <row r="172" spans="1:1" x14ac:dyDescent="0.35">
      <c r="A172" t="s">
        <v>1441</v>
      </c>
    </row>
    <row r="173" spans="1:1" x14ac:dyDescent="0.35">
      <c r="A173" t="s">
        <v>1424</v>
      </c>
    </row>
    <row r="174" spans="1:1" x14ac:dyDescent="0.35">
      <c r="A174" t="s">
        <v>1442</v>
      </c>
    </row>
    <row r="175" spans="1:1" x14ac:dyDescent="0.35">
      <c r="A175" t="s">
        <v>1443</v>
      </c>
    </row>
    <row r="176" spans="1:1" x14ac:dyDescent="0.35">
      <c r="A176" t="s">
        <v>1425</v>
      </c>
    </row>
    <row r="177" spans="1:2" x14ac:dyDescent="0.35">
      <c r="A177" t="s">
        <v>1426</v>
      </c>
    </row>
    <row r="178" spans="1:2" x14ac:dyDescent="0.35">
      <c r="A178" t="s">
        <v>1427</v>
      </c>
    </row>
    <row r="179" spans="1:2" x14ac:dyDescent="0.35">
      <c r="A179" t="s">
        <v>1428</v>
      </c>
    </row>
    <row r="180" spans="1:2" x14ac:dyDescent="0.35">
      <c r="A180" t="s">
        <v>1429</v>
      </c>
    </row>
    <row r="181" spans="1:2" x14ac:dyDescent="0.35">
      <c r="A181" t="s">
        <v>1430</v>
      </c>
    </row>
    <row r="182" spans="1:2" x14ac:dyDescent="0.35">
      <c r="A182" t="s">
        <v>712</v>
      </c>
      <c r="B182" t="b">
        <v>1</v>
      </c>
    </row>
    <row r="183" spans="1:2" x14ac:dyDescent="0.35">
      <c r="A183" t="s">
        <v>713</v>
      </c>
    </row>
    <row r="184" spans="1:2" x14ac:dyDescent="0.35">
      <c r="A184" t="s">
        <v>714</v>
      </c>
    </row>
    <row r="185" spans="1:2" x14ac:dyDescent="0.35">
      <c r="A185" t="s">
        <v>715</v>
      </c>
    </row>
    <row r="186" spans="1:2" x14ac:dyDescent="0.35">
      <c r="A186" t="s">
        <v>716</v>
      </c>
    </row>
    <row r="187" spans="1:2" x14ac:dyDescent="0.35">
      <c r="A187" t="s">
        <v>717</v>
      </c>
    </row>
    <row r="188" spans="1:2" x14ac:dyDescent="0.35">
      <c r="A188" t="s">
        <v>718</v>
      </c>
    </row>
    <row r="189" spans="1:2" x14ac:dyDescent="0.35">
      <c r="A189" t="s">
        <v>152</v>
      </c>
    </row>
    <row r="190" spans="1:2" x14ac:dyDescent="0.35">
      <c r="A190" t="s">
        <v>153</v>
      </c>
    </row>
    <row r="191" spans="1:2" x14ac:dyDescent="0.35">
      <c r="A191" t="s">
        <v>154</v>
      </c>
    </row>
    <row r="192" spans="1:2" x14ac:dyDescent="0.35">
      <c r="A192" t="s">
        <v>155</v>
      </c>
    </row>
    <row r="193" spans="1:1" x14ac:dyDescent="0.35">
      <c r="A193" t="s">
        <v>156</v>
      </c>
    </row>
    <row r="194" spans="1:1" x14ac:dyDescent="0.35">
      <c r="A194" t="s">
        <v>157</v>
      </c>
    </row>
    <row r="195" spans="1:1" x14ac:dyDescent="0.35">
      <c r="A195" t="s">
        <v>158</v>
      </c>
    </row>
    <row r="196" spans="1:1" x14ac:dyDescent="0.35">
      <c r="A196" t="s">
        <v>159</v>
      </c>
    </row>
    <row r="197" spans="1:1" x14ac:dyDescent="0.35">
      <c r="A197" s="517" t="s">
        <v>160</v>
      </c>
    </row>
    <row r="198" spans="1:1" x14ac:dyDescent="0.35">
      <c r="A198" s="517" t="s">
        <v>161</v>
      </c>
    </row>
    <row r="199" spans="1:1" x14ac:dyDescent="0.35">
      <c r="A199" s="517" t="s">
        <v>162</v>
      </c>
    </row>
    <row r="200" spans="1:1" x14ac:dyDescent="0.35">
      <c r="A200" s="517" t="s">
        <v>163</v>
      </c>
    </row>
    <row r="201" spans="1:1" x14ac:dyDescent="0.35">
      <c r="A201" s="517" t="s">
        <v>164</v>
      </c>
    </row>
    <row r="202" spans="1:1" x14ac:dyDescent="0.35">
      <c r="A202" s="517" t="s">
        <v>1436</v>
      </c>
    </row>
    <row r="203" spans="1:1" x14ac:dyDescent="0.35">
      <c r="A203" s="517" t="s">
        <v>1437</v>
      </c>
    </row>
    <row r="204" spans="1:1" x14ac:dyDescent="0.35">
      <c r="A204" s="517" t="s">
        <v>165</v>
      </c>
    </row>
    <row r="205" spans="1:1" x14ac:dyDescent="0.35">
      <c r="A205" s="517" t="s">
        <v>1438</v>
      </c>
    </row>
    <row r="206" spans="1:1" x14ac:dyDescent="0.35">
      <c r="A206" s="517" t="s">
        <v>1439</v>
      </c>
    </row>
    <row r="207" spans="1:1" x14ac:dyDescent="0.35">
      <c r="A207" s="517" t="s">
        <v>166</v>
      </c>
    </row>
    <row r="208" spans="1:1" x14ac:dyDescent="0.35">
      <c r="A208" s="517" t="s">
        <v>167</v>
      </c>
    </row>
    <row r="209" spans="1:2" x14ac:dyDescent="0.35">
      <c r="A209" s="517" t="s">
        <v>168</v>
      </c>
    </row>
    <row r="210" spans="1:2" x14ac:dyDescent="0.35">
      <c r="A210" s="517" t="s">
        <v>169</v>
      </c>
    </row>
    <row r="211" spans="1:2" x14ac:dyDescent="0.35">
      <c r="A211" s="517" t="s">
        <v>170</v>
      </c>
    </row>
    <row r="212" spans="1:2" x14ac:dyDescent="0.35">
      <c r="A212" s="517" t="s">
        <v>171</v>
      </c>
    </row>
    <row r="213" spans="1:2" x14ac:dyDescent="0.35">
      <c r="A213" s="517" t="s">
        <v>773</v>
      </c>
    </row>
    <row r="214" spans="1:2" x14ac:dyDescent="0.35">
      <c r="A214" s="517" t="s">
        <v>774</v>
      </c>
    </row>
    <row r="215" spans="1:2" x14ac:dyDescent="0.35">
      <c r="A215" s="517" t="s">
        <v>775</v>
      </c>
    </row>
    <row r="216" spans="1:2" x14ac:dyDescent="0.35">
      <c r="A216" s="517" t="s">
        <v>776</v>
      </c>
    </row>
    <row r="217" spans="1:2" x14ac:dyDescent="0.35">
      <c r="A217" s="517" t="s">
        <v>777</v>
      </c>
    </row>
    <row r="218" spans="1:2" x14ac:dyDescent="0.35">
      <c r="A218" t="s">
        <v>778</v>
      </c>
    </row>
    <row r="219" spans="1:2" x14ac:dyDescent="0.35">
      <c r="A219" t="s">
        <v>779</v>
      </c>
    </row>
    <row r="220" spans="1:2" x14ac:dyDescent="0.35">
      <c r="A220" t="s">
        <v>780</v>
      </c>
    </row>
    <row r="221" spans="1:2" x14ac:dyDescent="0.35">
      <c r="A221" t="s">
        <v>200</v>
      </c>
    </row>
    <row r="222" spans="1:2" x14ac:dyDescent="0.35">
      <c r="A222" t="s">
        <v>201</v>
      </c>
    </row>
    <row r="223" spans="1:2" x14ac:dyDescent="0.35">
      <c r="A223" t="s">
        <v>202</v>
      </c>
    </row>
    <row r="224" spans="1:2" x14ac:dyDescent="0.35">
      <c r="A224" t="s">
        <v>781</v>
      </c>
      <c r="B224" t="b">
        <v>1</v>
      </c>
    </row>
    <row r="225" spans="1:1" x14ac:dyDescent="0.35">
      <c r="A225" t="s">
        <v>203</v>
      </c>
    </row>
    <row r="226" spans="1:1" x14ac:dyDescent="0.35">
      <c r="A226" t="s">
        <v>204</v>
      </c>
    </row>
    <row r="227" spans="1:1" x14ac:dyDescent="0.35">
      <c r="A227" t="s">
        <v>205</v>
      </c>
    </row>
    <row r="228" spans="1:1" x14ac:dyDescent="0.35">
      <c r="A228" t="s">
        <v>206</v>
      </c>
    </row>
    <row r="229" spans="1:1" x14ac:dyDescent="0.35">
      <c r="A229" t="s">
        <v>207</v>
      </c>
    </row>
    <row r="230" spans="1:1" x14ac:dyDescent="0.35">
      <c r="A230" t="s">
        <v>208</v>
      </c>
    </row>
    <row r="231" spans="1:1" x14ac:dyDescent="0.35">
      <c r="A231" t="s">
        <v>209</v>
      </c>
    </row>
    <row r="232" spans="1:1" x14ac:dyDescent="0.35">
      <c r="A232" t="s">
        <v>210</v>
      </c>
    </row>
    <row r="233" spans="1:1" x14ac:dyDescent="0.35">
      <c r="A233" t="s">
        <v>1431</v>
      </c>
    </row>
    <row r="234" spans="1:1" x14ac:dyDescent="0.35">
      <c r="A234" t="s">
        <v>1432</v>
      </c>
    </row>
    <row r="235" spans="1:1" x14ac:dyDescent="0.35">
      <c r="A235" t="s">
        <v>782</v>
      </c>
    </row>
    <row r="236" spans="1:1" x14ac:dyDescent="0.35">
      <c r="A236" t="s">
        <v>1433</v>
      </c>
    </row>
    <row r="237" spans="1:1" x14ac:dyDescent="0.35">
      <c r="A237" t="s">
        <v>1434</v>
      </c>
    </row>
    <row r="238" spans="1:1" x14ac:dyDescent="0.35">
      <c r="A238" t="s">
        <v>1435</v>
      </c>
    </row>
    <row r="239" spans="1:1" x14ac:dyDescent="0.35">
      <c r="A239" t="s">
        <v>287</v>
      </c>
    </row>
    <row r="240" spans="1:1" x14ac:dyDescent="0.35">
      <c r="A240" t="s">
        <v>288</v>
      </c>
    </row>
    <row r="241" spans="1:3" x14ac:dyDescent="0.35">
      <c r="A241" t="s">
        <v>289</v>
      </c>
    </row>
    <row r="242" spans="1:3" x14ac:dyDescent="0.35">
      <c r="A242" t="s">
        <v>290</v>
      </c>
    </row>
    <row r="243" spans="1:3" x14ac:dyDescent="0.35">
      <c r="A243" t="s">
        <v>604</v>
      </c>
    </row>
    <row r="244" spans="1:3" x14ac:dyDescent="0.35">
      <c r="A244" t="s">
        <v>605</v>
      </c>
    </row>
    <row r="245" spans="1:3" x14ac:dyDescent="0.35">
      <c r="A245" t="s">
        <v>265</v>
      </c>
      <c r="B245">
        <v>100</v>
      </c>
      <c r="C245">
        <v>80</v>
      </c>
    </row>
    <row r="246" spans="1:3" x14ac:dyDescent="0.35">
      <c r="A246" t="s">
        <v>700</v>
      </c>
      <c r="B246">
        <v>10</v>
      </c>
      <c r="C246">
        <v>0</v>
      </c>
    </row>
    <row r="247" spans="1:3" x14ac:dyDescent="0.35">
      <c r="A247" t="s">
        <v>75</v>
      </c>
      <c r="B247">
        <v>1</v>
      </c>
    </row>
    <row r="248" spans="1:3" x14ac:dyDescent="0.35">
      <c r="A248" t="s">
        <v>76</v>
      </c>
    </row>
    <row r="249" spans="1:3" x14ac:dyDescent="0.35">
      <c r="A249" t="s">
        <v>331</v>
      </c>
    </row>
    <row r="250" spans="1:3" x14ac:dyDescent="0.35">
      <c r="A250" t="s">
        <v>310</v>
      </c>
    </row>
    <row r="251" spans="1:3" x14ac:dyDescent="0.35">
      <c r="A251" t="s">
        <v>311</v>
      </c>
    </row>
    <row r="252" spans="1:3" x14ac:dyDescent="0.35">
      <c r="A252" t="s">
        <v>312</v>
      </c>
    </row>
    <row r="253" spans="1:3" x14ac:dyDescent="0.35">
      <c r="A253" t="s">
        <v>125</v>
      </c>
    </row>
    <row r="254" spans="1:3" x14ac:dyDescent="0.35">
      <c r="A254" t="s">
        <v>126</v>
      </c>
    </row>
    <row r="255" spans="1:3" x14ac:dyDescent="0.35">
      <c r="A255" t="s">
        <v>127</v>
      </c>
    </row>
    <row r="256" spans="1:3" x14ac:dyDescent="0.35">
      <c r="A256" t="s">
        <v>672</v>
      </c>
    </row>
    <row r="257" spans="1:7" x14ac:dyDescent="0.35">
      <c r="A257" t="s">
        <v>673</v>
      </c>
    </row>
    <row r="258" spans="1:7" x14ac:dyDescent="0.35">
      <c r="A258" t="s">
        <v>674</v>
      </c>
      <c r="B258">
        <v>4</v>
      </c>
    </row>
    <row r="259" spans="1:7" x14ac:dyDescent="0.35">
      <c r="A259" t="s">
        <v>675</v>
      </c>
    </row>
    <row r="260" spans="1:7" x14ac:dyDescent="0.35">
      <c r="A260" t="s">
        <v>676</v>
      </c>
      <c r="B260">
        <v>1</v>
      </c>
    </row>
    <row r="261" spans="1:7" x14ac:dyDescent="0.35">
      <c r="A261" t="s">
        <v>550</v>
      </c>
    </row>
    <row r="262" spans="1:7" x14ac:dyDescent="0.35">
      <c r="A262" t="s">
        <v>551</v>
      </c>
    </row>
    <row r="263" spans="1:7" x14ac:dyDescent="0.35">
      <c r="A263" t="s">
        <v>552</v>
      </c>
    </row>
    <row r="264" spans="1:7" x14ac:dyDescent="0.35">
      <c r="A264" t="s">
        <v>553</v>
      </c>
    </row>
    <row r="265" spans="1:7" x14ac:dyDescent="0.35">
      <c r="A265" t="s">
        <v>600</v>
      </c>
    </row>
    <row r="266" spans="1:7" x14ac:dyDescent="0.35">
      <c r="A266" t="s">
        <v>601</v>
      </c>
    </row>
    <row r="267" spans="1:7" x14ac:dyDescent="0.35">
      <c r="A267" t="s">
        <v>313</v>
      </c>
      <c r="G267" s="517"/>
    </row>
    <row r="268" spans="1:7" x14ac:dyDescent="0.35">
      <c r="A268" t="s">
        <v>314</v>
      </c>
    </row>
    <row r="269" spans="1:7" x14ac:dyDescent="0.35">
      <c r="A269" t="s">
        <v>315</v>
      </c>
    </row>
    <row r="270" spans="1:7" x14ac:dyDescent="0.35">
      <c r="A270" t="s">
        <v>316</v>
      </c>
    </row>
    <row r="271" spans="1:7" x14ac:dyDescent="0.35">
      <c r="A271" t="s">
        <v>317</v>
      </c>
    </row>
    <row r="272" spans="1:7" x14ac:dyDescent="0.35">
      <c r="A272" t="s">
        <v>318</v>
      </c>
    </row>
    <row r="273" spans="1:4" x14ac:dyDescent="0.35">
      <c r="A273" t="s">
        <v>677</v>
      </c>
    </row>
    <row r="274" spans="1:4" x14ac:dyDescent="0.35">
      <c r="A274" t="s">
        <v>678</v>
      </c>
    </row>
    <row r="275" spans="1:4" x14ac:dyDescent="0.35">
      <c r="A275" t="s">
        <v>679</v>
      </c>
    </row>
    <row r="276" spans="1:4" x14ac:dyDescent="0.35">
      <c r="A276" t="s">
        <v>680</v>
      </c>
    </row>
    <row r="277" spans="1:4" x14ac:dyDescent="0.35">
      <c r="A277" t="s">
        <v>485</v>
      </c>
    </row>
    <row r="278" spans="1:4" x14ac:dyDescent="0.35">
      <c r="A278" t="s">
        <v>486</v>
      </c>
    </row>
    <row r="279" spans="1:4" x14ac:dyDescent="0.35">
      <c r="A279" t="s">
        <v>487</v>
      </c>
    </row>
    <row r="280" spans="1:4" x14ac:dyDescent="0.35">
      <c r="A280" s="517" t="s">
        <v>2586</v>
      </c>
    </row>
    <row r="281" spans="1:4" x14ac:dyDescent="0.35">
      <c r="A281" s="517" t="s">
        <v>2587</v>
      </c>
    </row>
    <row r="282" spans="1:4" s="517" customFormat="1" x14ac:dyDescent="0.35">
      <c r="A282" s="517" t="s">
        <v>2588</v>
      </c>
      <c r="B282"/>
      <c r="C282"/>
      <c r="D282"/>
    </row>
    <row r="283" spans="1:4" s="517" customFormat="1" x14ac:dyDescent="0.35">
      <c r="A283" s="517" t="s">
        <v>2589</v>
      </c>
      <c r="B283"/>
      <c r="C283"/>
      <c r="D283"/>
    </row>
    <row r="284" spans="1:4" s="517" customFormat="1" x14ac:dyDescent="0.35">
      <c r="A284" s="517" t="s">
        <v>2590</v>
      </c>
      <c r="B284"/>
      <c r="C284"/>
      <c r="D284"/>
    </row>
    <row r="285" spans="1:4" s="517" customFormat="1" x14ac:dyDescent="0.35">
      <c r="A285" s="517" t="s">
        <v>2591</v>
      </c>
      <c r="B285"/>
      <c r="C285"/>
      <c r="D285"/>
    </row>
    <row r="286" spans="1:4" s="517" customFormat="1" x14ac:dyDescent="0.35">
      <c r="A286" s="517" t="s">
        <v>2592</v>
      </c>
      <c r="B286"/>
      <c r="C286"/>
      <c r="D286"/>
    </row>
    <row r="287" spans="1:4" s="517" customFormat="1" x14ac:dyDescent="0.35">
      <c r="A287" s="517" t="s">
        <v>2593</v>
      </c>
      <c r="B287"/>
      <c r="C287"/>
      <c r="D287"/>
    </row>
    <row r="288" spans="1:4" s="517" customFormat="1" x14ac:dyDescent="0.35">
      <c r="A288" s="517" t="s">
        <v>2594</v>
      </c>
      <c r="B288"/>
      <c r="C288"/>
      <c r="D288"/>
    </row>
    <row r="289" spans="1:4" s="517" customFormat="1" x14ac:dyDescent="0.35">
      <c r="A289" s="517" t="s">
        <v>2595</v>
      </c>
      <c r="B289"/>
      <c r="C289"/>
      <c r="D289"/>
    </row>
    <row r="290" spans="1:4" s="517" customFormat="1" x14ac:dyDescent="0.35">
      <c r="A290" t="s">
        <v>895</v>
      </c>
      <c r="B290"/>
      <c r="C290"/>
      <c r="D290"/>
    </row>
    <row r="291" spans="1:4" s="517" customFormat="1" x14ac:dyDescent="0.35">
      <c r="A291" t="s">
        <v>341</v>
      </c>
      <c r="B291"/>
      <c r="C291"/>
      <c r="D291"/>
    </row>
    <row r="292" spans="1:4" x14ac:dyDescent="0.35">
      <c r="A292" t="s">
        <v>342</v>
      </c>
    </row>
    <row r="293" spans="1:4" x14ac:dyDescent="0.35">
      <c r="A293" t="s">
        <v>343</v>
      </c>
    </row>
    <row r="294" spans="1:4" x14ac:dyDescent="0.35">
      <c r="A294" t="s">
        <v>783</v>
      </c>
    </row>
    <row r="295" spans="1:4" x14ac:dyDescent="0.35">
      <c r="A295" t="s">
        <v>784</v>
      </c>
    </row>
    <row r="296" spans="1:4" x14ac:dyDescent="0.35">
      <c r="A296" t="s">
        <v>785</v>
      </c>
    </row>
    <row r="297" spans="1:4" x14ac:dyDescent="0.35">
      <c r="A297" t="s">
        <v>786</v>
      </c>
      <c r="B297">
        <v>12</v>
      </c>
      <c r="C297">
        <v>1</v>
      </c>
    </row>
    <row r="298" spans="1:4" x14ac:dyDescent="0.35">
      <c r="A298" t="s">
        <v>787</v>
      </c>
      <c r="B298">
        <v>1</v>
      </c>
      <c r="C298">
        <v>1</v>
      </c>
    </row>
    <row r="299" spans="1:4" x14ac:dyDescent="0.35">
      <c r="A299" t="s">
        <v>788</v>
      </c>
    </row>
    <row r="300" spans="1:4" x14ac:dyDescent="0.35">
      <c r="A300" t="s">
        <v>789</v>
      </c>
    </row>
    <row r="301" spans="1:4" x14ac:dyDescent="0.35">
      <c r="A301" t="s">
        <v>790</v>
      </c>
    </row>
    <row r="302" spans="1:4" x14ac:dyDescent="0.35">
      <c r="A302" t="s">
        <v>840</v>
      </c>
    </row>
    <row r="303" spans="1:4" x14ac:dyDescent="0.35">
      <c r="A303" t="s">
        <v>841</v>
      </c>
    </row>
    <row r="304" spans="1:4" x14ac:dyDescent="0.35">
      <c r="A304" t="s">
        <v>842</v>
      </c>
      <c r="B304">
        <v>2</v>
      </c>
      <c r="C304">
        <v>1</v>
      </c>
    </row>
    <row r="305" spans="1:4" x14ac:dyDescent="0.35">
      <c r="A305" t="s">
        <v>843</v>
      </c>
      <c r="B305">
        <v>22</v>
      </c>
      <c r="C305">
        <v>1</v>
      </c>
    </row>
    <row r="306" spans="1:4" x14ac:dyDescent="0.35">
      <c r="A306" t="s">
        <v>844</v>
      </c>
      <c r="B306">
        <v>1</v>
      </c>
      <c r="C306">
        <v>1</v>
      </c>
    </row>
    <row r="307" spans="1:4" x14ac:dyDescent="0.35">
      <c r="A307" t="s">
        <v>845</v>
      </c>
      <c r="B307">
        <v>1</v>
      </c>
      <c r="C307">
        <v>1</v>
      </c>
    </row>
    <row r="308" spans="1:4" x14ac:dyDescent="0.35">
      <c r="A308" t="s">
        <v>846</v>
      </c>
      <c r="B308">
        <v>1</v>
      </c>
      <c r="C308">
        <v>1</v>
      </c>
    </row>
    <row r="309" spans="1:4" x14ac:dyDescent="0.35">
      <c r="A309" t="s">
        <v>497</v>
      </c>
      <c r="B309">
        <v>1</v>
      </c>
      <c r="C309">
        <v>1</v>
      </c>
    </row>
    <row r="310" spans="1:4" x14ac:dyDescent="0.35">
      <c r="A310" t="s">
        <v>498</v>
      </c>
      <c r="B310">
        <v>1</v>
      </c>
      <c r="C310">
        <v>1</v>
      </c>
    </row>
    <row r="311" spans="1:4" x14ac:dyDescent="0.35">
      <c r="A311" t="s">
        <v>499</v>
      </c>
      <c r="B311">
        <v>1</v>
      </c>
      <c r="C311">
        <v>1</v>
      </c>
    </row>
    <row r="312" spans="1:4" x14ac:dyDescent="0.35">
      <c r="A312" s="517" t="s">
        <v>2016</v>
      </c>
      <c r="B312" s="517">
        <v>0</v>
      </c>
      <c r="C312" s="517"/>
      <c r="D312" s="517"/>
    </row>
    <row r="313" spans="1:4" x14ac:dyDescent="0.35">
      <c r="A313" s="517" t="s">
        <v>2017</v>
      </c>
      <c r="B313" s="517">
        <v>0</v>
      </c>
      <c r="C313" s="517"/>
      <c r="D313" s="517"/>
    </row>
    <row r="314" spans="1:4" x14ac:dyDescent="0.35">
      <c r="A314" s="517" t="s">
        <v>2018</v>
      </c>
      <c r="B314" s="517">
        <v>0</v>
      </c>
      <c r="C314" s="517"/>
      <c r="D314" s="517"/>
    </row>
    <row r="315" spans="1:4" x14ac:dyDescent="0.35">
      <c r="A315" s="517" t="s">
        <v>2019</v>
      </c>
      <c r="B315" s="517"/>
      <c r="C315" s="517"/>
      <c r="D315" s="517"/>
    </row>
    <row r="316" spans="1:4" x14ac:dyDescent="0.35">
      <c r="A316" s="517" t="s">
        <v>2020</v>
      </c>
      <c r="B316" s="517"/>
      <c r="C316" s="517"/>
      <c r="D316" s="517"/>
    </row>
    <row r="317" spans="1:4" x14ac:dyDescent="0.35">
      <c r="A317" s="517" t="s">
        <v>2021</v>
      </c>
      <c r="B317" s="517"/>
      <c r="C317" s="517"/>
      <c r="D317" s="517"/>
    </row>
    <row r="318" spans="1:4" x14ac:dyDescent="0.35">
      <c r="A318" s="517" t="s">
        <v>2022</v>
      </c>
      <c r="B318" s="517"/>
      <c r="C318" s="517"/>
      <c r="D318" s="517"/>
    </row>
    <row r="319" spans="1:4" x14ac:dyDescent="0.35">
      <c r="A319" s="517" t="s">
        <v>2023</v>
      </c>
      <c r="B319" s="517"/>
      <c r="C319" s="517"/>
      <c r="D319" s="517"/>
    </row>
    <row r="320" spans="1:4" x14ac:dyDescent="0.35">
      <c r="A320" s="517" t="s">
        <v>2024</v>
      </c>
      <c r="B320" s="517"/>
      <c r="C320" s="517"/>
      <c r="D320" s="517"/>
    </row>
    <row r="321" spans="1:4" x14ac:dyDescent="0.35">
      <c r="A321" s="517" t="s">
        <v>2025</v>
      </c>
      <c r="B321" s="517"/>
      <c r="C321" s="517"/>
      <c r="D321" s="517"/>
    </row>
    <row r="322" spans="1:4" x14ac:dyDescent="0.35">
      <c r="A322" t="s">
        <v>500</v>
      </c>
    </row>
    <row r="323" spans="1:4" x14ac:dyDescent="0.35">
      <c r="A323" t="s">
        <v>501</v>
      </c>
    </row>
    <row r="324" spans="1:4" x14ac:dyDescent="0.35">
      <c r="A324" t="s">
        <v>502</v>
      </c>
    </row>
    <row r="325" spans="1:4" x14ac:dyDescent="0.35">
      <c r="A325" t="s">
        <v>503</v>
      </c>
    </row>
    <row r="326" spans="1:4" x14ac:dyDescent="0.35">
      <c r="A326" t="s">
        <v>504</v>
      </c>
    </row>
    <row r="327" spans="1:4" s="517" customFormat="1" x14ac:dyDescent="0.35">
      <c r="A327" t="s">
        <v>759</v>
      </c>
      <c r="B327">
        <v>2</v>
      </c>
      <c r="C327">
        <v>1</v>
      </c>
      <c r="D327"/>
    </row>
    <row r="328" spans="1:4" s="517" customFormat="1" x14ac:dyDescent="0.35">
      <c r="A328" t="s">
        <v>760</v>
      </c>
      <c r="B328">
        <v>1</v>
      </c>
      <c r="C328">
        <v>1</v>
      </c>
      <c r="D328"/>
    </row>
    <row r="329" spans="1:4" s="517" customFormat="1" x14ac:dyDescent="0.35">
      <c r="A329" t="s">
        <v>761</v>
      </c>
      <c r="B329">
        <v>1</v>
      </c>
      <c r="C329">
        <v>1</v>
      </c>
      <c r="D329"/>
    </row>
    <row r="330" spans="1:4" s="517" customFormat="1" x14ac:dyDescent="0.35">
      <c r="A330" t="s">
        <v>669</v>
      </c>
      <c r="B330">
        <v>1</v>
      </c>
      <c r="C330">
        <v>1</v>
      </c>
      <c r="D330"/>
    </row>
    <row r="331" spans="1:4" s="517" customFormat="1" x14ac:dyDescent="0.35">
      <c r="A331" t="s">
        <v>741</v>
      </c>
      <c r="B331">
        <v>1</v>
      </c>
      <c r="C331">
        <v>1</v>
      </c>
      <c r="D331"/>
    </row>
    <row r="332" spans="1:4" s="517" customFormat="1" x14ac:dyDescent="0.35">
      <c r="A332" t="s">
        <v>742</v>
      </c>
      <c r="B332">
        <v>1</v>
      </c>
      <c r="C332">
        <v>1</v>
      </c>
      <c r="D332"/>
    </row>
    <row r="333" spans="1:4" s="517" customFormat="1" x14ac:dyDescent="0.35">
      <c r="A333" t="s">
        <v>743</v>
      </c>
      <c r="B333">
        <v>1</v>
      </c>
      <c r="C333">
        <v>1</v>
      </c>
      <c r="D333"/>
    </row>
    <row r="334" spans="1:4" s="517" customFormat="1" x14ac:dyDescent="0.35">
      <c r="A334" t="s">
        <v>744</v>
      </c>
      <c r="B334">
        <v>3</v>
      </c>
      <c r="C334">
        <v>1</v>
      </c>
      <c r="D334"/>
    </row>
    <row r="335" spans="1:4" s="517" customFormat="1" x14ac:dyDescent="0.35">
      <c r="A335" t="s">
        <v>667</v>
      </c>
      <c r="B335">
        <v>3</v>
      </c>
      <c r="C335">
        <v>1</v>
      </c>
      <c r="D335"/>
    </row>
    <row r="336" spans="1:4" s="517" customFormat="1" x14ac:dyDescent="0.35">
      <c r="A336" t="s">
        <v>668</v>
      </c>
      <c r="B336">
        <v>1</v>
      </c>
      <c r="C336">
        <v>1</v>
      </c>
      <c r="D336"/>
    </row>
    <row r="337" spans="1:3" x14ac:dyDescent="0.35">
      <c r="A337" t="s">
        <v>664</v>
      </c>
      <c r="B337">
        <v>1</v>
      </c>
      <c r="C337">
        <v>1</v>
      </c>
    </row>
    <row r="338" spans="1:3" x14ac:dyDescent="0.35">
      <c r="A338" t="s">
        <v>665</v>
      </c>
      <c r="B338">
        <v>1</v>
      </c>
      <c r="C338">
        <v>1</v>
      </c>
    </row>
    <row r="339" spans="1:3" x14ac:dyDescent="0.35">
      <c r="A339" t="s">
        <v>666</v>
      </c>
      <c r="B339">
        <v>1</v>
      </c>
      <c r="C339">
        <v>1</v>
      </c>
    </row>
    <row r="340" spans="1:3" x14ac:dyDescent="0.35">
      <c r="A340" t="s">
        <v>658</v>
      </c>
      <c r="B340">
        <v>1</v>
      </c>
      <c r="C340">
        <v>1</v>
      </c>
    </row>
    <row r="341" spans="1:3" x14ac:dyDescent="0.35">
      <c r="A341" t="s">
        <v>659</v>
      </c>
      <c r="B341">
        <v>1</v>
      </c>
      <c r="C341">
        <v>1</v>
      </c>
    </row>
    <row r="342" spans="1:3" x14ac:dyDescent="0.35">
      <c r="A342" t="s">
        <v>660</v>
      </c>
      <c r="B342">
        <v>19</v>
      </c>
      <c r="C342">
        <v>1</v>
      </c>
    </row>
    <row r="343" spans="1:3" x14ac:dyDescent="0.35">
      <c r="A343" t="s">
        <v>661</v>
      </c>
    </row>
    <row r="344" spans="1:3" x14ac:dyDescent="0.35">
      <c r="A344" t="s">
        <v>662</v>
      </c>
    </row>
    <row r="345" spans="1:3" x14ac:dyDescent="0.35">
      <c r="A345" t="s">
        <v>816</v>
      </c>
    </row>
    <row r="346" spans="1:3" x14ac:dyDescent="0.35">
      <c r="A346" t="s">
        <v>817</v>
      </c>
    </row>
    <row r="347" spans="1:3" x14ac:dyDescent="0.35">
      <c r="A347" t="s">
        <v>818</v>
      </c>
    </row>
    <row r="348" spans="1:3" x14ac:dyDescent="0.35">
      <c r="A348" t="s">
        <v>819</v>
      </c>
    </row>
    <row r="349" spans="1:3" x14ac:dyDescent="0.35">
      <c r="A349" t="s">
        <v>820</v>
      </c>
      <c r="B349">
        <v>4</v>
      </c>
    </row>
    <row r="350" spans="1:3" x14ac:dyDescent="0.35">
      <c r="A350" t="s">
        <v>821</v>
      </c>
      <c r="B350">
        <v>15</v>
      </c>
    </row>
    <row r="351" spans="1:3" x14ac:dyDescent="0.35">
      <c r="A351" t="s">
        <v>822</v>
      </c>
    </row>
    <row r="352" spans="1:3" x14ac:dyDescent="0.35">
      <c r="A352" t="s">
        <v>823</v>
      </c>
    </row>
    <row r="353" spans="1:9" x14ac:dyDescent="0.35">
      <c r="A353" t="s">
        <v>824</v>
      </c>
    </row>
    <row r="354" spans="1:9" x14ac:dyDescent="0.35">
      <c r="A354" t="s">
        <v>825</v>
      </c>
      <c r="F354" s="517"/>
      <c r="G354" s="517"/>
      <c r="H354" s="517"/>
      <c r="I354" s="517"/>
    </row>
    <row r="355" spans="1:9" x14ac:dyDescent="0.35">
      <c r="A355" t="s">
        <v>826</v>
      </c>
      <c r="F355" s="517"/>
      <c r="G355" s="517"/>
      <c r="H355" s="517"/>
      <c r="I355" s="517"/>
    </row>
    <row r="356" spans="1:9" x14ac:dyDescent="0.35">
      <c r="A356" t="s">
        <v>827</v>
      </c>
      <c r="F356" s="517"/>
      <c r="G356" s="517"/>
      <c r="H356" s="517"/>
      <c r="I356" s="517"/>
    </row>
    <row r="357" spans="1:9" x14ac:dyDescent="0.35">
      <c r="A357" s="518" t="s">
        <v>2006</v>
      </c>
      <c r="B357" s="517">
        <v>0</v>
      </c>
      <c r="C357" s="517"/>
      <c r="D357" s="517"/>
      <c r="F357" s="517"/>
      <c r="G357" s="517"/>
      <c r="H357" s="517"/>
      <c r="I357" s="517"/>
    </row>
    <row r="358" spans="1:9" x14ac:dyDescent="0.35">
      <c r="A358" s="518" t="s">
        <v>2007</v>
      </c>
      <c r="B358" s="517">
        <v>1</v>
      </c>
      <c r="C358" s="517"/>
      <c r="D358" s="517"/>
      <c r="F358" s="517"/>
      <c r="G358" s="517"/>
      <c r="H358" s="517"/>
      <c r="I358" s="517"/>
    </row>
    <row r="359" spans="1:9" x14ac:dyDescent="0.35">
      <c r="A359" s="517" t="s">
        <v>2008</v>
      </c>
      <c r="B359" s="517">
        <v>0</v>
      </c>
      <c r="C359" s="517"/>
      <c r="D359" s="517"/>
      <c r="F359" s="517"/>
      <c r="G359" s="517"/>
      <c r="H359" s="517"/>
      <c r="I359" s="517"/>
    </row>
    <row r="360" spans="1:9" x14ac:dyDescent="0.35">
      <c r="A360" s="517" t="s">
        <v>2009</v>
      </c>
      <c r="B360" s="517"/>
      <c r="C360" s="517"/>
      <c r="D360" s="517"/>
      <c r="F360" s="517"/>
      <c r="G360" s="517"/>
      <c r="H360" s="517"/>
      <c r="I360" s="517"/>
    </row>
    <row r="361" spans="1:9" x14ac:dyDescent="0.35">
      <c r="A361" s="517" t="s">
        <v>2010</v>
      </c>
      <c r="B361" s="517"/>
      <c r="C361" s="517"/>
      <c r="D361" s="517"/>
      <c r="F361" s="517"/>
      <c r="G361" s="517"/>
      <c r="H361" s="517"/>
      <c r="I361" s="517"/>
    </row>
    <row r="362" spans="1:9" x14ac:dyDescent="0.35">
      <c r="A362" s="518" t="s">
        <v>2011</v>
      </c>
      <c r="B362" s="517"/>
      <c r="C362" s="517"/>
      <c r="D362" s="517"/>
      <c r="F362" s="517"/>
      <c r="G362" s="517"/>
      <c r="H362" s="517"/>
      <c r="I362" s="517"/>
    </row>
    <row r="363" spans="1:9" x14ac:dyDescent="0.35">
      <c r="A363" s="517" t="s">
        <v>2012</v>
      </c>
      <c r="B363" s="517"/>
      <c r="C363" s="517"/>
      <c r="D363" s="517"/>
      <c r="F363" s="517"/>
      <c r="G363" s="517"/>
      <c r="H363" s="517"/>
      <c r="I363" s="517"/>
    </row>
    <row r="364" spans="1:9" x14ac:dyDescent="0.35">
      <c r="A364" s="518" t="s">
        <v>2013</v>
      </c>
      <c r="B364" s="517"/>
      <c r="C364" s="517"/>
      <c r="D364" s="517"/>
      <c r="F364" s="517"/>
      <c r="G364" s="517"/>
      <c r="H364" s="517"/>
      <c r="I364" s="517"/>
    </row>
    <row r="365" spans="1:9" x14ac:dyDescent="0.35">
      <c r="A365" s="517" t="s">
        <v>2014</v>
      </c>
      <c r="B365" s="517"/>
      <c r="C365" s="517"/>
      <c r="D365" s="517"/>
    </row>
    <row r="366" spans="1:9" x14ac:dyDescent="0.35">
      <c r="A366" s="518" t="s">
        <v>2015</v>
      </c>
      <c r="B366" s="517"/>
      <c r="C366" s="517"/>
      <c r="D366" s="517"/>
    </row>
    <row r="367" spans="1:9" x14ac:dyDescent="0.35">
      <c r="A367" t="s">
        <v>828</v>
      </c>
    </row>
    <row r="368" spans="1:9" x14ac:dyDescent="0.35">
      <c r="A368" t="s">
        <v>588</v>
      </c>
    </row>
    <row r="369" spans="1:4" x14ac:dyDescent="0.35">
      <c r="A369" t="s">
        <v>589</v>
      </c>
    </row>
    <row r="370" spans="1:4" x14ac:dyDescent="0.35">
      <c r="A370" t="s">
        <v>590</v>
      </c>
    </row>
    <row r="371" spans="1:4" x14ac:dyDescent="0.35">
      <c r="A371" t="s">
        <v>224</v>
      </c>
    </row>
    <row r="372" spans="1:4" x14ac:dyDescent="0.35">
      <c r="A372" t="s">
        <v>225</v>
      </c>
      <c r="B372" t="s">
        <v>2639</v>
      </c>
    </row>
    <row r="373" spans="1:4" x14ac:dyDescent="0.35">
      <c r="A373" t="s">
        <v>226</v>
      </c>
    </row>
    <row r="374" spans="1:4" x14ac:dyDescent="0.35">
      <c r="A374" t="s">
        <v>227</v>
      </c>
    </row>
    <row r="375" spans="1:4" x14ac:dyDescent="0.35">
      <c r="A375" t="s">
        <v>228</v>
      </c>
    </row>
    <row r="376" spans="1:4" x14ac:dyDescent="0.35">
      <c r="A376" t="s">
        <v>229</v>
      </c>
      <c r="D376">
        <v>50</v>
      </c>
    </row>
    <row r="377" spans="1:4" x14ac:dyDescent="0.35">
      <c r="A377" t="s">
        <v>591</v>
      </c>
      <c r="D377">
        <v>50</v>
      </c>
    </row>
    <row r="378" spans="1:4" x14ac:dyDescent="0.35">
      <c r="A378" t="s">
        <v>592</v>
      </c>
      <c r="D378">
        <v>50</v>
      </c>
    </row>
    <row r="379" spans="1:4" x14ac:dyDescent="0.35">
      <c r="A379" t="s">
        <v>593</v>
      </c>
      <c r="D379">
        <v>50</v>
      </c>
    </row>
    <row r="380" spans="1:4" x14ac:dyDescent="0.35">
      <c r="A380" t="s">
        <v>398</v>
      </c>
      <c r="D380">
        <v>50</v>
      </c>
    </row>
    <row r="381" spans="1:4" x14ac:dyDescent="0.35">
      <c r="A381" t="s">
        <v>399</v>
      </c>
      <c r="D381">
        <v>50</v>
      </c>
    </row>
    <row r="382" spans="1:4" x14ac:dyDescent="0.35">
      <c r="A382" t="s">
        <v>400</v>
      </c>
      <c r="D382">
        <v>50</v>
      </c>
    </row>
    <row r="383" spans="1:4" x14ac:dyDescent="0.35">
      <c r="A383" t="s">
        <v>401</v>
      </c>
      <c r="B383" t="s">
        <v>2640</v>
      </c>
      <c r="D383">
        <v>50</v>
      </c>
    </row>
    <row r="384" spans="1:4" x14ac:dyDescent="0.35">
      <c r="A384" t="s">
        <v>402</v>
      </c>
    </row>
    <row r="385" spans="1:7" x14ac:dyDescent="0.35">
      <c r="A385" s="517" t="s">
        <v>2506</v>
      </c>
      <c r="B385" s="517"/>
      <c r="C385" s="517"/>
      <c r="D385" s="517"/>
    </row>
    <row r="386" spans="1:7" x14ac:dyDescent="0.35">
      <c r="A386" s="517" t="s">
        <v>2507</v>
      </c>
      <c r="B386" s="517"/>
      <c r="C386" s="517"/>
      <c r="D386" s="517"/>
    </row>
    <row r="387" spans="1:7" x14ac:dyDescent="0.35">
      <c r="A387" s="517" t="s">
        <v>2508</v>
      </c>
      <c r="B387" s="517"/>
      <c r="C387" s="517"/>
      <c r="D387" s="517"/>
      <c r="G387" s="517"/>
    </row>
    <row r="388" spans="1:7" x14ac:dyDescent="0.35">
      <c r="A388" s="517" t="s">
        <v>2509</v>
      </c>
      <c r="B388" s="517"/>
      <c r="C388" s="517"/>
      <c r="D388" s="517"/>
    </row>
    <row r="389" spans="1:7" x14ac:dyDescent="0.35">
      <c r="A389" s="517" t="s">
        <v>2510</v>
      </c>
      <c r="B389" s="517"/>
      <c r="C389" s="517"/>
      <c r="D389" s="517"/>
    </row>
    <row r="390" spans="1:7" x14ac:dyDescent="0.35">
      <c r="A390" s="517" t="s">
        <v>2511</v>
      </c>
      <c r="B390" s="517"/>
      <c r="C390" s="517"/>
      <c r="D390" s="517"/>
    </row>
    <row r="391" spans="1:7" x14ac:dyDescent="0.35">
      <c r="A391" s="517" t="s">
        <v>2512</v>
      </c>
      <c r="B391" s="517"/>
      <c r="C391" s="517"/>
      <c r="D391" s="517"/>
    </row>
    <row r="392" spans="1:7" x14ac:dyDescent="0.35">
      <c r="A392" s="517" t="s">
        <v>2513</v>
      </c>
      <c r="B392" s="517"/>
      <c r="C392" s="517"/>
      <c r="D392" s="517"/>
    </row>
    <row r="393" spans="1:7" x14ac:dyDescent="0.35">
      <c r="A393" s="517" t="s">
        <v>2514</v>
      </c>
      <c r="B393" s="517"/>
      <c r="C393" s="517"/>
      <c r="D393" s="517"/>
    </row>
    <row r="394" spans="1:7" x14ac:dyDescent="0.35">
      <c r="A394" s="517" t="s">
        <v>2515</v>
      </c>
      <c r="B394" s="517"/>
      <c r="C394" s="517"/>
      <c r="D394" s="517"/>
    </row>
    <row r="395" spans="1:7" x14ac:dyDescent="0.35">
      <c r="A395" t="s">
        <v>403</v>
      </c>
      <c r="B395" t="s">
        <v>2641</v>
      </c>
      <c r="D395">
        <v>50</v>
      </c>
    </row>
    <row r="396" spans="1:7" x14ac:dyDescent="0.35">
      <c r="A396" t="s">
        <v>404</v>
      </c>
    </row>
    <row r="397" spans="1:7" x14ac:dyDescent="0.35">
      <c r="A397" t="s">
        <v>405</v>
      </c>
      <c r="D397">
        <v>50</v>
      </c>
    </row>
    <row r="398" spans="1:7" x14ac:dyDescent="0.35">
      <c r="A398" t="s">
        <v>406</v>
      </c>
    </row>
    <row r="399" spans="1:7" x14ac:dyDescent="0.35">
      <c r="A399" t="s">
        <v>407</v>
      </c>
      <c r="D399">
        <v>50</v>
      </c>
    </row>
    <row r="400" spans="1:7" x14ac:dyDescent="0.35">
      <c r="A400" t="s">
        <v>408</v>
      </c>
      <c r="D400">
        <v>50</v>
      </c>
    </row>
    <row r="401" spans="1:4" x14ac:dyDescent="0.35">
      <c r="A401" t="s">
        <v>409</v>
      </c>
      <c r="D401">
        <v>50</v>
      </c>
    </row>
    <row r="402" spans="1:4" x14ac:dyDescent="0.35">
      <c r="A402" t="s">
        <v>410</v>
      </c>
      <c r="B402">
        <v>4</v>
      </c>
      <c r="D402">
        <v>50</v>
      </c>
    </row>
    <row r="403" spans="1:4" x14ac:dyDescent="0.35">
      <c r="A403" t="s">
        <v>411</v>
      </c>
      <c r="D403">
        <v>50</v>
      </c>
    </row>
    <row r="404" spans="1:4" x14ac:dyDescent="0.35">
      <c r="A404" t="s">
        <v>412</v>
      </c>
      <c r="D404">
        <v>50</v>
      </c>
    </row>
    <row r="405" spans="1:4" x14ac:dyDescent="0.35">
      <c r="A405" t="s">
        <v>413</v>
      </c>
      <c r="D405">
        <v>50</v>
      </c>
    </row>
    <row r="406" spans="1:4" x14ac:dyDescent="0.35">
      <c r="A406" t="s">
        <v>414</v>
      </c>
      <c r="D406">
        <v>50</v>
      </c>
    </row>
    <row r="407" spans="1:4" x14ac:dyDescent="0.35">
      <c r="A407" t="s">
        <v>415</v>
      </c>
      <c r="D407">
        <v>50</v>
      </c>
    </row>
    <row r="408" spans="1:4" x14ac:dyDescent="0.35">
      <c r="A408" t="s">
        <v>416</v>
      </c>
      <c r="D408">
        <v>50</v>
      </c>
    </row>
    <row r="409" spans="1:4" x14ac:dyDescent="0.35">
      <c r="A409" t="s">
        <v>610</v>
      </c>
    </row>
    <row r="410" spans="1:4" x14ac:dyDescent="0.35">
      <c r="A410" t="s">
        <v>611</v>
      </c>
    </row>
    <row r="411" spans="1:4" x14ac:dyDescent="0.35">
      <c r="A411" t="s">
        <v>795</v>
      </c>
    </row>
    <row r="412" spans="1:4" x14ac:dyDescent="0.35">
      <c r="A412" t="s">
        <v>527</v>
      </c>
    </row>
    <row r="413" spans="1:4" x14ac:dyDescent="0.35">
      <c r="A413" t="s">
        <v>528</v>
      </c>
      <c r="B413">
        <v>3</v>
      </c>
    </row>
    <row r="414" spans="1:4" x14ac:dyDescent="0.35">
      <c r="A414" t="s">
        <v>357</v>
      </c>
    </row>
    <row r="415" spans="1:4" x14ac:dyDescent="0.35">
      <c r="A415" s="517" t="s">
        <v>2576</v>
      </c>
    </row>
    <row r="416" spans="1:4" x14ac:dyDescent="0.35">
      <c r="A416" s="517" t="s">
        <v>2577</v>
      </c>
    </row>
    <row r="417" spans="1:2" x14ac:dyDescent="0.35">
      <c r="A417" s="517" t="s">
        <v>2578</v>
      </c>
    </row>
    <row r="418" spans="1:2" x14ac:dyDescent="0.35">
      <c r="A418" s="517" t="s">
        <v>2579</v>
      </c>
    </row>
    <row r="419" spans="1:2" x14ac:dyDescent="0.35">
      <c r="A419" s="517" t="s">
        <v>2580</v>
      </c>
    </row>
    <row r="420" spans="1:2" x14ac:dyDescent="0.35">
      <c r="A420" s="517" t="s">
        <v>2581</v>
      </c>
    </row>
    <row r="421" spans="1:2" x14ac:dyDescent="0.35">
      <c r="A421" s="517" t="s">
        <v>2582</v>
      </c>
    </row>
    <row r="422" spans="1:2" x14ac:dyDescent="0.35">
      <c r="A422" s="517" t="s">
        <v>2583</v>
      </c>
    </row>
    <row r="423" spans="1:2" x14ac:dyDescent="0.35">
      <c r="A423" s="517" t="s">
        <v>2584</v>
      </c>
    </row>
    <row r="424" spans="1:2" x14ac:dyDescent="0.35">
      <c r="A424" s="517" t="s">
        <v>2585</v>
      </c>
    </row>
    <row r="425" spans="1:2" x14ac:dyDescent="0.35">
      <c r="A425" t="s">
        <v>358</v>
      </c>
    </row>
    <row r="426" spans="1:2" x14ac:dyDescent="0.35">
      <c r="A426" t="s">
        <v>359</v>
      </c>
    </row>
    <row r="427" spans="1:2" x14ac:dyDescent="0.35">
      <c r="A427" t="s">
        <v>360</v>
      </c>
    </row>
    <row r="428" spans="1:2" x14ac:dyDescent="0.35">
      <c r="A428" t="s">
        <v>361</v>
      </c>
    </row>
    <row r="429" spans="1:2" x14ac:dyDescent="0.35">
      <c r="A429" t="s">
        <v>230</v>
      </c>
    </row>
    <row r="430" spans="1:2" x14ac:dyDescent="0.35">
      <c r="A430" t="s">
        <v>883</v>
      </c>
    </row>
    <row r="431" spans="1:2" x14ac:dyDescent="0.35">
      <c r="A431" t="s">
        <v>884</v>
      </c>
    </row>
    <row r="432" spans="1:2" x14ac:dyDescent="0.35">
      <c r="A432" t="s">
        <v>885</v>
      </c>
      <c r="B432">
        <v>50</v>
      </c>
    </row>
    <row r="433" spans="1:7" x14ac:dyDescent="0.35">
      <c r="A433" t="s">
        <v>886</v>
      </c>
      <c r="G433" s="517"/>
    </row>
    <row r="434" spans="1:7" x14ac:dyDescent="0.35">
      <c r="A434" t="s">
        <v>887</v>
      </c>
    </row>
    <row r="435" spans="1:7" x14ac:dyDescent="0.35">
      <c r="A435" t="s">
        <v>888</v>
      </c>
    </row>
    <row r="436" spans="1:7" x14ac:dyDescent="0.35">
      <c r="A436" t="s">
        <v>69</v>
      </c>
    </row>
    <row r="437" spans="1:7" x14ac:dyDescent="0.35">
      <c r="A437" t="s">
        <v>70</v>
      </c>
    </row>
    <row r="438" spans="1:7" x14ac:dyDescent="0.35">
      <c r="A438" t="s">
        <v>71</v>
      </c>
      <c r="G438" s="517"/>
    </row>
    <row r="439" spans="1:7" x14ac:dyDescent="0.35">
      <c r="A439" t="s">
        <v>72</v>
      </c>
    </row>
    <row r="440" spans="1:7" x14ac:dyDescent="0.35">
      <c r="A440" t="s">
        <v>73</v>
      </c>
    </row>
    <row r="441" spans="1:7" x14ac:dyDescent="0.35">
      <c r="A441" t="s">
        <v>74</v>
      </c>
    </row>
    <row r="442" spans="1:7" x14ac:dyDescent="0.35">
      <c r="A442" t="s">
        <v>278</v>
      </c>
    </row>
    <row r="443" spans="1:7" x14ac:dyDescent="0.35">
      <c r="A443" t="s">
        <v>132</v>
      </c>
      <c r="B443">
        <v>5</v>
      </c>
    </row>
    <row r="444" spans="1:7" x14ac:dyDescent="0.35">
      <c r="A444" t="s">
        <v>133</v>
      </c>
    </row>
    <row r="445" spans="1:7" x14ac:dyDescent="0.35">
      <c r="A445" s="517" t="s">
        <v>2616</v>
      </c>
    </row>
    <row r="446" spans="1:7" x14ac:dyDescent="0.35">
      <c r="A446" s="517" t="s">
        <v>2617</v>
      </c>
    </row>
    <row r="447" spans="1:7" x14ac:dyDescent="0.35">
      <c r="A447" s="517" t="s">
        <v>2618</v>
      </c>
    </row>
    <row r="448" spans="1:7" x14ac:dyDescent="0.35">
      <c r="A448" s="517" t="s">
        <v>2619</v>
      </c>
    </row>
    <row r="449" spans="1:4" x14ac:dyDescent="0.35">
      <c r="A449" s="517" t="s">
        <v>2620</v>
      </c>
    </row>
    <row r="450" spans="1:4" x14ac:dyDescent="0.35">
      <c r="A450" s="517" t="s">
        <v>2621</v>
      </c>
    </row>
    <row r="451" spans="1:4" x14ac:dyDescent="0.35">
      <c r="A451" s="517" t="s">
        <v>2622</v>
      </c>
    </row>
    <row r="452" spans="1:4" x14ac:dyDescent="0.35">
      <c r="A452" s="517" t="s">
        <v>2623</v>
      </c>
    </row>
    <row r="453" spans="1:4" x14ac:dyDescent="0.35">
      <c r="A453" s="517" t="s">
        <v>2624</v>
      </c>
    </row>
    <row r="454" spans="1:4" s="517" customFormat="1" x14ac:dyDescent="0.35">
      <c r="A454" s="517" t="s">
        <v>2625</v>
      </c>
      <c r="B454"/>
      <c r="C454"/>
      <c r="D454"/>
    </row>
    <row r="455" spans="1:4" x14ac:dyDescent="0.35">
      <c r="A455" t="s">
        <v>52</v>
      </c>
    </row>
    <row r="456" spans="1:4" x14ac:dyDescent="0.35">
      <c r="A456" t="s">
        <v>53</v>
      </c>
    </row>
    <row r="457" spans="1:4" x14ac:dyDescent="0.35">
      <c r="A457" t="s">
        <v>650</v>
      </c>
    </row>
    <row r="458" spans="1:4" x14ac:dyDescent="0.35">
      <c r="A458" t="s">
        <v>651</v>
      </c>
    </row>
    <row r="459" spans="1:4" x14ac:dyDescent="0.35">
      <c r="A459" t="s">
        <v>652</v>
      </c>
    </row>
    <row r="460" spans="1:4" x14ac:dyDescent="0.35">
      <c r="A460" t="s">
        <v>603</v>
      </c>
    </row>
    <row r="461" spans="1:4" x14ac:dyDescent="0.35">
      <c r="A461" t="s">
        <v>639</v>
      </c>
    </row>
    <row r="462" spans="1:4" x14ac:dyDescent="0.35">
      <c r="A462" t="s">
        <v>523</v>
      </c>
      <c r="B462">
        <v>5</v>
      </c>
      <c r="C462">
        <v>1</v>
      </c>
    </row>
    <row r="463" spans="1:4" x14ac:dyDescent="0.35">
      <c r="A463" t="s">
        <v>524</v>
      </c>
      <c r="B463">
        <v>1</v>
      </c>
      <c r="C463">
        <v>1</v>
      </c>
    </row>
    <row r="464" spans="1:4" x14ac:dyDescent="0.35">
      <c r="A464" t="s">
        <v>525</v>
      </c>
      <c r="B464">
        <v>1</v>
      </c>
      <c r="C464">
        <v>1</v>
      </c>
    </row>
    <row r="465" spans="1:7" x14ac:dyDescent="0.35">
      <c r="A465" t="s">
        <v>526</v>
      </c>
      <c r="B465">
        <v>1</v>
      </c>
      <c r="C465">
        <v>1</v>
      </c>
    </row>
    <row r="466" spans="1:7" x14ac:dyDescent="0.35">
      <c r="A466" t="s">
        <v>807</v>
      </c>
      <c r="B466">
        <v>1</v>
      </c>
      <c r="C466">
        <v>1</v>
      </c>
      <c r="G466" s="517"/>
    </row>
    <row r="467" spans="1:7" x14ac:dyDescent="0.35">
      <c r="A467" t="s">
        <v>808</v>
      </c>
      <c r="B467">
        <v>1</v>
      </c>
      <c r="C467">
        <v>1</v>
      </c>
    </row>
    <row r="468" spans="1:7" x14ac:dyDescent="0.35">
      <c r="A468" t="s">
        <v>809</v>
      </c>
      <c r="B468">
        <v>1</v>
      </c>
      <c r="C468">
        <v>1</v>
      </c>
    </row>
    <row r="469" spans="1:7" x14ac:dyDescent="0.35">
      <c r="A469" t="s">
        <v>810</v>
      </c>
      <c r="B469">
        <v>1</v>
      </c>
      <c r="C469">
        <v>1</v>
      </c>
    </row>
    <row r="470" spans="1:7" x14ac:dyDescent="0.35">
      <c r="A470" t="s">
        <v>811</v>
      </c>
      <c r="B470">
        <v>1</v>
      </c>
      <c r="C470">
        <v>1</v>
      </c>
    </row>
    <row r="471" spans="1:7" x14ac:dyDescent="0.35">
      <c r="A471" t="s">
        <v>829</v>
      </c>
      <c r="B471">
        <v>1</v>
      </c>
      <c r="C471">
        <v>1</v>
      </c>
    </row>
    <row r="472" spans="1:7" x14ac:dyDescent="0.35">
      <c r="A472" t="s">
        <v>830</v>
      </c>
      <c r="B472">
        <v>1</v>
      </c>
      <c r="C472">
        <v>1</v>
      </c>
    </row>
    <row r="473" spans="1:7" x14ac:dyDescent="0.35">
      <c r="A473" t="s">
        <v>831</v>
      </c>
      <c r="B473">
        <v>6</v>
      </c>
      <c r="C473">
        <v>1</v>
      </c>
    </row>
    <row r="474" spans="1:7" x14ac:dyDescent="0.35">
      <c r="A474" t="s">
        <v>832</v>
      </c>
      <c r="B474">
        <v>1</v>
      </c>
      <c r="C474">
        <v>1</v>
      </c>
    </row>
    <row r="475" spans="1:7" x14ac:dyDescent="0.35">
      <c r="A475" s="517" t="s">
        <v>2556</v>
      </c>
      <c r="B475">
        <v>1</v>
      </c>
      <c r="C475" s="517">
        <v>1</v>
      </c>
    </row>
    <row r="476" spans="1:7" x14ac:dyDescent="0.35">
      <c r="A476" s="517" t="s">
        <v>2557</v>
      </c>
      <c r="B476">
        <v>1</v>
      </c>
      <c r="C476" s="517">
        <v>1</v>
      </c>
    </row>
    <row r="477" spans="1:7" x14ac:dyDescent="0.35">
      <c r="A477" s="517" t="s">
        <v>2558</v>
      </c>
      <c r="B477">
        <v>1</v>
      </c>
      <c r="C477" s="517">
        <v>1</v>
      </c>
    </row>
    <row r="478" spans="1:7" x14ac:dyDescent="0.35">
      <c r="A478" s="517" t="s">
        <v>2559</v>
      </c>
      <c r="B478">
        <v>1</v>
      </c>
      <c r="C478" s="517">
        <v>1</v>
      </c>
    </row>
    <row r="479" spans="1:7" x14ac:dyDescent="0.35">
      <c r="A479" s="517" t="s">
        <v>2560</v>
      </c>
      <c r="B479">
        <v>1</v>
      </c>
      <c r="C479" s="517">
        <v>1</v>
      </c>
    </row>
    <row r="480" spans="1:7" x14ac:dyDescent="0.35">
      <c r="A480" s="517" t="s">
        <v>2561</v>
      </c>
      <c r="B480">
        <v>1</v>
      </c>
      <c r="C480" s="517">
        <v>1</v>
      </c>
    </row>
    <row r="481" spans="1:3" x14ac:dyDescent="0.35">
      <c r="A481" s="517" t="s">
        <v>2562</v>
      </c>
      <c r="B481">
        <v>1</v>
      </c>
      <c r="C481" s="517">
        <v>1</v>
      </c>
    </row>
    <row r="482" spans="1:3" x14ac:dyDescent="0.35">
      <c r="A482" s="517" t="s">
        <v>2563</v>
      </c>
      <c r="B482">
        <v>1</v>
      </c>
      <c r="C482" s="517">
        <v>1</v>
      </c>
    </row>
    <row r="483" spans="1:3" x14ac:dyDescent="0.35">
      <c r="A483" s="517" t="s">
        <v>2564</v>
      </c>
      <c r="B483">
        <v>1</v>
      </c>
      <c r="C483" s="517">
        <v>1</v>
      </c>
    </row>
    <row r="484" spans="1:3" x14ac:dyDescent="0.35">
      <c r="A484" s="517" t="s">
        <v>2565</v>
      </c>
      <c r="B484">
        <v>1</v>
      </c>
      <c r="C484" s="517">
        <v>1</v>
      </c>
    </row>
    <row r="485" spans="1:3" x14ac:dyDescent="0.35">
      <c r="A485" t="s">
        <v>833</v>
      </c>
      <c r="B485">
        <v>11</v>
      </c>
      <c r="C485">
        <v>1</v>
      </c>
    </row>
    <row r="486" spans="1:3" x14ac:dyDescent="0.35">
      <c r="A486" t="s">
        <v>834</v>
      </c>
      <c r="B486">
        <v>1</v>
      </c>
      <c r="C486">
        <v>1</v>
      </c>
    </row>
    <row r="487" spans="1:3" x14ac:dyDescent="0.35">
      <c r="A487" t="s">
        <v>835</v>
      </c>
      <c r="B487">
        <v>1</v>
      </c>
      <c r="C487">
        <v>1</v>
      </c>
    </row>
    <row r="488" spans="1:3" x14ac:dyDescent="0.35">
      <c r="A488" t="s">
        <v>681</v>
      </c>
      <c r="B488">
        <v>1</v>
      </c>
      <c r="C488">
        <v>1</v>
      </c>
    </row>
    <row r="489" spans="1:3" x14ac:dyDescent="0.35">
      <c r="A489" t="s">
        <v>746</v>
      </c>
      <c r="B489">
        <v>1</v>
      </c>
      <c r="C489">
        <v>1</v>
      </c>
    </row>
    <row r="490" spans="1:3" x14ac:dyDescent="0.35">
      <c r="A490" t="s">
        <v>747</v>
      </c>
      <c r="B490">
        <v>1</v>
      </c>
      <c r="C490">
        <v>1</v>
      </c>
    </row>
    <row r="491" spans="1:3" x14ac:dyDescent="0.35">
      <c r="A491" t="s">
        <v>748</v>
      </c>
      <c r="B491">
        <v>1</v>
      </c>
      <c r="C491">
        <v>1</v>
      </c>
    </row>
    <row r="492" spans="1:3" x14ac:dyDescent="0.35">
      <c r="A492" t="s">
        <v>749</v>
      </c>
      <c r="B492" t="s">
        <v>2426</v>
      </c>
    </row>
    <row r="493" spans="1:3" x14ac:dyDescent="0.35">
      <c r="A493" t="s">
        <v>750</v>
      </c>
    </row>
    <row r="494" spans="1:3" x14ac:dyDescent="0.35">
      <c r="A494" t="s">
        <v>419</v>
      </c>
    </row>
    <row r="495" spans="1:3" x14ac:dyDescent="0.35">
      <c r="A495" t="s">
        <v>529</v>
      </c>
    </row>
    <row r="496" spans="1:3" x14ac:dyDescent="0.35">
      <c r="A496" t="s">
        <v>530</v>
      </c>
    </row>
    <row r="497" spans="1:2" x14ac:dyDescent="0.35">
      <c r="A497" t="s">
        <v>531</v>
      </c>
    </row>
    <row r="498" spans="1:2" x14ac:dyDescent="0.35">
      <c r="A498" t="s">
        <v>532</v>
      </c>
    </row>
    <row r="499" spans="1:2" x14ac:dyDescent="0.35">
      <c r="A499" t="s">
        <v>533</v>
      </c>
    </row>
    <row r="500" spans="1:2" x14ac:dyDescent="0.35">
      <c r="A500" t="s">
        <v>534</v>
      </c>
    </row>
    <row r="501" spans="1:2" x14ac:dyDescent="0.35">
      <c r="A501" t="s">
        <v>731</v>
      </c>
    </row>
    <row r="502" spans="1:2" x14ac:dyDescent="0.35">
      <c r="A502" t="s">
        <v>708</v>
      </c>
    </row>
    <row r="503" spans="1:2" x14ac:dyDescent="0.35">
      <c r="A503" t="s">
        <v>709</v>
      </c>
      <c r="B503" t="s">
        <v>2426</v>
      </c>
    </row>
    <row r="504" spans="1:2" x14ac:dyDescent="0.35">
      <c r="A504" t="s">
        <v>710</v>
      </c>
    </row>
    <row r="505" spans="1:2" x14ac:dyDescent="0.35">
      <c r="A505" s="517" t="s">
        <v>2566</v>
      </c>
    </row>
    <row r="506" spans="1:2" x14ac:dyDescent="0.35">
      <c r="A506" s="517" t="s">
        <v>2567</v>
      </c>
    </row>
    <row r="507" spans="1:2" x14ac:dyDescent="0.35">
      <c r="A507" s="517" t="s">
        <v>2568</v>
      </c>
    </row>
    <row r="508" spans="1:2" x14ac:dyDescent="0.35">
      <c r="A508" s="517" t="s">
        <v>2569</v>
      </c>
    </row>
    <row r="509" spans="1:2" x14ac:dyDescent="0.35">
      <c r="A509" s="517" t="s">
        <v>2570</v>
      </c>
    </row>
    <row r="510" spans="1:2" x14ac:dyDescent="0.35">
      <c r="A510" s="517" t="s">
        <v>2571</v>
      </c>
    </row>
    <row r="511" spans="1:2" x14ac:dyDescent="0.35">
      <c r="A511" s="517" t="s">
        <v>2572</v>
      </c>
    </row>
    <row r="512" spans="1:2" x14ac:dyDescent="0.35">
      <c r="A512" s="517" t="s">
        <v>2573</v>
      </c>
    </row>
    <row r="513" spans="1:3" x14ac:dyDescent="0.35">
      <c r="A513" s="517" t="s">
        <v>2574</v>
      </c>
    </row>
    <row r="514" spans="1:3" x14ac:dyDescent="0.35">
      <c r="A514" s="517" t="s">
        <v>2575</v>
      </c>
    </row>
    <row r="515" spans="1:3" x14ac:dyDescent="0.35">
      <c r="A515" t="s">
        <v>711</v>
      </c>
      <c r="B515" t="s">
        <v>2425</v>
      </c>
    </row>
    <row r="516" spans="1:3" x14ac:dyDescent="0.35">
      <c r="A516" t="s">
        <v>791</v>
      </c>
    </row>
    <row r="517" spans="1:3" x14ac:dyDescent="0.35">
      <c r="A517" t="s">
        <v>848</v>
      </c>
    </row>
    <row r="518" spans="1:3" x14ac:dyDescent="0.35">
      <c r="A518" t="s">
        <v>849</v>
      </c>
    </row>
    <row r="519" spans="1:3" x14ac:dyDescent="0.35">
      <c r="A519" t="s">
        <v>850</v>
      </c>
    </row>
    <row r="520" spans="1:3" x14ac:dyDescent="0.35">
      <c r="A520" t="s">
        <v>851</v>
      </c>
    </row>
    <row r="521" spans="1:3" x14ac:dyDescent="0.35">
      <c r="A521" t="s">
        <v>222</v>
      </c>
    </row>
    <row r="522" spans="1:3" x14ac:dyDescent="0.35">
      <c r="A522" t="s">
        <v>346</v>
      </c>
      <c r="B522" t="b">
        <v>1</v>
      </c>
      <c r="C522" t="b">
        <v>0</v>
      </c>
    </row>
    <row r="523" spans="1:3" x14ac:dyDescent="0.35">
      <c r="A523" t="s">
        <v>347</v>
      </c>
      <c r="B523">
        <v>7</v>
      </c>
    </row>
    <row r="524" spans="1:3" x14ac:dyDescent="0.35">
      <c r="A524" t="s">
        <v>348</v>
      </c>
      <c r="B524" t="b">
        <v>1</v>
      </c>
      <c r="C524" t="b">
        <v>0</v>
      </c>
    </row>
    <row r="525" spans="1:3" x14ac:dyDescent="0.35">
      <c r="A525" t="s">
        <v>48</v>
      </c>
      <c r="B525" t="b">
        <v>1</v>
      </c>
    </row>
    <row r="526" spans="1:3" x14ac:dyDescent="0.35">
      <c r="A526" t="s">
        <v>799</v>
      </c>
      <c r="B526">
        <v>10</v>
      </c>
    </row>
    <row r="527" spans="1:3" x14ac:dyDescent="0.35">
      <c r="A527" t="s">
        <v>49</v>
      </c>
      <c r="B527">
        <v>2</v>
      </c>
    </row>
    <row r="528" spans="1:3" x14ac:dyDescent="0.35">
      <c r="A528" t="s">
        <v>233</v>
      </c>
    </row>
    <row r="529" spans="1:7" x14ac:dyDescent="0.35">
      <c r="A529" s="518" t="s">
        <v>234</v>
      </c>
    </row>
    <row r="530" spans="1:7" x14ac:dyDescent="0.35">
      <c r="A530" t="s">
        <v>612</v>
      </c>
    </row>
    <row r="531" spans="1:7" x14ac:dyDescent="0.35">
      <c r="A531" t="s">
        <v>613</v>
      </c>
    </row>
    <row r="532" spans="1:7" x14ac:dyDescent="0.35">
      <c r="A532" t="s">
        <v>614</v>
      </c>
      <c r="G532" s="517"/>
    </row>
    <row r="533" spans="1:7" x14ac:dyDescent="0.35">
      <c r="A533" t="s">
        <v>320</v>
      </c>
    </row>
    <row r="534" spans="1:7" x14ac:dyDescent="0.35">
      <c r="A534" s="517" t="s">
        <v>1453</v>
      </c>
      <c r="B534" s="517"/>
      <c r="C534" s="517"/>
      <c r="D534" s="517"/>
    </row>
    <row r="535" spans="1:7" x14ac:dyDescent="0.35">
      <c r="A535" t="s">
        <v>321</v>
      </c>
    </row>
    <row r="536" spans="1:7" x14ac:dyDescent="0.35">
      <c r="A536" t="s">
        <v>322</v>
      </c>
    </row>
    <row r="537" spans="1:7" x14ac:dyDescent="0.35">
      <c r="A537" t="s">
        <v>323</v>
      </c>
    </row>
    <row r="538" spans="1:7" x14ac:dyDescent="0.35">
      <c r="A538" t="s">
        <v>324</v>
      </c>
    </row>
    <row r="539" spans="1:7" x14ac:dyDescent="0.35">
      <c r="A539" t="s">
        <v>451</v>
      </c>
    </row>
    <row r="540" spans="1:7" x14ac:dyDescent="0.35">
      <c r="A540" t="s">
        <v>349</v>
      </c>
    </row>
    <row r="541" spans="1:7" x14ac:dyDescent="0.35">
      <c r="A541" t="s">
        <v>350</v>
      </c>
    </row>
    <row r="542" spans="1:7" x14ac:dyDescent="0.35">
      <c r="A542" t="s">
        <v>351</v>
      </c>
    </row>
    <row r="543" spans="1:7" x14ac:dyDescent="0.35">
      <c r="A543" t="s">
        <v>327</v>
      </c>
    </row>
    <row r="544" spans="1:7" x14ac:dyDescent="0.35">
      <c r="A544" t="s">
        <v>328</v>
      </c>
    </row>
    <row r="545" spans="1:7" x14ac:dyDescent="0.35">
      <c r="A545" t="s">
        <v>670</v>
      </c>
      <c r="G545" s="517"/>
    </row>
    <row r="546" spans="1:7" x14ac:dyDescent="0.35">
      <c r="A546" t="s">
        <v>671</v>
      </c>
    </row>
    <row r="547" spans="1:7" x14ac:dyDescent="0.35">
      <c r="A547" t="s">
        <v>607</v>
      </c>
    </row>
    <row r="548" spans="1:7" x14ac:dyDescent="0.35">
      <c r="A548" t="s">
        <v>608</v>
      </c>
    </row>
    <row r="549" spans="1:7" x14ac:dyDescent="0.35">
      <c r="A549" t="s">
        <v>609</v>
      </c>
    </row>
    <row r="550" spans="1:7" x14ac:dyDescent="0.35">
      <c r="A550" t="s">
        <v>253</v>
      </c>
    </row>
    <row r="551" spans="1:7" x14ac:dyDescent="0.35">
      <c r="A551" t="s">
        <v>254</v>
      </c>
    </row>
    <row r="552" spans="1:7" x14ac:dyDescent="0.35">
      <c r="A552" t="s">
        <v>255</v>
      </c>
    </row>
    <row r="553" spans="1:7" x14ac:dyDescent="0.35">
      <c r="A553" t="s">
        <v>256</v>
      </c>
    </row>
    <row r="554" spans="1:7" x14ac:dyDescent="0.35">
      <c r="A554" t="s">
        <v>257</v>
      </c>
    </row>
    <row r="555" spans="1:7" x14ac:dyDescent="0.35">
      <c r="A555" t="s">
        <v>371</v>
      </c>
    </row>
    <row r="556" spans="1:7" x14ac:dyDescent="0.35">
      <c r="A556" s="517" t="s">
        <v>2606</v>
      </c>
      <c r="G556" s="517"/>
    </row>
    <row r="557" spans="1:7" x14ac:dyDescent="0.35">
      <c r="A557" s="517" t="s">
        <v>2607</v>
      </c>
      <c r="G557" s="517"/>
    </row>
    <row r="558" spans="1:7" x14ac:dyDescent="0.35">
      <c r="A558" s="517" t="s">
        <v>2608</v>
      </c>
      <c r="G558" s="517"/>
    </row>
    <row r="559" spans="1:7" x14ac:dyDescent="0.35">
      <c r="A559" s="517" t="s">
        <v>2609</v>
      </c>
      <c r="G559" s="517"/>
    </row>
    <row r="560" spans="1:7" x14ac:dyDescent="0.35">
      <c r="A560" s="517" t="s">
        <v>2610</v>
      </c>
      <c r="G560" s="517"/>
    </row>
    <row r="561" spans="1:7" x14ac:dyDescent="0.35">
      <c r="A561" s="517" t="s">
        <v>2611</v>
      </c>
      <c r="G561" s="517"/>
    </row>
    <row r="562" spans="1:7" x14ac:dyDescent="0.35">
      <c r="A562" s="517" t="s">
        <v>2612</v>
      </c>
      <c r="G562" s="517"/>
    </row>
    <row r="563" spans="1:7" x14ac:dyDescent="0.35">
      <c r="A563" s="517" t="s">
        <v>2613</v>
      </c>
      <c r="G563" s="517"/>
    </row>
    <row r="564" spans="1:7" x14ac:dyDescent="0.35">
      <c r="A564" s="517" t="s">
        <v>2614</v>
      </c>
      <c r="G564" s="517"/>
    </row>
    <row r="565" spans="1:7" x14ac:dyDescent="0.35">
      <c r="A565" s="517" t="s">
        <v>2615</v>
      </c>
    </row>
    <row r="566" spans="1:7" x14ac:dyDescent="0.35">
      <c r="A566" t="s">
        <v>366</v>
      </c>
    </row>
    <row r="567" spans="1:7" x14ac:dyDescent="0.35">
      <c r="A567" t="s">
        <v>367</v>
      </c>
    </row>
    <row r="568" spans="1:7" x14ac:dyDescent="0.35">
      <c r="A568" t="s">
        <v>368</v>
      </c>
    </row>
    <row r="569" spans="1:7" x14ac:dyDescent="0.35">
      <c r="A569" t="s">
        <v>369</v>
      </c>
    </row>
    <row r="570" spans="1:7" x14ac:dyDescent="0.35">
      <c r="A570" t="s">
        <v>370</v>
      </c>
    </row>
    <row r="571" spans="1:7" x14ac:dyDescent="0.35">
      <c r="A571" t="s">
        <v>622</v>
      </c>
    </row>
    <row r="572" spans="1:7" x14ac:dyDescent="0.35">
      <c r="A572" t="s">
        <v>729</v>
      </c>
    </row>
    <row r="573" spans="1:7" x14ac:dyDescent="0.35">
      <c r="A573" t="s">
        <v>447</v>
      </c>
      <c r="B573" s="22">
        <v>42716</v>
      </c>
      <c r="C573" s="22">
        <v>42370</v>
      </c>
    </row>
    <row r="574" spans="1:7" x14ac:dyDescent="0.35">
      <c r="A574" t="s">
        <v>769</v>
      </c>
      <c r="B574">
        <v>1234567</v>
      </c>
    </row>
    <row r="575" spans="1:7" x14ac:dyDescent="0.35">
      <c r="A575" t="s">
        <v>630</v>
      </c>
      <c r="B575">
        <v>1</v>
      </c>
    </row>
    <row r="576" spans="1:7" x14ac:dyDescent="0.35">
      <c r="A576" t="s">
        <v>548</v>
      </c>
    </row>
    <row r="577" spans="1:2" x14ac:dyDescent="0.35">
      <c r="A577" t="s">
        <v>114</v>
      </c>
    </row>
    <row r="578" spans="1:2" x14ac:dyDescent="0.35">
      <c r="A578" t="s">
        <v>117</v>
      </c>
    </row>
    <row r="579" spans="1:2" x14ac:dyDescent="0.35">
      <c r="A579" t="s">
        <v>116</v>
      </c>
    </row>
    <row r="580" spans="1:2" x14ac:dyDescent="0.35">
      <c r="A580" t="s">
        <v>113</v>
      </c>
    </row>
    <row r="581" spans="1:2" x14ac:dyDescent="0.35">
      <c r="A581" t="s">
        <v>112</v>
      </c>
    </row>
    <row r="582" spans="1:2" x14ac:dyDescent="0.35">
      <c r="A582" t="s">
        <v>115</v>
      </c>
    </row>
    <row r="583" spans="1:2" x14ac:dyDescent="0.35">
      <c r="A583" t="s">
        <v>118</v>
      </c>
    </row>
    <row r="584" spans="1:2" x14ac:dyDescent="0.35">
      <c r="A584" t="s">
        <v>554</v>
      </c>
      <c r="B584">
        <v>893</v>
      </c>
    </row>
    <row r="585" spans="1:2" x14ac:dyDescent="0.35">
      <c r="A585" t="s">
        <v>555</v>
      </c>
    </row>
    <row r="586" spans="1:2" x14ac:dyDescent="0.35">
      <c r="A586" t="s">
        <v>556</v>
      </c>
    </row>
    <row r="587" spans="1:2" x14ac:dyDescent="0.35">
      <c r="A587" t="s">
        <v>557</v>
      </c>
    </row>
    <row r="588" spans="1:2" x14ac:dyDescent="0.35">
      <c r="A588" t="s">
        <v>862</v>
      </c>
    </row>
    <row r="589" spans="1:2" x14ac:dyDescent="0.35">
      <c r="A589" t="s">
        <v>863</v>
      </c>
    </row>
    <row r="590" spans="1:2" x14ac:dyDescent="0.35">
      <c r="A590" t="s">
        <v>864</v>
      </c>
    </row>
    <row r="591" spans="1:2" x14ac:dyDescent="0.35">
      <c r="A591" t="s">
        <v>865</v>
      </c>
    </row>
    <row r="592" spans="1:2" x14ac:dyDescent="0.35">
      <c r="A592" t="s">
        <v>510</v>
      </c>
    </row>
    <row r="593" spans="1:2" x14ac:dyDescent="0.35">
      <c r="A593" t="s">
        <v>792</v>
      </c>
    </row>
    <row r="594" spans="1:2" x14ac:dyDescent="0.35">
      <c r="A594" t="s">
        <v>793</v>
      </c>
    </row>
    <row r="595" spans="1:2" x14ac:dyDescent="0.35">
      <c r="A595" t="s">
        <v>794</v>
      </c>
      <c r="B595">
        <v>6</v>
      </c>
    </row>
    <row r="596" spans="1:2" x14ac:dyDescent="0.35">
      <c r="A596" t="s">
        <v>488</v>
      </c>
    </row>
    <row r="597" spans="1:2" x14ac:dyDescent="0.35">
      <c r="A597" s="517" t="s">
        <v>2596</v>
      </c>
    </row>
    <row r="598" spans="1:2" x14ac:dyDescent="0.35">
      <c r="A598" s="517" t="s">
        <v>2597</v>
      </c>
    </row>
    <row r="599" spans="1:2" x14ac:dyDescent="0.35">
      <c r="A599" s="517" t="s">
        <v>2598</v>
      </c>
    </row>
    <row r="600" spans="1:2" x14ac:dyDescent="0.35">
      <c r="A600" s="517" t="s">
        <v>2599</v>
      </c>
    </row>
    <row r="601" spans="1:2" x14ac:dyDescent="0.35">
      <c r="A601" s="517" t="s">
        <v>2600</v>
      </c>
    </row>
    <row r="602" spans="1:2" x14ac:dyDescent="0.35">
      <c r="A602" s="517" t="s">
        <v>2601</v>
      </c>
    </row>
    <row r="603" spans="1:2" x14ac:dyDescent="0.35">
      <c r="A603" s="517" t="s">
        <v>2602</v>
      </c>
    </row>
    <row r="604" spans="1:2" x14ac:dyDescent="0.35">
      <c r="A604" s="517" t="s">
        <v>2603</v>
      </c>
    </row>
    <row r="605" spans="1:2" x14ac:dyDescent="0.35">
      <c r="A605" s="517" t="s">
        <v>2604</v>
      </c>
    </row>
    <row r="606" spans="1:2" x14ac:dyDescent="0.35">
      <c r="A606" s="517" t="s">
        <v>2605</v>
      </c>
    </row>
    <row r="607" spans="1:2" x14ac:dyDescent="0.35">
      <c r="A607" t="s">
        <v>489</v>
      </c>
      <c r="B607">
        <v>1696</v>
      </c>
    </row>
    <row r="608" spans="1:2" x14ac:dyDescent="0.35">
      <c r="A608" t="s">
        <v>490</v>
      </c>
    </row>
    <row r="609" spans="1:3" x14ac:dyDescent="0.35">
      <c r="A609" t="s">
        <v>491</v>
      </c>
    </row>
    <row r="610" spans="1:3" x14ac:dyDescent="0.35">
      <c r="A610" t="s">
        <v>492</v>
      </c>
    </row>
    <row r="611" spans="1:3" x14ac:dyDescent="0.35">
      <c r="A611" t="s">
        <v>493</v>
      </c>
    </row>
    <row r="612" spans="1:3" x14ac:dyDescent="0.35">
      <c r="A612" t="s">
        <v>494</v>
      </c>
    </row>
    <row r="613" spans="1:3" x14ac:dyDescent="0.35">
      <c r="A613" t="s">
        <v>495</v>
      </c>
    </row>
    <row r="614" spans="1:3" x14ac:dyDescent="0.35">
      <c r="A614" t="s">
        <v>435</v>
      </c>
      <c r="B614" t="b">
        <v>1</v>
      </c>
      <c r="C614" t="b">
        <v>0</v>
      </c>
    </row>
    <row r="615" spans="1:3" x14ac:dyDescent="0.35">
      <c r="A615" t="s">
        <v>800</v>
      </c>
      <c r="B615">
        <v>13</v>
      </c>
      <c r="C615">
        <v>1</v>
      </c>
    </row>
    <row r="616" spans="1:3" x14ac:dyDescent="0.35">
      <c r="A616" t="s">
        <v>445</v>
      </c>
      <c r="B616">
        <v>1</v>
      </c>
      <c r="C616">
        <v>1</v>
      </c>
    </row>
    <row r="617" spans="1:3" x14ac:dyDescent="0.35">
      <c r="A617" t="s">
        <v>632</v>
      </c>
    </row>
    <row r="618" spans="1:3" x14ac:dyDescent="0.35">
      <c r="A618" t="s">
        <v>633</v>
      </c>
    </row>
    <row r="619" spans="1:3" x14ac:dyDescent="0.35">
      <c r="A619" t="s">
        <v>634</v>
      </c>
    </row>
    <row r="620" spans="1:3" x14ac:dyDescent="0.35">
      <c r="A620" t="s">
        <v>635</v>
      </c>
    </row>
    <row r="621" spans="1:3" x14ac:dyDescent="0.35">
      <c r="A621" t="s">
        <v>636</v>
      </c>
    </row>
    <row r="622" spans="1:3" x14ac:dyDescent="0.35">
      <c r="A622" t="s">
        <v>637</v>
      </c>
    </row>
    <row r="623" spans="1:3" x14ac:dyDescent="0.35">
      <c r="A623" t="s">
        <v>417</v>
      </c>
    </row>
    <row r="624" spans="1:3" x14ac:dyDescent="0.35">
      <c r="A624" t="s">
        <v>814</v>
      </c>
    </row>
    <row r="625" spans="1:3" x14ac:dyDescent="0.35">
      <c r="A625" t="s">
        <v>815</v>
      </c>
    </row>
    <row r="626" spans="1:3" x14ac:dyDescent="0.35">
      <c r="A626" t="s">
        <v>628</v>
      </c>
      <c r="B626">
        <v>14</v>
      </c>
      <c r="C626">
        <v>0</v>
      </c>
    </row>
    <row r="627" spans="1:3" x14ac:dyDescent="0.35">
      <c r="A627" t="s">
        <v>599</v>
      </c>
      <c r="B627">
        <v>1</v>
      </c>
      <c r="C627">
        <v>1</v>
      </c>
    </row>
    <row r="628" spans="1:3" x14ac:dyDescent="0.35">
      <c r="A628" t="s">
        <v>861</v>
      </c>
      <c r="B628">
        <v>1</v>
      </c>
      <c r="C628">
        <v>1</v>
      </c>
    </row>
    <row r="629" spans="1:3" x14ac:dyDescent="0.35">
      <c r="A629" t="s">
        <v>801</v>
      </c>
      <c r="B629">
        <v>14</v>
      </c>
    </row>
    <row r="630" spans="1:3" x14ac:dyDescent="0.35">
      <c r="A630" t="s">
        <v>332</v>
      </c>
      <c r="B630">
        <v>5</v>
      </c>
    </row>
    <row r="631" spans="1:3" x14ac:dyDescent="0.35">
      <c r="A631" t="s">
        <v>333</v>
      </c>
    </row>
    <row r="632" spans="1:3" x14ac:dyDescent="0.35">
      <c r="A632" t="s">
        <v>334</v>
      </c>
    </row>
    <row r="633" spans="1:3" x14ac:dyDescent="0.35">
      <c r="A633" t="s">
        <v>335</v>
      </c>
    </row>
    <row r="634" spans="1:3" x14ac:dyDescent="0.35">
      <c r="A634" t="s">
        <v>336</v>
      </c>
    </row>
    <row r="635" spans="1:3" x14ac:dyDescent="0.35">
      <c r="A635" t="s">
        <v>337</v>
      </c>
    </row>
    <row r="636" spans="1:3" x14ac:dyDescent="0.35">
      <c r="A636" t="s">
        <v>338</v>
      </c>
    </row>
    <row r="637" spans="1:3" x14ac:dyDescent="0.35">
      <c r="A637" t="s">
        <v>339</v>
      </c>
    </row>
    <row r="638" spans="1:3" x14ac:dyDescent="0.35">
      <c r="A638" t="s">
        <v>340</v>
      </c>
    </row>
    <row r="639" spans="1:3" x14ac:dyDescent="0.35">
      <c r="A639" t="s">
        <v>28</v>
      </c>
    </row>
    <row r="640" spans="1:3" x14ac:dyDescent="0.35">
      <c r="A640" t="s">
        <v>29</v>
      </c>
    </row>
    <row r="641" spans="1:4" x14ac:dyDescent="0.35">
      <c r="A641" t="s">
        <v>30</v>
      </c>
      <c r="B641">
        <v>20</v>
      </c>
    </row>
    <row r="642" spans="1:4" x14ac:dyDescent="0.35">
      <c r="A642" t="s">
        <v>31</v>
      </c>
    </row>
    <row r="643" spans="1:4" x14ac:dyDescent="0.35">
      <c r="A643" t="s">
        <v>32</v>
      </c>
      <c r="B643">
        <v>120</v>
      </c>
    </row>
    <row r="644" spans="1:4" x14ac:dyDescent="0.35">
      <c r="A644" t="s">
        <v>33</v>
      </c>
    </row>
    <row r="645" spans="1:4" x14ac:dyDescent="0.35">
      <c r="A645" t="s">
        <v>34</v>
      </c>
    </row>
    <row r="646" spans="1:4" x14ac:dyDescent="0.35">
      <c r="A646" t="s">
        <v>35</v>
      </c>
    </row>
    <row r="647" spans="1:4" x14ac:dyDescent="0.35">
      <c r="A647" t="s">
        <v>36</v>
      </c>
    </row>
    <row r="648" spans="1:4" x14ac:dyDescent="0.35">
      <c r="A648" t="s">
        <v>37</v>
      </c>
    </row>
    <row r="649" spans="1:4" x14ac:dyDescent="0.35">
      <c r="A649" t="s">
        <v>38</v>
      </c>
    </row>
    <row r="650" spans="1:4" x14ac:dyDescent="0.35">
      <c r="A650" s="517" t="s">
        <v>2526</v>
      </c>
    </row>
    <row r="651" spans="1:4" x14ac:dyDescent="0.35">
      <c r="A651" s="517" t="s">
        <v>2527</v>
      </c>
    </row>
    <row r="652" spans="1:4" x14ac:dyDescent="0.35">
      <c r="A652" s="517" t="s">
        <v>2528</v>
      </c>
    </row>
    <row r="653" spans="1:4" x14ac:dyDescent="0.35">
      <c r="A653" s="517" t="s">
        <v>2529</v>
      </c>
    </row>
    <row r="654" spans="1:4" s="517" customFormat="1" x14ac:dyDescent="0.35">
      <c r="A654" s="517" t="s">
        <v>2530</v>
      </c>
      <c r="B654"/>
      <c r="C654"/>
      <c r="D654"/>
    </row>
    <row r="655" spans="1:4" x14ac:dyDescent="0.35">
      <c r="A655" s="517" t="s">
        <v>2531</v>
      </c>
    </row>
    <row r="656" spans="1:4" x14ac:dyDescent="0.35">
      <c r="A656" s="517" t="s">
        <v>2532</v>
      </c>
    </row>
    <row r="657" spans="1:4" x14ac:dyDescent="0.35">
      <c r="A657" s="517" t="s">
        <v>2533</v>
      </c>
    </row>
    <row r="658" spans="1:4" x14ac:dyDescent="0.35">
      <c r="A658" s="517" t="s">
        <v>2534</v>
      </c>
    </row>
    <row r="659" spans="1:4" s="517" customFormat="1" x14ac:dyDescent="0.35">
      <c r="A659" s="517" t="s">
        <v>2535</v>
      </c>
      <c r="B659"/>
      <c r="C659"/>
      <c r="D659"/>
    </row>
    <row r="660" spans="1:4" s="517" customFormat="1" x14ac:dyDescent="0.35">
      <c r="A660" t="s">
        <v>900</v>
      </c>
      <c r="B660">
        <v>1500</v>
      </c>
      <c r="C660">
        <v>1500</v>
      </c>
      <c r="D660"/>
    </row>
    <row r="661" spans="1:4" s="517" customFormat="1" x14ac:dyDescent="0.35">
      <c r="A661" t="s">
        <v>901</v>
      </c>
      <c r="B661">
        <v>1500</v>
      </c>
      <c r="C661">
        <v>1500</v>
      </c>
      <c r="D661"/>
    </row>
    <row r="662" spans="1:4" s="517" customFormat="1" x14ac:dyDescent="0.35">
      <c r="A662" t="s">
        <v>902</v>
      </c>
      <c r="B662">
        <v>1500</v>
      </c>
      <c r="C662">
        <v>1500</v>
      </c>
      <c r="D662"/>
    </row>
    <row r="663" spans="1:4" x14ac:dyDescent="0.35">
      <c r="A663" t="s">
        <v>903</v>
      </c>
      <c r="B663">
        <v>1500</v>
      </c>
      <c r="C663">
        <v>1500</v>
      </c>
    </row>
    <row r="664" spans="1:4" x14ac:dyDescent="0.35">
      <c r="A664" t="s">
        <v>16</v>
      </c>
      <c r="B664">
        <v>1500</v>
      </c>
      <c r="C664">
        <v>1500</v>
      </c>
    </row>
    <row r="665" spans="1:4" x14ac:dyDescent="0.35">
      <c r="A665" t="s">
        <v>17</v>
      </c>
      <c r="B665">
        <v>1500</v>
      </c>
      <c r="C665">
        <v>1500</v>
      </c>
    </row>
    <row r="666" spans="1:4" x14ac:dyDescent="0.35">
      <c r="A666" t="s">
        <v>18</v>
      </c>
      <c r="B666">
        <v>1500</v>
      </c>
      <c r="C666">
        <v>1500</v>
      </c>
    </row>
    <row r="667" spans="1:4" x14ac:dyDescent="0.35">
      <c r="A667" t="s">
        <v>19</v>
      </c>
      <c r="B667">
        <v>1500</v>
      </c>
      <c r="C667">
        <v>1500</v>
      </c>
    </row>
    <row r="668" spans="1:4" x14ac:dyDescent="0.35">
      <c r="A668" t="s">
        <v>20</v>
      </c>
      <c r="B668">
        <v>1500</v>
      </c>
      <c r="C668">
        <v>1500</v>
      </c>
    </row>
    <row r="669" spans="1:4" x14ac:dyDescent="0.35">
      <c r="A669" t="s">
        <v>379</v>
      </c>
      <c r="B669">
        <v>1500</v>
      </c>
      <c r="C669">
        <v>1500</v>
      </c>
    </row>
    <row r="670" spans="1:4" x14ac:dyDescent="0.35">
      <c r="A670" t="s">
        <v>380</v>
      </c>
      <c r="B670">
        <v>1500</v>
      </c>
      <c r="C670">
        <v>1500</v>
      </c>
    </row>
    <row r="671" spans="1:4" x14ac:dyDescent="0.35">
      <c r="A671" t="s">
        <v>381</v>
      </c>
      <c r="B671">
        <v>1500</v>
      </c>
      <c r="C671">
        <v>1500</v>
      </c>
    </row>
    <row r="672" spans="1:4" x14ac:dyDescent="0.35">
      <c r="A672" t="s">
        <v>43</v>
      </c>
      <c r="B672">
        <v>1500</v>
      </c>
      <c r="C672">
        <v>1500</v>
      </c>
    </row>
    <row r="673" spans="1:4" x14ac:dyDescent="0.35">
      <c r="A673" s="517" t="s">
        <v>2496</v>
      </c>
      <c r="B673" s="517">
        <v>1500</v>
      </c>
      <c r="C673" s="517">
        <v>1500</v>
      </c>
      <c r="D673" s="517"/>
    </row>
    <row r="674" spans="1:4" x14ac:dyDescent="0.35">
      <c r="A674" s="517" t="s">
        <v>2497</v>
      </c>
      <c r="B674" s="517">
        <v>1500</v>
      </c>
      <c r="C674" s="517">
        <v>1500</v>
      </c>
      <c r="D674" s="517"/>
    </row>
    <row r="675" spans="1:4" x14ac:dyDescent="0.35">
      <c r="A675" s="517" t="s">
        <v>2498</v>
      </c>
      <c r="B675" s="517">
        <v>1500</v>
      </c>
      <c r="C675" s="517">
        <v>1500</v>
      </c>
      <c r="D675" s="517"/>
    </row>
    <row r="676" spans="1:4" x14ac:dyDescent="0.35">
      <c r="A676" s="517" t="s">
        <v>2499</v>
      </c>
      <c r="B676" s="517">
        <v>1500</v>
      </c>
      <c r="C676" s="517">
        <v>1500</v>
      </c>
      <c r="D676" s="517"/>
    </row>
    <row r="677" spans="1:4" x14ac:dyDescent="0.35">
      <c r="A677" s="517" t="s">
        <v>2500</v>
      </c>
      <c r="B677" s="517">
        <v>1500</v>
      </c>
      <c r="C677" s="517">
        <v>1500</v>
      </c>
      <c r="D677" s="517"/>
    </row>
    <row r="678" spans="1:4" x14ac:dyDescent="0.35">
      <c r="A678" s="517" t="s">
        <v>2501</v>
      </c>
      <c r="B678" s="517">
        <v>1500</v>
      </c>
      <c r="C678" s="517">
        <v>1500</v>
      </c>
      <c r="D678" s="517"/>
    </row>
    <row r="679" spans="1:4" x14ac:dyDescent="0.35">
      <c r="A679" s="517" t="s">
        <v>2502</v>
      </c>
      <c r="B679" s="517">
        <v>1500</v>
      </c>
      <c r="C679" s="517">
        <v>1500</v>
      </c>
      <c r="D679" s="517"/>
    </row>
    <row r="680" spans="1:4" x14ac:dyDescent="0.35">
      <c r="A680" s="517" t="s">
        <v>2503</v>
      </c>
      <c r="B680" s="517">
        <v>1500</v>
      </c>
      <c r="C680" s="517">
        <v>1500</v>
      </c>
      <c r="D680" s="517"/>
    </row>
    <row r="681" spans="1:4" x14ac:dyDescent="0.35">
      <c r="A681" s="517" t="s">
        <v>2504</v>
      </c>
      <c r="B681" s="517">
        <v>1500</v>
      </c>
      <c r="C681" s="517">
        <v>1500</v>
      </c>
      <c r="D681" s="517"/>
    </row>
    <row r="682" spans="1:4" x14ac:dyDescent="0.35">
      <c r="A682" s="517" t="s">
        <v>2505</v>
      </c>
      <c r="B682" s="517">
        <v>1500</v>
      </c>
      <c r="C682" s="517">
        <v>1500</v>
      </c>
      <c r="D682" s="517"/>
    </row>
    <row r="683" spans="1:4" x14ac:dyDescent="0.35">
      <c r="A683" t="s">
        <v>44</v>
      </c>
      <c r="B683">
        <v>1500</v>
      </c>
      <c r="C683">
        <v>1500</v>
      </c>
    </row>
    <row r="684" spans="1:4" s="517" customFormat="1" x14ac:dyDescent="0.35">
      <c r="A684" t="s">
        <v>45</v>
      </c>
      <c r="B684">
        <v>1500</v>
      </c>
      <c r="C684">
        <v>1500</v>
      </c>
      <c r="D684"/>
    </row>
    <row r="685" spans="1:4" x14ac:dyDescent="0.35">
      <c r="A685" t="s">
        <v>46</v>
      </c>
      <c r="B685">
        <v>1500</v>
      </c>
      <c r="C685">
        <v>1500</v>
      </c>
    </row>
    <row r="686" spans="1:4" x14ac:dyDescent="0.35">
      <c r="A686" t="s">
        <v>558</v>
      </c>
      <c r="B686">
        <v>1500</v>
      </c>
      <c r="C686">
        <v>1500</v>
      </c>
    </row>
    <row r="687" spans="1:4" x14ac:dyDescent="0.35">
      <c r="A687" t="s">
        <v>559</v>
      </c>
      <c r="B687">
        <v>1500</v>
      </c>
      <c r="C687">
        <v>1500</v>
      </c>
    </row>
    <row r="688" spans="1:4" x14ac:dyDescent="0.35">
      <c r="A688" t="s">
        <v>560</v>
      </c>
      <c r="B688">
        <v>1500</v>
      </c>
      <c r="C688">
        <v>1500</v>
      </c>
    </row>
    <row r="689" spans="1:4" s="517" customFormat="1" x14ac:dyDescent="0.35">
      <c r="A689" t="s">
        <v>561</v>
      </c>
      <c r="B689">
        <v>1500</v>
      </c>
      <c r="C689">
        <v>1500</v>
      </c>
      <c r="D689"/>
    </row>
    <row r="690" spans="1:4" s="517" customFormat="1" x14ac:dyDescent="0.35">
      <c r="A690" t="s">
        <v>478</v>
      </c>
      <c r="B690">
        <v>2</v>
      </c>
      <c r="C690">
        <v>1</v>
      </c>
      <c r="D690"/>
    </row>
    <row r="691" spans="1:4" s="517" customFormat="1" x14ac:dyDescent="0.35">
      <c r="A691" t="s">
        <v>802</v>
      </c>
      <c r="B691">
        <v>8</v>
      </c>
      <c r="C691"/>
      <c r="D691"/>
    </row>
    <row r="692" spans="1:4" s="517" customFormat="1" x14ac:dyDescent="0.35">
      <c r="A692" t="s">
        <v>803</v>
      </c>
      <c r="B692" t="b">
        <v>1</v>
      </c>
      <c r="C692" t="b">
        <v>0</v>
      </c>
      <c r="D692"/>
    </row>
    <row r="693" spans="1:4" x14ac:dyDescent="0.35">
      <c r="A693" t="s">
        <v>804</v>
      </c>
      <c r="B693">
        <v>8</v>
      </c>
      <c r="C693">
        <v>1</v>
      </c>
    </row>
    <row r="694" spans="1:4" x14ac:dyDescent="0.35">
      <c r="A694" t="s">
        <v>309</v>
      </c>
      <c r="B694">
        <v>0</v>
      </c>
      <c r="C694">
        <v>0</v>
      </c>
    </row>
    <row r="695" spans="1:4" x14ac:dyDescent="0.35">
      <c r="A695" t="s">
        <v>701</v>
      </c>
    </row>
    <row r="696" spans="1:4" x14ac:dyDescent="0.35">
      <c r="A696" t="s">
        <v>702</v>
      </c>
    </row>
    <row r="697" spans="1:4" x14ac:dyDescent="0.35">
      <c r="A697" t="s">
        <v>452</v>
      </c>
    </row>
    <row r="698" spans="1:4" x14ac:dyDescent="0.35">
      <c r="A698" s="496" t="s">
        <v>969</v>
      </c>
      <c r="B698" s="496" t="s">
        <v>2638</v>
      </c>
      <c r="C698" s="496" t="s">
        <v>562</v>
      </c>
    </row>
    <row r="699" spans="1:4" x14ac:dyDescent="0.35">
      <c r="A699" s="496" t="s">
        <v>1115</v>
      </c>
      <c r="B699" s="496"/>
      <c r="C699" s="496"/>
    </row>
    <row r="700" spans="1:4" x14ac:dyDescent="0.35">
      <c r="A700" s="496" t="s">
        <v>1116</v>
      </c>
      <c r="B700" s="496">
        <v>0</v>
      </c>
      <c r="C700" s="496">
        <v>0</v>
      </c>
    </row>
    <row r="701" spans="1:4" x14ac:dyDescent="0.35">
      <c r="A701" s="496" t="s">
        <v>1117</v>
      </c>
      <c r="B701" s="496">
        <v>5000</v>
      </c>
      <c r="C701" s="496">
        <v>5000</v>
      </c>
    </row>
    <row r="702" spans="1:4" x14ac:dyDescent="0.35">
      <c r="A702" s="496" t="s">
        <v>1118</v>
      </c>
      <c r="B702" s="496">
        <v>0</v>
      </c>
      <c r="C702" s="496">
        <v>0</v>
      </c>
    </row>
    <row r="703" spans="1:4" x14ac:dyDescent="0.35">
      <c r="A703" s="496" t="s">
        <v>1119</v>
      </c>
      <c r="B703" s="496">
        <v>1</v>
      </c>
      <c r="C703" s="496">
        <v>1</v>
      </c>
    </row>
    <row r="704" spans="1:4" x14ac:dyDescent="0.35">
      <c r="A704" s="496" t="s">
        <v>1120</v>
      </c>
      <c r="B704" s="496">
        <v>1</v>
      </c>
      <c r="C704" s="496">
        <v>1</v>
      </c>
    </row>
    <row r="705" spans="1:3" x14ac:dyDescent="0.35">
      <c r="A705" s="496" t="s">
        <v>1121</v>
      </c>
      <c r="B705" s="496">
        <v>1</v>
      </c>
      <c r="C705" s="496">
        <v>1</v>
      </c>
    </row>
    <row r="706" spans="1:3" x14ac:dyDescent="0.35">
      <c r="A706" s="496" t="s">
        <v>1122</v>
      </c>
      <c r="B706" s="496">
        <v>1</v>
      </c>
      <c r="C706" s="496">
        <v>1</v>
      </c>
    </row>
    <row r="707" spans="1:3" x14ac:dyDescent="0.35">
      <c r="A707" s="496" t="s">
        <v>1123</v>
      </c>
      <c r="B707" s="496">
        <v>1</v>
      </c>
      <c r="C707" s="496">
        <v>1</v>
      </c>
    </row>
    <row r="708" spans="1:3" x14ac:dyDescent="0.35">
      <c r="A708" s="496" t="s">
        <v>1124</v>
      </c>
      <c r="B708" s="496">
        <v>1</v>
      </c>
      <c r="C708" s="496">
        <v>1</v>
      </c>
    </row>
    <row r="709" spans="1:3" x14ac:dyDescent="0.35">
      <c r="A709" s="496" t="s">
        <v>1125</v>
      </c>
      <c r="B709" s="496">
        <v>1</v>
      </c>
      <c r="C709" s="496">
        <v>1</v>
      </c>
    </row>
    <row r="710" spans="1:3" x14ac:dyDescent="0.35">
      <c r="A710" s="496" t="s">
        <v>1126</v>
      </c>
      <c r="B710" s="496">
        <v>1</v>
      </c>
      <c r="C710" s="496">
        <v>1</v>
      </c>
    </row>
    <row r="711" spans="1:3" x14ac:dyDescent="0.35">
      <c r="A711" s="496" t="s">
        <v>1127</v>
      </c>
      <c r="B711" s="496">
        <v>1</v>
      </c>
      <c r="C711" s="496">
        <v>1</v>
      </c>
    </row>
    <row r="712" spans="1:3" x14ac:dyDescent="0.35">
      <c r="A712" s="496" t="s">
        <v>1128</v>
      </c>
      <c r="B712" s="496">
        <v>1</v>
      </c>
      <c r="C712" s="496">
        <v>1</v>
      </c>
    </row>
    <row r="713" spans="1:3" x14ac:dyDescent="0.35">
      <c r="A713" s="496" t="s">
        <v>1129</v>
      </c>
      <c r="B713" s="496">
        <v>1</v>
      </c>
      <c r="C713" s="496">
        <v>1</v>
      </c>
    </row>
    <row r="714" spans="1:3" x14ac:dyDescent="0.35">
      <c r="A714" s="496" t="s">
        <v>1130</v>
      </c>
      <c r="B714" s="496">
        <v>0</v>
      </c>
      <c r="C714" s="496">
        <v>0</v>
      </c>
    </row>
    <row r="715" spans="1:3" x14ac:dyDescent="0.35">
      <c r="A715" s="496" t="s">
        <v>1131</v>
      </c>
      <c r="B715" s="496">
        <v>0</v>
      </c>
      <c r="C715" s="496">
        <v>0</v>
      </c>
    </row>
    <row r="716" spans="1:3" x14ac:dyDescent="0.35">
      <c r="A716" s="496" t="s">
        <v>1132</v>
      </c>
      <c r="B716" s="496">
        <v>0</v>
      </c>
      <c r="C716" s="496">
        <v>0</v>
      </c>
    </row>
    <row r="717" spans="1:3" x14ac:dyDescent="0.35">
      <c r="A717" s="496" t="s">
        <v>1133</v>
      </c>
      <c r="B717" s="496">
        <v>0</v>
      </c>
      <c r="C717" s="496">
        <v>0</v>
      </c>
    </row>
    <row r="718" spans="1:3" x14ac:dyDescent="0.35">
      <c r="A718" s="496" t="s">
        <v>1134</v>
      </c>
      <c r="B718" s="496">
        <v>0</v>
      </c>
      <c r="C718" s="496">
        <v>0</v>
      </c>
    </row>
    <row r="719" spans="1:3" x14ac:dyDescent="0.35">
      <c r="A719" s="496" t="s">
        <v>1135</v>
      </c>
      <c r="B719" s="496">
        <v>0</v>
      </c>
      <c r="C719" s="496">
        <v>0</v>
      </c>
    </row>
    <row r="720" spans="1:3" x14ac:dyDescent="0.35">
      <c r="A720" s="496" t="s">
        <v>1136</v>
      </c>
      <c r="B720" s="496">
        <v>0</v>
      </c>
      <c r="C720" s="496">
        <v>0</v>
      </c>
    </row>
    <row r="721" spans="1:3" x14ac:dyDescent="0.35">
      <c r="A721" s="496" t="s">
        <v>1137</v>
      </c>
      <c r="B721" s="496">
        <v>0</v>
      </c>
      <c r="C721" s="496">
        <v>0</v>
      </c>
    </row>
    <row r="722" spans="1:3" x14ac:dyDescent="0.35">
      <c r="A722" s="496" t="s">
        <v>1138</v>
      </c>
      <c r="B722" s="496">
        <v>0</v>
      </c>
      <c r="C722" s="496">
        <v>0</v>
      </c>
    </row>
    <row r="723" spans="1:3" x14ac:dyDescent="0.35">
      <c r="A723" s="496" t="s">
        <v>1139</v>
      </c>
      <c r="B723" s="496">
        <v>0</v>
      </c>
      <c r="C723" s="496">
        <v>0</v>
      </c>
    </row>
    <row r="724" spans="1:3" x14ac:dyDescent="0.35">
      <c r="A724" s="496" t="s">
        <v>1140</v>
      </c>
      <c r="B724" s="496">
        <v>0</v>
      </c>
      <c r="C724" s="496">
        <v>0</v>
      </c>
    </row>
    <row r="725" spans="1:3" x14ac:dyDescent="0.35">
      <c r="A725" s="496" t="s">
        <v>1141</v>
      </c>
      <c r="B725" s="497">
        <v>42370</v>
      </c>
      <c r="C725" s="497">
        <f>__4_GebDatum</f>
        <v>42370</v>
      </c>
    </row>
    <row r="726" spans="1:3" x14ac:dyDescent="0.35">
      <c r="A726" s="496" t="s">
        <v>1142</v>
      </c>
      <c r="B726" s="496">
        <v>8</v>
      </c>
      <c r="C726" s="496">
        <v>10</v>
      </c>
    </row>
    <row r="727" spans="1:3" x14ac:dyDescent="0.35">
      <c r="A727" s="496" t="s">
        <v>1143</v>
      </c>
      <c r="B727" s="496">
        <v>0</v>
      </c>
      <c r="C727" s="496">
        <v>0</v>
      </c>
    </row>
    <row r="728" spans="1:3" x14ac:dyDescent="0.35">
      <c r="A728" s="496" t="s">
        <v>1144</v>
      </c>
      <c r="B728" s="496">
        <v>0</v>
      </c>
      <c r="C728" s="496">
        <v>0</v>
      </c>
    </row>
    <row r="729" spans="1:3" x14ac:dyDescent="0.35">
      <c r="A729" s="496" t="s">
        <v>1145</v>
      </c>
      <c r="B729" s="496">
        <v>5000</v>
      </c>
      <c r="C729" s="496">
        <v>5000</v>
      </c>
    </row>
    <row r="730" spans="1:3" x14ac:dyDescent="0.35">
      <c r="A730" s="496" t="s">
        <v>1146</v>
      </c>
      <c r="B730" s="496">
        <v>5000</v>
      </c>
      <c r="C730" s="496">
        <v>5000</v>
      </c>
    </row>
    <row r="731" spans="1:3" x14ac:dyDescent="0.35">
      <c r="A731" s="496" t="s">
        <v>1147</v>
      </c>
      <c r="B731" s="496">
        <v>5000</v>
      </c>
      <c r="C731" s="496">
        <v>5000</v>
      </c>
    </row>
    <row r="732" spans="1:3" x14ac:dyDescent="0.35">
      <c r="A732" s="496" t="s">
        <v>1148</v>
      </c>
      <c r="B732" s="496">
        <v>1</v>
      </c>
      <c r="C732" s="496">
        <v>1</v>
      </c>
    </row>
    <row r="733" spans="1:3" x14ac:dyDescent="0.35">
      <c r="A733" s="496" t="s">
        <v>1149</v>
      </c>
      <c r="B733" s="496">
        <v>1</v>
      </c>
      <c r="C733" s="496">
        <v>1</v>
      </c>
    </row>
    <row r="734" spans="1:3" x14ac:dyDescent="0.35">
      <c r="A734" s="496" t="s">
        <v>1150</v>
      </c>
      <c r="B734" s="496">
        <v>1</v>
      </c>
      <c r="C734" s="496">
        <v>1</v>
      </c>
    </row>
    <row r="735" spans="1:3" x14ac:dyDescent="0.35">
      <c r="A735" s="496" t="s">
        <v>1151</v>
      </c>
      <c r="B735" s="496">
        <v>1</v>
      </c>
      <c r="C735" s="496">
        <v>1</v>
      </c>
    </row>
    <row r="736" spans="1:3" x14ac:dyDescent="0.35">
      <c r="A736" s="496" t="s">
        <v>1152</v>
      </c>
      <c r="B736" s="496">
        <v>1</v>
      </c>
      <c r="C736" s="496">
        <v>1</v>
      </c>
    </row>
    <row r="737" spans="1:7" x14ac:dyDescent="0.35">
      <c r="A737" s="496" t="s">
        <v>1153</v>
      </c>
      <c r="B737" s="496">
        <v>1</v>
      </c>
      <c r="C737" s="496">
        <v>1</v>
      </c>
    </row>
    <row r="738" spans="1:7" x14ac:dyDescent="0.35">
      <c r="A738" s="496" t="s">
        <v>1154</v>
      </c>
      <c r="B738" s="496">
        <v>1</v>
      </c>
      <c r="C738" s="496">
        <v>1</v>
      </c>
      <c r="G738" s="517"/>
    </row>
    <row r="739" spans="1:7" x14ac:dyDescent="0.35">
      <c r="A739" s="496" t="s">
        <v>1155</v>
      </c>
      <c r="B739" s="496">
        <v>1</v>
      </c>
      <c r="C739" s="496">
        <v>1</v>
      </c>
      <c r="G739" s="517"/>
    </row>
    <row r="740" spans="1:7" x14ac:dyDescent="0.35">
      <c r="A740" s="496" t="s">
        <v>1156</v>
      </c>
      <c r="B740" s="496">
        <v>1</v>
      </c>
      <c r="C740" s="496">
        <v>1</v>
      </c>
      <c r="G740" s="517"/>
    </row>
    <row r="741" spans="1:7" x14ac:dyDescent="0.35">
      <c r="A741" s="496" t="s">
        <v>1157</v>
      </c>
      <c r="B741" s="496">
        <v>0</v>
      </c>
      <c r="C741" s="496">
        <v>0</v>
      </c>
      <c r="G741" s="517"/>
    </row>
    <row r="742" spans="1:7" x14ac:dyDescent="0.35">
      <c r="A742" s="496" t="s">
        <v>1158</v>
      </c>
      <c r="B742" s="496">
        <v>0</v>
      </c>
      <c r="C742" s="496">
        <v>0</v>
      </c>
      <c r="G742" s="517"/>
    </row>
    <row r="743" spans="1:7" x14ac:dyDescent="0.35">
      <c r="A743" s="496" t="s">
        <v>1159</v>
      </c>
      <c r="B743" s="496">
        <v>0</v>
      </c>
      <c r="C743" s="496">
        <v>0</v>
      </c>
      <c r="G743" s="517"/>
    </row>
    <row r="744" spans="1:7" x14ac:dyDescent="0.35">
      <c r="A744" s="496" t="s">
        <v>1160</v>
      </c>
      <c r="B744" s="496">
        <v>0</v>
      </c>
      <c r="C744" s="496">
        <v>0</v>
      </c>
      <c r="G744" s="517"/>
    </row>
    <row r="745" spans="1:7" x14ac:dyDescent="0.35">
      <c r="A745" s="496" t="s">
        <v>1161</v>
      </c>
      <c r="B745" s="496">
        <v>0</v>
      </c>
      <c r="C745" s="496">
        <v>0</v>
      </c>
      <c r="G745" s="517"/>
    </row>
    <row r="746" spans="1:7" x14ac:dyDescent="0.35">
      <c r="A746" s="496" t="s">
        <v>1162</v>
      </c>
      <c r="B746" s="496">
        <v>0</v>
      </c>
      <c r="C746" s="496">
        <v>0</v>
      </c>
      <c r="G746" s="517"/>
    </row>
    <row r="747" spans="1:7" x14ac:dyDescent="0.35">
      <c r="A747" s="496" t="s">
        <v>1163</v>
      </c>
      <c r="B747" s="496">
        <v>0</v>
      </c>
      <c r="C747" s="496">
        <v>0</v>
      </c>
      <c r="G747" s="517"/>
    </row>
    <row r="748" spans="1:7" x14ac:dyDescent="0.35">
      <c r="A748" s="496" t="s">
        <v>1164</v>
      </c>
      <c r="B748" s="496">
        <v>0</v>
      </c>
      <c r="C748" s="496">
        <v>0</v>
      </c>
      <c r="G748" s="517"/>
    </row>
    <row r="749" spans="1:7" x14ac:dyDescent="0.35">
      <c r="A749" s="496" t="s">
        <v>1165</v>
      </c>
      <c r="B749" s="496">
        <v>0</v>
      </c>
      <c r="C749" s="496">
        <v>0</v>
      </c>
    </row>
    <row r="750" spans="1:7" x14ac:dyDescent="0.35">
      <c r="A750" s="496" t="s">
        <v>1166</v>
      </c>
      <c r="B750" s="496"/>
      <c r="C750" s="496"/>
    </row>
    <row r="751" spans="1:7" x14ac:dyDescent="0.35">
      <c r="A751" s="496" t="s">
        <v>1167</v>
      </c>
      <c r="B751" s="496"/>
      <c r="C751" s="496"/>
    </row>
    <row r="752" spans="1:7" x14ac:dyDescent="0.35">
      <c r="A752" s="496" t="s">
        <v>1168</v>
      </c>
      <c r="B752" s="496">
        <v>5000</v>
      </c>
      <c r="C752" s="496">
        <v>5000</v>
      </c>
    </row>
    <row r="753" spans="1:3" x14ac:dyDescent="0.35">
      <c r="A753" s="496" t="s">
        <v>1169</v>
      </c>
      <c r="B753" s="496">
        <v>5000</v>
      </c>
      <c r="C753" s="496">
        <v>5000</v>
      </c>
    </row>
    <row r="754" spans="1:3" x14ac:dyDescent="0.35">
      <c r="A754" s="496" t="s">
        <v>1170</v>
      </c>
      <c r="B754" s="496">
        <v>5000</v>
      </c>
      <c r="C754" s="496">
        <v>5000</v>
      </c>
    </row>
    <row r="755" spans="1:3" x14ac:dyDescent="0.35">
      <c r="A755" s="496" t="s">
        <v>1171</v>
      </c>
      <c r="B755" s="496">
        <v>0</v>
      </c>
      <c r="C755" s="496">
        <v>0</v>
      </c>
    </row>
    <row r="756" spans="1:3" x14ac:dyDescent="0.35">
      <c r="A756" s="496" t="s">
        <v>1172</v>
      </c>
      <c r="B756" s="496">
        <v>0</v>
      </c>
      <c r="C756" s="496">
        <v>0</v>
      </c>
    </row>
    <row r="757" spans="1:3" x14ac:dyDescent="0.35">
      <c r="A757" s="496" t="s">
        <v>1173</v>
      </c>
      <c r="B757" s="496">
        <v>0</v>
      </c>
      <c r="C757" s="496">
        <v>0</v>
      </c>
    </row>
    <row r="758" spans="1:3" x14ac:dyDescent="0.35">
      <c r="A758" s="496" t="s">
        <v>1174</v>
      </c>
      <c r="B758" s="496">
        <v>0</v>
      </c>
      <c r="C758" s="496">
        <v>0</v>
      </c>
    </row>
    <row r="759" spans="1:3" x14ac:dyDescent="0.35">
      <c r="A759" s="496" t="s">
        <v>1175</v>
      </c>
      <c r="B759" s="496">
        <v>0</v>
      </c>
      <c r="C759" s="496">
        <v>0</v>
      </c>
    </row>
    <row r="760" spans="1:3" x14ac:dyDescent="0.35">
      <c r="A760" s="496" t="s">
        <v>1176</v>
      </c>
      <c r="B760" s="496">
        <v>0</v>
      </c>
      <c r="C760" s="496">
        <v>0</v>
      </c>
    </row>
    <row r="761" spans="1:3" x14ac:dyDescent="0.35">
      <c r="A761" s="496" t="s">
        <v>1177</v>
      </c>
      <c r="B761" s="496">
        <v>0</v>
      </c>
      <c r="C761" s="496">
        <v>0</v>
      </c>
    </row>
    <row r="762" spans="1:3" x14ac:dyDescent="0.35">
      <c r="A762" s="496" t="s">
        <v>1178</v>
      </c>
      <c r="B762" s="496">
        <v>0</v>
      </c>
      <c r="C762" s="496">
        <v>0</v>
      </c>
    </row>
    <row r="763" spans="1:3" x14ac:dyDescent="0.35">
      <c r="A763" s="496" t="s">
        <v>1179</v>
      </c>
      <c r="B763" s="496">
        <v>0</v>
      </c>
      <c r="C763" s="496">
        <v>0</v>
      </c>
    </row>
    <row r="764" spans="1:3" x14ac:dyDescent="0.35">
      <c r="A764" s="496" t="s">
        <v>1180</v>
      </c>
      <c r="B764" s="496">
        <v>1</v>
      </c>
      <c r="C764" s="496">
        <v>1</v>
      </c>
    </row>
    <row r="765" spans="1:3" x14ac:dyDescent="0.35">
      <c r="A765" s="496" t="s">
        <v>1181</v>
      </c>
      <c r="B765" s="496">
        <v>1</v>
      </c>
      <c r="C765" s="496">
        <v>1</v>
      </c>
    </row>
    <row r="766" spans="1:3" x14ac:dyDescent="0.35">
      <c r="A766" s="496" t="s">
        <v>1182</v>
      </c>
      <c r="B766" s="496">
        <v>1</v>
      </c>
      <c r="C766" s="496">
        <v>1</v>
      </c>
    </row>
    <row r="767" spans="1:3" x14ac:dyDescent="0.35">
      <c r="A767" s="496" t="s">
        <v>1183</v>
      </c>
      <c r="B767" s="496">
        <v>1</v>
      </c>
      <c r="C767" s="496">
        <v>1</v>
      </c>
    </row>
    <row r="768" spans="1:3" x14ac:dyDescent="0.35">
      <c r="A768" s="496" t="s">
        <v>1184</v>
      </c>
      <c r="B768" s="496">
        <v>1</v>
      </c>
      <c r="C768" s="496">
        <v>1</v>
      </c>
    </row>
    <row r="769" spans="1:4" x14ac:dyDescent="0.35">
      <c r="A769" s="496" t="s">
        <v>1185</v>
      </c>
      <c r="B769" s="496">
        <v>1</v>
      </c>
      <c r="C769" s="496">
        <v>1</v>
      </c>
    </row>
    <row r="770" spans="1:4" x14ac:dyDescent="0.35">
      <c r="A770" s="496" t="s">
        <v>1186</v>
      </c>
      <c r="B770" s="496">
        <v>1</v>
      </c>
      <c r="C770" s="496">
        <v>1</v>
      </c>
    </row>
    <row r="771" spans="1:4" x14ac:dyDescent="0.35">
      <c r="A771" s="496" t="s">
        <v>1187</v>
      </c>
      <c r="B771" s="496">
        <v>1</v>
      </c>
      <c r="C771" s="496">
        <v>1</v>
      </c>
    </row>
    <row r="772" spans="1:4" x14ac:dyDescent="0.35">
      <c r="A772" s="496" t="s">
        <v>1188</v>
      </c>
      <c r="B772" s="496">
        <v>1</v>
      </c>
      <c r="C772" s="496">
        <v>1</v>
      </c>
    </row>
    <row r="773" spans="1:4" x14ac:dyDescent="0.35">
      <c r="A773" s="496" t="s">
        <v>1189</v>
      </c>
      <c r="B773" s="496"/>
      <c r="C773" s="496"/>
    </row>
    <row r="774" spans="1:4" x14ac:dyDescent="0.35">
      <c r="A774" s="496" t="s">
        <v>1997</v>
      </c>
      <c r="B774" s="496">
        <v>1</v>
      </c>
      <c r="C774" s="496">
        <v>1</v>
      </c>
      <c r="D774" s="517"/>
    </row>
    <row r="775" spans="1:4" x14ac:dyDescent="0.35">
      <c r="A775" s="496" t="s">
        <v>1998</v>
      </c>
      <c r="B775" s="496">
        <v>1</v>
      </c>
      <c r="C775" s="496">
        <v>1</v>
      </c>
    </row>
    <row r="776" spans="1:4" x14ac:dyDescent="0.35">
      <c r="A776" s="496" t="s">
        <v>1999</v>
      </c>
      <c r="B776" s="496">
        <v>1</v>
      </c>
      <c r="C776" s="496">
        <v>1</v>
      </c>
    </row>
    <row r="777" spans="1:4" x14ac:dyDescent="0.35">
      <c r="A777" s="496" t="s">
        <v>2000</v>
      </c>
      <c r="B777" s="496">
        <v>1</v>
      </c>
      <c r="C777" s="496">
        <v>1</v>
      </c>
    </row>
    <row r="778" spans="1:4" x14ac:dyDescent="0.35">
      <c r="A778" s="496" t="s">
        <v>2001</v>
      </c>
      <c r="B778" s="496">
        <v>1</v>
      </c>
      <c r="C778" s="496">
        <v>1</v>
      </c>
    </row>
    <row r="779" spans="1:4" x14ac:dyDescent="0.35">
      <c r="A779" s="496" t="s">
        <v>2002</v>
      </c>
      <c r="B779" s="496">
        <v>1</v>
      </c>
      <c r="C779" s="496">
        <v>1</v>
      </c>
      <c r="D779" s="517"/>
    </row>
    <row r="780" spans="1:4" x14ac:dyDescent="0.35">
      <c r="A780" s="496" t="s">
        <v>2003</v>
      </c>
      <c r="B780" s="496">
        <v>1</v>
      </c>
      <c r="C780" s="496">
        <v>1</v>
      </c>
      <c r="D780" s="517"/>
    </row>
    <row r="781" spans="1:4" x14ac:dyDescent="0.35">
      <c r="A781" s="496" t="s">
        <v>2004</v>
      </c>
      <c r="B781" s="496">
        <v>1</v>
      </c>
      <c r="C781" s="496">
        <v>1</v>
      </c>
      <c r="D781" s="517"/>
    </row>
    <row r="782" spans="1:4" x14ac:dyDescent="0.35">
      <c r="A782" s="496" t="s">
        <v>2005</v>
      </c>
      <c r="B782" s="496">
        <v>1</v>
      </c>
      <c r="C782" s="496">
        <v>1</v>
      </c>
      <c r="D782" s="517"/>
    </row>
    <row r="783" spans="1:4" x14ac:dyDescent="0.35">
      <c r="A783" s="496" t="s">
        <v>1190</v>
      </c>
      <c r="B783" s="496">
        <v>5000</v>
      </c>
      <c r="C783" s="496">
        <v>5000</v>
      </c>
    </row>
    <row r="784" spans="1:4" x14ac:dyDescent="0.35">
      <c r="A784" s="496" t="s">
        <v>1191</v>
      </c>
      <c r="B784" s="496">
        <v>5000</v>
      </c>
      <c r="C784" s="496">
        <v>5000</v>
      </c>
    </row>
    <row r="785" spans="1:3" x14ac:dyDescent="0.35">
      <c r="A785" s="496" t="s">
        <v>1192</v>
      </c>
      <c r="B785" s="496">
        <v>5000</v>
      </c>
      <c r="C785" s="496">
        <v>5000</v>
      </c>
    </row>
    <row r="786" spans="1:3" x14ac:dyDescent="0.35">
      <c r="A786" s="496" t="s">
        <v>1193</v>
      </c>
      <c r="B786" s="496">
        <v>0</v>
      </c>
      <c r="C786" s="496">
        <v>0</v>
      </c>
    </row>
    <row r="787" spans="1:3" x14ac:dyDescent="0.35">
      <c r="A787" s="496" t="s">
        <v>1194</v>
      </c>
      <c r="B787" s="496">
        <v>0</v>
      </c>
      <c r="C787" s="496">
        <v>0</v>
      </c>
    </row>
    <row r="788" spans="1:3" x14ac:dyDescent="0.35">
      <c r="A788" s="496" t="s">
        <v>1195</v>
      </c>
      <c r="B788" s="496">
        <v>0</v>
      </c>
      <c r="C788" s="496">
        <v>0</v>
      </c>
    </row>
    <row r="789" spans="1:3" x14ac:dyDescent="0.35">
      <c r="A789" s="496" t="s">
        <v>1196</v>
      </c>
      <c r="B789" s="496">
        <v>0</v>
      </c>
      <c r="C789" s="496">
        <v>0</v>
      </c>
    </row>
    <row r="790" spans="1:3" x14ac:dyDescent="0.35">
      <c r="A790" s="496" t="s">
        <v>1197</v>
      </c>
      <c r="B790" s="496">
        <v>0</v>
      </c>
      <c r="C790" s="496">
        <v>0</v>
      </c>
    </row>
    <row r="791" spans="1:3" x14ac:dyDescent="0.35">
      <c r="A791" s="496" t="s">
        <v>1198</v>
      </c>
      <c r="B791" s="496">
        <v>0</v>
      </c>
      <c r="C791" s="496">
        <v>0</v>
      </c>
    </row>
    <row r="792" spans="1:3" x14ac:dyDescent="0.35">
      <c r="A792" s="496" t="s">
        <v>1199</v>
      </c>
      <c r="B792" s="496">
        <v>0</v>
      </c>
      <c r="C792" s="496">
        <v>0</v>
      </c>
    </row>
    <row r="793" spans="1:3" x14ac:dyDescent="0.35">
      <c r="A793" s="496" t="s">
        <v>1200</v>
      </c>
      <c r="B793" s="496">
        <v>0</v>
      </c>
      <c r="C793" s="496">
        <v>0</v>
      </c>
    </row>
    <row r="794" spans="1:3" x14ac:dyDescent="0.35">
      <c r="A794" s="496" t="s">
        <v>1201</v>
      </c>
      <c r="B794" s="496">
        <v>0</v>
      </c>
      <c r="C794" s="496">
        <v>0</v>
      </c>
    </row>
    <row r="795" spans="1:3" x14ac:dyDescent="0.35">
      <c r="A795" s="496" t="s">
        <v>1202</v>
      </c>
      <c r="B795" s="496">
        <v>0</v>
      </c>
      <c r="C795" s="496">
        <v>0</v>
      </c>
    </row>
    <row r="796" spans="1:3" x14ac:dyDescent="0.35">
      <c r="A796" s="496" t="s">
        <v>1203</v>
      </c>
      <c r="B796" s="496">
        <v>0</v>
      </c>
      <c r="C796" s="496">
        <v>0</v>
      </c>
    </row>
    <row r="797" spans="1:3" x14ac:dyDescent="0.35">
      <c r="A797" s="496" t="s">
        <v>1204</v>
      </c>
      <c r="B797" s="496">
        <v>0</v>
      </c>
      <c r="C797" s="496">
        <v>0</v>
      </c>
    </row>
    <row r="798" spans="1:3" x14ac:dyDescent="0.35">
      <c r="A798" s="496" t="s">
        <v>1205</v>
      </c>
      <c r="B798" s="496">
        <v>0</v>
      </c>
      <c r="C798" s="496">
        <v>0</v>
      </c>
    </row>
    <row r="799" spans="1:3" x14ac:dyDescent="0.35">
      <c r="A799" s="496" t="s">
        <v>1206</v>
      </c>
      <c r="B799" s="496">
        <v>0</v>
      </c>
      <c r="C799" s="496">
        <v>0</v>
      </c>
    </row>
    <row r="800" spans="1:3" x14ac:dyDescent="0.35">
      <c r="A800" s="496" t="s">
        <v>1207</v>
      </c>
      <c r="B800" s="496">
        <v>0</v>
      </c>
      <c r="C800" s="496">
        <v>0</v>
      </c>
    </row>
    <row r="801" spans="1:4" x14ac:dyDescent="0.35">
      <c r="A801" s="496" t="s">
        <v>1208</v>
      </c>
      <c r="B801" s="496">
        <v>0</v>
      </c>
      <c r="C801" s="496">
        <v>0</v>
      </c>
    </row>
    <row r="802" spans="1:4" x14ac:dyDescent="0.35">
      <c r="A802" s="496" t="s">
        <v>1209</v>
      </c>
      <c r="B802" s="496">
        <v>0</v>
      </c>
      <c r="C802" s="496">
        <v>0</v>
      </c>
    </row>
    <row r="803" spans="1:4" x14ac:dyDescent="0.35">
      <c r="A803" s="496" t="s">
        <v>1210</v>
      </c>
      <c r="B803" s="496">
        <v>0</v>
      </c>
      <c r="C803" s="496">
        <v>0</v>
      </c>
    </row>
    <row r="804" spans="1:4" x14ac:dyDescent="0.35">
      <c r="A804" s="496" t="s">
        <v>1677</v>
      </c>
      <c r="B804" s="496">
        <v>2</v>
      </c>
      <c r="C804" s="496">
        <v>2</v>
      </c>
      <c r="D804" s="517"/>
    </row>
    <row r="805" spans="1:4" x14ac:dyDescent="0.35">
      <c r="A805" s="496" t="s">
        <v>1211</v>
      </c>
      <c r="B805" s="496">
        <v>1</v>
      </c>
      <c r="C805" s="496">
        <v>1</v>
      </c>
    </row>
    <row r="806" spans="1:4" x14ac:dyDescent="0.35">
      <c r="A806" s="496" t="s">
        <v>1212</v>
      </c>
      <c r="B806" s="496">
        <v>1</v>
      </c>
      <c r="C806" s="496">
        <v>1</v>
      </c>
    </row>
    <row r="807" spans="1:4" x14ac:dyDescent="0.35">
      <c r="A807" s="496" t="s">
        <v>1213</v>
      </c>
      <c r="B807" s="496">
        <v>1</v>
      </c>
      <c r="C807" s="496">
        <v>1</v>
      </c>
    </row>
    <row r="808" spans="1:4" x14ac:dyDescent="0.35">
      <c r="A808" s="496" t="s">
        <v>1214</v>
      </c>
      <c r="B808" s="496">
        <v>1</v>
      </c>
      <c r="C808" s="496">
        <v>1</v>
      </c>
    </row>
    <row r="809" spans="1:4" x14ac:dyDescent="0.35">
      <c r="A809" s="496" t="s">
        <v>1678</v>
      </c>
      <c r="B809" s="496">
        <v>1</v>
      </c>
      <c r="C809" s="496">
        <v>1</v>
      </c>
      <c r="D809" s="517"/>
    </row>
    <row r="810" spans="1:4" x14ac:dyDescent="0.35">
      <c r="A810" s="496" t="s">
        <v>1679</v>
      </c>
      <c r="B810" s="496">
        <v>1</v>
      </c>
      <c r="C810" s="496">
        <v>1</v>
      </c>
      <c r="D810" s="517"/>
    </row>
    <row r="811" spans="1:4" x14ac:dyDescent="0.35">
      <c r="A811" s="496" t="s">
        <v>1680</v>
      </c>
      <c r="B811" s="496">
        <v>1</v>
      </c>
      <c r="C811" s="496">
        <v>1</v>
      </c>
      <c r="D811" s="517"/>
    </row>
    <row r="812" spans="1:4" x14ac:dyDescent="0.35">
      <c r="A812" s="496" t="s">
        <v>1681</v>
      </c>
      <c r="B812" s="496">
        <v>1</v>
      </c>
      <c r="C812" s="496">
        <v>1</v>
      </c>
      <c r="D812" s="517"/>
    </row>
    <row r="813" spans="1:4" s="517" customFormat="1" x14ac:dyDescent="0.35">
      <c r="A813" s="496" t="s">
        <v>1215</v>
      </c>
      <c r="B813" s="496">
        <v>1</v>
      </c>
      <c r="C813" s="496">
        <v>1</v>
      </c>
      <c r="D813"/>
    </row>
    <row r="814" spans="1:4" x14ac:dyDescent="0.35">
      <c r="A814" s="496" t="s">
        <v>1216</v>
      </c>
      <c r="B814" s="496" t="s">
        <v>2638</v>
      </c>
      <c r="C814" s="496" t="s">
        <v>563</v>
      </c>
    </row>
    <row r="815" spans="1:4" x14ac:dyDescent="0.35">
      <c r="A815" s="496" t="s">
        <v>1217</v>
      </c>
      <c r="B815" s="496">
        <v>30</v>
      </c>
      <c r="C815" s="496">
        <v>30</v>
      </c>
    </row>
    <row r="816" spans="1:4" s="517" customFormat="1" x14ac:dyDescent="0.35">
      <c r="A816" s="496" t="s">
        <v>1219</v>
      </c>
      <c r="B816" s="496">
        <v>2</v>
      </c>
      <c r="C816" s="496">
        <v>2</v>
      </c>
      <c r="D816"/>
    </row>
    <row r="817" spans="1:4" s="517" customFormat="1" x14ac:dyDescent="0.35">
      <c r="A817" s="496" t="s">
        <v>1220</v>
      </c>
      <c r="B817" s="271">
        <v>0</v>
      </c>
      <c r="C817" s="271">
        <v>0</v>
      </c>
      <c r="D817"/>
    </row>
    <row r="818" spans="1:4" x14ac:dyDescent="0.35">
      <c r="A818" s="496" t="s">
        <v>1221</v>
      </c>
      <c r="B818" s="271" t="b">
        <v>0</v>
      </c>
      <c r="C818" s="271" t="b">
        <v>0</v>
      </c>
    </row>
    <row r="819" spans="1:4" x14ac:dyDescent="0.35">
      <c r="A819" s="496" t="s">
        <v>1222</v>
      </c>
      <c r="B819" s="271">
        <v>2</v>
      </c>
      <c r="C819" s="271">
        <v>2</v>
      </c>
    </row>
    <row r="820" spans="1:4" x14ac:dyDescent="0.35">
      <c r="A820" s="496" t="s">
        <v>1223</v>
      </c>
      <c r="B820" s="271" t="b">
        <v>0</v>
      </c>
      <c r="C820" s="271" t="b">
        <v>0</v>
      </c>
    </row>
    <row r="821" spans="1:4" x14ac:dyDescent="0.35">
      <c r="A821" s="496" t="s">
        <v>1224</v>
      </c>
      <c r="B821" s="271" t="b">
        <v>0</v>
      </c>
      <c r="C821" s="271" t="b">
        <v>0</v>
      </c>
    </row>
    <row r="822" spans="1:4" s="517" customFormat="1" x14ac:dyDescent="0.35">
      <c r="A822" s="496" t="s">
        <v>1225</v>
      </c>
      <c r="B822" s="271" t="b">
        <v>0</v>
      </c>
      <c r="C822" s="271" t="b">
        <v>0</v>
      </c>
      <c r="D822"/>
    </row>
    <row r="823" spans="1:4" s="517" customFormat="1" x14ac:dyDescent="0.35">
      <c r="A823" s="496" t="s">
        <v>1226</v>
      </c>
      <c r="B823" s="271" t="b">
        <v>0</v>
      </c>
      <c r="C823" s="271" t="b">
        <v>0</v>
      </c>
      <c r="D823"/>
    </row>
    <row r="824" spans="1:4" x14ac:dyDescent="0.35">
      <c r="A824" s="496" t="s">
        <v>1227</v>
      </c>
      <c r="B824" s="271">
        <v>0</v>
      </c>
      <c r="C824" s="271">
        <v>0</v>
      </c>
    </row>
    <row r="825" spans="1:4" x14ac:dyDescent="0.35">
      <c r="A825" s="496" t="s">
        <v>1228</v>
      </c>
      <c r="B825" s="271">
        <v>0</v>
      </c>
      <c r="C825" s="271">
        <v>0</v>
      </c>
    </row>
    <row r="826" spans="1:4" x14ac:dyDescent="0.35">
      <c r="A826" s="496" t="s">
        <v>1229</v>
      </c>
      <c r="B826" s="271">
        <v>0</v>
      </c>
      <c r="C826" s="271">
        <v>0</v>
      </c>
    </row>
    <row r="827" spans="1:4" x14ac:dyDescent="0.35">
      <c r="A827" s="496" t="s">
        <v>1230</v>
      </c>
      <c r="B827" s="271">
        <v>0</v>
      </c>
      <c r="C827" s="271">
        <v>0</v>
      </c>
    </row>
    <row r="828" spans="1:4" x14ac:dyDescent="0.35">
      <c r="A828" s="496" t="s">
        <v>1231</v>
      </c>
      <c r="B828" s="271">
        <v>0</v>
      </c>
      <c r="C828" s="271">
        <v>0</v>
      </c>
    </row>
    <row r="829" spans="1:4" x14ac:dyDescent="0.35">
      <c r="A829" s="496" t="s">
        <v>1232</v>
      </c>
      <c r="B829" s="271">
        <v>0</v>
      </c>
      <c r="C829" s="271">
        <v>0</v>
      </c>
    </row>
    <row r="830" spans="1:4" x14ac:dyDescent="0.35">
      <c r="A830" t="s">
        <v>1454</v>
      </c>
      <c r="B830" t="s">
        <v>2642</v>
      </c>
    </row>
    <row r="831" spans="1:4" x14ac:dyDescent="0.35">
      <c r="A831" s="517" t="s">
        <v>1455</v>
      </c>
      <c r="B831" t="s">
        <v>2643</v>
      </c>
    </row>
    <row r="832" spans="1:4" x14ac:dyDescent="0.35">
      <c r="A832" s="517" t="s">
        <v>1456</v>
      </c>
      <c r="B832" t="s">
        <v>2427</v>
      </c>
    </row>
    <row r="833" spans="1:1" x14ac:dyDescent="0.35">
      <c r="A833" s="517" t="s">
        <v>1457</v>
      </c>
    </row>
    <row r="834" spans="1:1" x14ac:dyDescent="0.35">
      <c r="A834" s="517" t="s">
        <v>1458</v>
      </c>
    </row>
    <row r="835" spans="1:1" x14ac:dyDescent="0.35">
      <c r="A835" s="517" t="s">
        <v>1459</v>
      </c>
    </row>
    <row r="836" spans="1:1" x14ac:dyDescent="0.35">
      <c r="A836" s="517" t="s">
        <v>1460</v>
      </c>
    </row>
    <row r="837" spans="1:1" x14ac:dyDescent="0.35">
      <c r="A837" s="517" t="s">
        <v>1461</v>
      </c>
    </row>
    <row r="838" spans="1:1" x14ac:dyDescent="0.35">
      <c r="A838" s="517" t="s">
        <v>1462</v>
      </c>
    </row>
    <row r="839" spans="1:1" x14ac:dyDescent="0.35">
      <c r="A839" s="517" t="s">
        <v>1463</v>
      </c>
    </row>
    <row r="840" spans="1:1" x14ac:dyDescent="0.35">
      <c r="A840" s="517" t="s">
        <v>1464</v>
      </c>
    </row>
    <row r="841" spans="1:1" x14ac:dyDescent="0.35">
      <c r="A841" s="517" t="s">
        <v>1465</v>
      </c>
    </row>
    <row r="842" spans="1:1" x14ac:dyDescent="0.35">
      <c r="A842" s="517" t="s">
        <v>1466</v>
      </c>
    </row>
    <row r="843" spans="1:1" x14ac:dyDescent="0.35">
      <c r="A843" s="517" t="s">
        <v>1467</v>
      </c>
    </row>
    <row r="844" spans="1:1" x14ac:dyDescent="0.35">
      <c r="A844" s="517" t="s">
        <v>1468</v>
      </c>
    </row>
    <row r="845" spans="1:1" x14ac:dyDescent="0.35">
      <c r="A845" s="517" t="s">
        <v>1469</v>
      </c>
    </row>
    <row r="846" spans="1:1" x14ac:dyDescent="0.35">
      <c r="A846" s="517" t="s">
        <v>1470</v>
      </c>
    </row>
    <row r="847" spans="1:1" x14ac:dyDescent="0.35">
      <c r="A847" s="517" t="s">
        <v>1471</v>
      </c>
    </row>
    <row r="848" spans="1:1" x14ac:dyDescent="0.35">
      <c r="A848" s="517" t="s">
        <v>1472</v>
      </c>
    </row>
    <row r="849" spans="1:4" x14ac:dyDescent="0.35">
      <c r="A849" s="517" t="s">
        <v>1473</v>
      </c>
    </row>
    <row r="850" spans="1:4" x14ac:dyDescent="0.35">
      <c r="A850" s="517" t="s">
        <v>2516</v>
      </c>
      <c r="B850" s="517"/>
      <c r="C850" s="517"/>
      <c r="D850" s="517"/>
    </row>
    <row r="851" spans="1:4" x14ac:dyDescent="0.35">
      <c r="A851" s="517" t="s">
        <v>2517</v>
      </c>
      <c r="B851" s="517"/>
      <c r="C851" s="517"/>
      <c r="D851" s="517"/>
    </row>
    <row r="852" spans="1:4" x14ac:dyDescent="0.35">
      <c r="A852" s="517" t="s">
        <v>2518</v>
      </c>
      <c r="B852" s="517"/>
      <c r="C852" s="517"/>
      <c r="D852" s="517"/>
    </row>
    <row r="853" spans="1:4" x14ac:dyDescent="0.35">
      <c r="A853" s="517" t="s">
        <v>2519</v>
      </c>
      <c r="B853" s="517"/>
      <c r="C853" s="517"/>
      <c r="D853" s="517"/>
    </row>
    <row r="854" spans="1:4" x14ac:dyDescent="0.35">
      <c r="A854" s="517" t="s">
        <v>2520</v>
      </c>
      <c r="B854" s="517"/>
      <c r="C854" s="517"/>
      <c r="D854" s="517"/>
    </row>
    <row r="855" spans="1:4" x14ac:dyDescent="0.35">
      <c r="A855" s="517" t="s">
        <v>2521</v>
      </c>
      <c r="B855" s="517"/>
      <c r="C855" s="517"/>
      <c r="D855" s="517"/>
    </row>
    <row r="856" spans="1:4" x14ac:dyDescent="0.35">
      <c r="A856" s="517" t="s">
        <v>2522</v>
      </c>
      <c r="B856" s="517"/>
      <c r="C856" s="517"/>
      <c r="D856" s="517"/>
    </row>
    <row r="857" spans="1:4" x14ac:dyDescent="0.35">
      <c r="A857" s="517" t="s">
        <v>2523</v>
      </c>
      <c r="B857" s="517"/>
      <c r="C857" s="517"/>
      <c r="D857" s="517"/>
    </row>
    <row r="858" spans="1:4" x14ac:dyDescent="0.35">
      <c r="A858" s="517" t="s">
        <v>2524</v>
      </c>
      <c r="B858" s="517"/>
      <c r="C858" s="517"/>
      <c r="D858" s="517"/>
    </row>
    <row r="859" spans="1:4" x14ac:dyDescent="0.35">
      <c r="A859" s="517" t="s">
        <v>2525</v>
      </c>
      <c r="B859" s="517"/>
      <c r="C859" s="517"/>
      <c r="D859" s="517"/>
    </row>
    <row r="860" spans="1:4" x14ac:dyDescent="0.35">
      <c r="A860" t="s">
        <v>1778</v>
      </c>
    </row>
    <row r="861" spans="1:4" x14ac:dyDescent="0.35">
      <c r="A861" t="s">
        <v>1779</v>
      </c>
    </row>
    <row r="862" spans="1:4" x14ac:dyDescent="0.35">
      <c r="A862" t="s">
        <v>1780</v>
      </c>
    </row>
    <row r="863" spans="1:4" x14ac:dyDescent="0.35">
      <c r="A863" t="s">
        <v>1781</v>
      </c>
    </row>
    <row r="864" spans="1:4" x14ac:dyDescent="0.35">
      <c r="A864" t="s">
        <v>1782</v>
      </c>
    </row>
    <row r="865" spans="1:4" x14ac:dyDescent="0.35">
      <c r="A865" t="s">
        <v>1783</v>
      </c>
    </row>
    <row r="866" spans="1:4" x14ac:dyDescent="0.35">
      <c r="A866" t="s">
        <v>1784</v>
      </c>
    </row>
    <row r="867" spans="1:4" x14ac:dyDescent="0.35">
      <c r="A867" t="s">
        <v>1785</v>
      </c>
    </row>
    <row r="868" spans="1:4" x14ac:dyDescent="0.35">
      <c r="A868" t="s">
        <v>1786</v>
      </c>
    </row>
    <row r="869" spans="1:4" x14ac:dyDescent="0.35">
      <c r="A869" t="s">
        <v>1787</v>
      </c>
    </row>
    <row r="870" spans="1:4" x14ac:dyDescent="0.35">
      <c r="A870" t="s">
        <v>1788</v>
      </c>
    </row>
    <row r="871" spans="1:4" x14ac:dyDescent="0.35">
      <c r="A871" t="s">
        <v>1789</v>
      </c>
    </row>
    <row r="872" spans="1:4" x14ac:dyDescent="0.35">
      <c r="A872" t="s">
        <v>1790</v>
      </c>
    </row>
    <row r="873" spans="1:4" x14ac:dyDescent="0.35">
      <c r="A873" t="s">
        <v>1791</v>
      </c>
    </row>
    <row r="874" spans="1:4" x14ac:dyDescent="0.35">
      <c r="A874" t="s">
        <v>1792</v>
      </c>
    </row>
    <row r="875" spans="1:4" x14ac:dyDescent="0.35">
      <c r="A875" t="s">
        <v>1793</v>
      </c>
    </row>
    <row r="876" spans="1:4" s="517" customFormat="1" x14ac:dyDescent="0.35">
      <c r="A876" t="s">
        <v>1794</v>
      </c>
      <c r="B876"/>
      <c r="C876"/>
      <c r="D876"/>
    </row>
    <row r="877" spans="1:4" x14ac:dyDescent="0.35">
      <c r="A877" t="s">
        <v>1795</v>
      </c>
    </row>
    <row r="878" spans="1:4" x14ac:dyDescent="0.35">
      <c r="A878" t="s">
        <v>1796</v>
      </c>
    </row>
    <row r="879" spans="1:4" x14ac:dyDescent="0.35">
      <c r="A879" t="s">
        <v>1797</v>
      </c>
    </row>
    <row r="880" spans="1:4" x14ac:dyDescent="0.35">
      <c r="A880" t="s">
        <v>1798</v>
      </c>
    </row>
    <row r="881" spans="1:4" x14ac:dyDescent="0.35">
      <c r="A881" t="s">
        <v>1799</v>
      </c>
    </row>
    <row r="882" spans="1:4" x14ac:dyDescent="0.35">
      <c r="A882" t="s">
        <v>1800</v>
      </c>
    </row>
    <row r="883" spans="1:4" x14ac:dyDescent="0.35">
      <c r="A883" t="s">
        <v>1801</v>
      </c>
    </row>
    <row r="884" spans="1:4" x14ac:dyDescent="0.35">
      <c r="A884" t="s">
        <v>1802</v>
      </c>
    </row>
    <row r="885" spans="1:4" x14ac:dyDescent="0.35">
      <c r="A885" t="s">
        <v>1803</v>
      </c>
    </row>
    <row r="886" spans="1:4" x14ac:dyDescent="0.35">
      <c r="A886" t="s">
        <v>1804</v>
      </c>
    </row>
    <row r="887" spans="1:4" x14ac:dyDescent="0.35">
      <c r="A887" t="s">
        <v>1805</v>
      </c>
    </row>
    <row r="888" spans="1:4" s="517" customFormat="1" x14ac:dyDescent="0.35">
      <c r="A888" t="s">
        <v>1806</v>
      </c>
      <c r="B888"/>
      <c r="C888"/>
      <c r="D888"/>
    </row>
    <row r="889" spans="1:4" x14ac:dyDescent="0.35">
      <c r="A889" t="s">
        <v>1807</v>
      </c>
    </row>
    <row r="890" spans="1:4" x14ac:dyDescent="0.35">
      <c r="A890" t="s">
        <v>1808</v>
      </c>
    </row>
    <row r="891" spans="1:4" x14ac:dyDescent="0.35">
      <c r="A891" t="s">
        <v>1809</v>
      </c>
    </row>
    <row r="892" spans="1:4" x14ac:dyDescent="0.35">
      <c r="A892" t="s">
        <v>1810</v>
      </c>
    </row>
    <row r="893" spans="1:4" x14ac:dyDescent="0.35">
      <c r="A893" t="s">
        <v>1811</v>
      </c>
    </row>
    <row r="894" spans="1:4" x14ac:dyDescent="0.35">
      <c r="A894" t="s">
        <v>1812</v>
      </c>
    </row>
    <row r="895" spans="1:4" x14ac:dyDescent="0.35">
      <c r="A895" t="s">
        <v>1813</v>
      </c>
    </row>
    <row r="896" spans="1:4" x14ac:dyDescent="0.35">
      <c r="A896" t="s">
        <v>1814</v>
      </c>
    </row>
    <row r="897" spans="1:1" x14ac:dyDescent="0.35">
      <c r="A897" t="s">
        <v>1815</v>
      </c>
    </row>
    <row r="898" spans="1:1" x14ac:dyDescent="0.35">
      <c r="A898" t="s">
        <v>1816</v>
      </c>
    </row>
    <row r="899" spans="1:1" x14ac:dyDescent="0.35">
      <c r="A899" t="s">
        <v>1817</v>
      </c>
    </row>
    <row r="900" spans="1:1" x14ac:dyDescent="0.35">
      <c r="A900" t="s">
        <v>1818</v>
      </c>
    </row>
    <row r="901" spans="1:1" x14ac:dyDescent="0.35">
      <c r="A901" t="s">
        <v>1819</v>
      </c>
    </row>
    <row r="902" spans="1:1" x14ac:dyDescent="0.35">
      <c r="A902" t="s">
        <v>1820</v>
      </c>
    </row>
    <row r="903" spans="1:1" x14ac:dyDescent="0.35">
      <c r="A903" t="s">
        <v>1821</v>
      </c>
    </row>
    <row r="904" spans="1:1" x14ac:dyDescent="0.35">
      <c r="A904" t="s">
        <v>1822</v>
      </c>
    </row>
    <row r="905" spans="1:1" x14ac:dyDescent="0.35">
      <c r="A905" t="s">
        <v>1823</v>
      </c>
    </row>
    <row r="906" spans="1:1" x14ac:dyDescent="0.35">
      <c r="A906" t="s">
        <v>1824</v>
      </c>
    </row>
    <row r="907" spans="1:1" x14ac:dyDescent="0.35">
      <c r="A907" t="s">
        <v>1825</v>
      </c>
    </row>
    <row r="908" spans="1:1" x14ac:dyDescent="0.35">
      <c r="A908" t="s">
        <v>1826</v>
      </c>
    </row>
    <row r="909" spans="1:1" x14ac:dyDescent="0.35">
      <c r="A909" t="s">
        <v>1827</v>
      </c>
    </row>
    <row r="910" spans="1:1" x14ac:dyDescent="0.35">
      <c r="A910" t="s">
        <v>1828</v>
      </c>
    </row>
    <row r="911" spans="1:1" x14ac:dyDescent="0.35">
      <c r="A911" t="s">
        <v>1829</v>
      </c>
    </row>
    <row r="912" spans="1:1" x14ac:dyDescent="0.35">
      <c r="A912" t="s">
        <v>1830</v>
      </c>
    </row>
    <row r="913" spans="1:1" x14ac:dyDescent="0.35">
      <c r="A913" t="s">
        <v>1831</v>
      </c>
    </row>
    <row r="914" spans="1:1" x14ac:dyDescent="0.35">
      <c r="A914" t="s">
        <v>1832</v>
      </c>
    </row>
    <row r="915" spans="1:1" x14ac:dyDescent="0.35">
      <c r="A915" t="s">
        <v>1833</v>
      </c>
    </row>
    <row r="916" spans="1:1" x14ac:dyDescent="0.35">
      <c r="A916" t="s">
        <v>1834</v>
      </c>
    </row>
    <row r="917" spans="1:1" x14ac:dyDescent="0.35">
      <c r="A917" t="s">
        <v>1835</v>
      </c>
    </row>
    <row r="918" spans="1:1" x14ac:dyDescent="0.35">
      <c r="A918" t="s">
        <v>1836</v>
      </c>
    </row>
    <row r="919" spans="1:1" x14ac:dyDescent="0.35">
      <c r="A919" t="s">
        <v>1837</v>
      </c>
    </row>
    <row r="920" spans="1:1" x14ac:dyDescent="0.35">
      <c r="A920" t="s">
        <v>1838</v>
      </c>
    </row>
    <row r="921" spans="1:1" x14ac:dyDescent="0.35">
      <c r="A921" t="s">
        <v>1839</v>
      </c>
    </row>
    <row r="922" spans="1:1" x14ac:dyDescent="0.35">
      <c r="A922" t="s">
        <v>1840</v>
      </c>
    </row>
    <row r="923" spans="1:1" x14ac:dyDescent="0.35">
      <c r="A923" t="s">
        <v>1841</v>
      </c>
    </row>
    <row r="924" spans="1:1" x14ac:dyDescent="0.35">
      <c r="A924" t="s">
        <v>1842</v>
      </c>
    </row>
    <row r="925" spans="1:1" x14ac:dyDescent="0.35">
      <c r="A925" t="s">
        <v>1843</v>
      </c>
    </row>
    <row r="926" spans="1:1" x14ac:dyDescent="0.35">
      <c r="A926" t="s">
        <v>1844</v>
      </c>
    </row>
    <row r="927" spans="1:1" x14ac:dyDescent="0.35">
      <c r="A927" t="s">
        <v>1845</v>
      </c>
    </row>
    <row r="928" spans="1:1" x14ac:dyDescent="0.35">
      <c r="A928" t="s">
        <v>1846</v>
      </c>
    </row>
    <row r="929" spans="1:4" x14ac:dyDescent="0.35">
      <c r="A929" t="s">
        <v>1847</v>
      </c>
    </row>
    <row r="930" spans="1:4" x14ac:dyDescent="0.35">
      <c r="A930" t="s">
        <v>1848</v>
      </c>
    </row>
    <row r="931" spans="1:4" x14ac:dyDescent="0.35">
      <c r="A931" t="s">
        <v>1849</v>
      </c>
    </row>
    <row r="932" spans="1:4" x14ac:dyDescent="0.35">
      <c r="A932" t="s">
        <v>1850</v>
      </c>
    </row>
    <row r="933" spans="1:4" x14ac:dyDescent="0.35">
      <c r="A933" t="s">
        <v>1851</v>
      </c>
    </row>
    <row r="934" spans="1:4" x14ac:dyDescent="0.35">
      <c r="A934" t="s">
        <v>1852</v>
      </c>
    </row>
    <row r="935" spans="1:4" x14ac:dyDescent="0.35">
      <c r="A935" t="s">
        <v>1853</v>
      </c>
    </row>
    <row r="936" spans="1:4" x14ac:dyDescent="0.35">
      <c r="A936" t="s">
        <v>1854</v>
      </c>
    </row>
    <row r="937" spans="1:4" s="517" customFormat="1" x14ac:dyDescent="0.35">
      <c r="A937" t="s">
        <v>1855</v>
      </c>
      <c r="B937"/>
      <c r="C937"/>
      <c r="D937"/>
    </row>
    <row r="938" spans="1:4" x14ac:dyDescent="0.35">
      <c r="A938" t="s">
        <v>1856</v>
      </c>
    </row>
    <row r="939" spans="1:4" x14ac:dyDescent="0.35">
      <c r="A939" t="s">
        <v>1857</v>
      </c>
    </row>
    <row r="940" spans="1:4" x14ac:dyDescent="0.35">
      <c r="A940" t="s">
        <v>1858</v>
      </c>
    </row>
    <row r="941" spans="1:4" x14ac:dyDescent="0.35">
      <c r="A941" t="s">
        <v>1859</v>
      </c>
    </row>
    <row r="942" spans="1:4" x14ac:dyDescent="0.35">
      <c r="A942" t="s">
        <v>1860</v>
      </c>
    </row>
    <row r="943" spans="1:4" x14ac:dyDescent="0.35">
      <c r="A943" s="517" t="s">
        <v>2413</v>
      </c>
      <c r="B943" s="517"/>
      <c r="C943" s="517"/>
      <c r="D943" s="517"/>
    </row>
    <row r="944" spans="1:4" x14ac:dyDescent="0.35">
      <c r="A944" t="s">
        <v>1861</v>
      </c>
    </row>
    <row r="945" spans="1:4" x14ac:dyDescent="0.35">
      <c r="A945" t="s">
        <v>1862</v>
      </c>
    </row>
    <row r="946" spans="1:4" x14ac:dyDescent="0.35">
      <c r="A946" s="517" t="s">
        <v>2265</v>
      </c>
      <c r="B946" s="517"/>
      <c r="C946" s="517"/>
      <c r="D946" s="517"/>
    </row>
    <row r="947" spans="1:4" x14ac:dyDescent="0.35">
      <c r="A947" s="518" t="s">
        <v>2266</v>
      </c>
      <c r="B947" s="517"/>
      <c r="C947" s="517"/>
      <c r="D947" s="517"/>
    </row>
    <row r="948" spans="1:4" x14ac:dyDescent="0.35">
      <c r="A948" t="s">
        <v>1863</v>
      </c>
    </row>
    <row r="949" spans="1:4" x14ac:dyDescent="0.35">
      <c r="A949" t="s">
        <v>1864</v>
      </c>
    </row>
    <row r="950" spans="1:4" x14ac:dyDescent="0.35">
      <c r="A950" t="s">
        <v>1865</v>
      </c>
    </row>
    <row r="951" spans="1:4" x14ac:dyDescent="0.35">
      <c r="A951" t="s">
        <v>1866</v>
      </c>
    </row>
    <row r="952" spans="1:4" x14ac:dyDescent="0.35">
      <c r="A952" s="518" t="s">
        <v>2267</v>
      </c>
      <c r="B952" s="517"/>
      <c r="C952" s="517"/>
      <c r="D952" s="517"/>
    </row>
    <row r="953" spans="1:4" x14ac:dyDescent="0.35">
      <c r="A953" s="518" t="s">
        <v>2268</v>
      </c>
      <c r="B953" s="517"/>
      <c r="C953" s="517"/>
      <c r="D953" s="517"/>
    </row>
    <row r="954" spans="1:4" x14ac:dyDescent="0.35">
      <c r="A954" t="s">
        <v>1867</v>
      </c>
    </row>
    <row r="955" spans="1:4" x14ac:dyDescent="0.35">
      <c r="A955" t="s">
        <v>1868</v>
      </c>
    </row>
    <row r="956" spans="1:4" x14ac:dyDescent="0.35">
      <c r="A956" t="s">
        <v>1869</v>
      </c>
    </row>
    <row r="957" spans="1:4" x14ac:dyDescent="0.35">
      <c r="A957" t="s">
        <v>1870</v>
      </c>
    </row>
    <row r="958" spans="1:4" x14ac:dyDescent="0.35">
      <c r="A958" t="s">
        <v>1871</v>
      </c>
    </row>
    <row r="959" spans="1:4" x14ac:dyDescent="0.35">
      <c r="A959" t="s">
        <v>1872</v>
      </c>
    </row>
    <row r="960" spans="1:4" x14ac:dyDescent="0.35">
      <c r="A960" t="s">
        <v>1873</v>
      </c>
    </row>
    <row r="961" spans="1:1" x14ac:dyDescent="0.35">
      <c r="A961" t="s">
        <v>1874</v>
      </c>
    </row>
    <row r="962" spans="1:1" x14ac:dyDescent="0.35">
      <c r="A962" t="s">
        <v>1875</v>
      </c>
    </row>
    <row r="963" spans="1:1" x14ac:dyDescent="0.35">
      <c r="A963" t="s">
        <v>1876</v>
      </c>
    </row>
    <row r="964" spans="1:1" x14ac:dyDescent="0.35">
      <c r="A964" t="s">
        <v>1877</v>
      </c>
    </row>
    <row r="965" spans="1:1" x14ac:dyDescent="0.35">
      <c r="A965" t="s">
        <v>1878</v>
      </c>
    </row>
    <row r="966" spans="1:1" x14ac:dyDescent="0.35">
      <c r="A966" t="s">
        <v>1879</v>
      </c>
    </row>
    <row r="967" spans="1:1" x14ac:dyDescent="0.35">
      <c r="A967" t="s">
        <v>1880</v>
      </c>
    </row>
    <row r="968" spans="1:1" x14ac:dyDescent="0.35">
      <c r="A968" t="s">
        <v>1881</v>
      </c>
    </row>
    <row r="969" spans="1:1" x14ac:dyDescent="0.35">
      <c r="A969" t="s">
        <v>1882</v>
      </c>
    </row>
    <row r="970" spans="1:1" x14ac:dyDescent="0.35">
      <c r="A970" t="s">
        <v>1883</v>
      </c>
    </row>
    <row r="971" spans="1:1" x14ac:dyDescent="0.35">
      <c r="A971" t="s">
        <v>1884</v>
      </c>
    </row>
    <row r="972" spans="1:1" x14ac:dyDescent="0.35">
      <c r="A972" t="s">
        <v>1885</v>
      </c>
    </row>
    <row r="973" spans="1:1" x14ac:dyDescent="0.35">
      <c r="A973" t="s">
        <v>1886</v>
      </c>
    </row>
    <row r="974" spans="1:1" x14ac:dyDescent="0.35">
      <c r="A974" t="s">
        <v>1887</v>
      </c>
    </row>
    <row r="975" spans="1:1" x14ac:dyDescent="0.35">
      <c r="A975" t="s">
        <v>1888</v>
      </c>
    </row>
    <row r="976" spans="1:1" x14ac:dyDescent="0.35">
      <c r="A976" t="s">
        <v>1889</v>
      </c>
    </row>
    <row r="977" spans="1:1" x14ac:dyDescent="0.35">
      <c r="A977" t="s">
        <v>1890</v>
      </c>
    </row>
    <row r="978" spans="1:1" x14ac:dyDescent="0.35">
      <c r="A978" t="s">
        <v>1891</v>
      </c>
    </row>
    <row r="979" spans="1:1" x14ac:dyDescent="0.35">
      <c r="A979" t="s">
        <v>1892</v>
      </c>
    </row>
    <row r="980" spans="1:1" x14ac:dyDescent="0.35">
      <c r="A980" t="s">
        <v>1893</v>
      </c>
    </row>
    <row r="981" spans="1:1" x14ac:dyDescent="0.35">
      <c r="A981" t="s">
        <v>1894</v>
      </c>
    </row>
    <row r="982" spans="1:1" x14ac:dyDescent="0.35">
      <c r="A982" t="s">
        <v>1895</v>
      </c>
    </row>
    <row r="983" spans="1:1" x14ac:dyDescent="0.35">
      <c r="A983" t="s">
        <v>1896</v>
      </c>
    </row>
    <row r="984" spans="1:1" x14ac:dyDescent="0.35">
      <c r="A984" t="s">
        <v>1897</v>
      </c>
    </row>
    <row r="985" spans="1:1" x14ac:dyDescent="0.35">
      <c r="A985" t="s">
        <v>1898</v>
      </c>
    </row>
    <row r="986" spans="1:1" x14ac:dyDescent="0.35">
      <c r="A986" t="s">
        <v>1899</v>
      </c>
    </row>
    <row r="987" spans="1:1" x14ac:dyDescent="0.35">
      <c r="A987" t="s">
        <v>1900</v>
      </c>
    </row>
    <row r="988" spans="1:1" x14ac:dyDescent="0.35">
      <c r="A988" t="s">
        <v>1901</v>
      </c>
    </row>
    <row r="989" spans="1:1" x14ac:dyDescent="0.35">
      <c r="A989" t="s">
        <v>1902</v>
      </c>
    </row>
    <row r="990" spans="1:1" x14ac:dyDescent="0.35">
      <c r="A990" t="s">
        <v>1903</v>
      </c>
    </row>
    <row r="991" spans="1:1" x14ac:dyDescent="0.35">
      <c r="A991" t="s">
        <v>1904</v>
      </c>
    </row>
    <row r="992" spans="1:1" x14ac:dyDescent="0.35">
      <c r="A992" t="s">
        <v>1905</v>
      </c>
    </row>
    <row r="993" spans="1:4" x14ac:dyDescent="0.35">
      <c r="A993" t="s">
        <v>1906</v>
      </c>
    </row>
    <row r="994" spans="1:4" x14ac:dyDescent="0.35">
      <c r="A994" t="s">
        <v>1907</v>
      </c>
    </row>
    <row r="995" spans="1:4" x14ac:dyDescent="0.35">
      <c r="A995" t="s">
        <v>1908</v>
      </c>
    </row>
    <row r="996" spans="1:4" x14ac:dyDescent="0.35">
      <c r="A996" t="s">
        <v>1909</v>
      </c>
    </row>
    <row r="997" spans="1:4" x14ac:dyDescent="0.35">
      <c r="A997" t="s">
        <v>1910</v>
      </c>
    </row>
    <row r="998" spans="1:4" x14ac:dyDescent="0.35">
      <c r="A998" t="s">
        <v>1911</v>
      </c>
    </row>
    <row r="999" spans="1:4" x14ac:dyDescent="0.35">
      <c r="A999" t="s">
        <v>1912</v>
      </c>
    </row>
    <row r="1000" spans="1:4" x14ac:dyDescent="0.35">
      <c r="A1000" t="s">
        <v>1913</v>
      </c>
    </row>
    <row r="1001" spans="1:4" x14ac:dyDescent="0.35">
      <c r="A1001" t="s">
        <v>1914</v>
      </c>
    </row>
    <row r="1002" spans="1:4" x14ac:dyDescent="0.35">
      <c r="A1002" t="s">
        <v>1915</v>
      </c>
    </row>
    <row r="1003" spans="1:4" x14ac:dyDescent="0.35">
      <c r="A1003" t="s">
        <v>1916</v>
      </c>
    </row>
    <row r="1004" spans="1:4" x14ac:dyDescent="0.35">
      <c r="A1004" t="s">
        <v>1917</v>
      </c>
    </row>
    <row r="1005" spans="1:4" x14ac:dyDescent="0.35">
      <c r="A1005" t="s">
        <v>1918</v>
      </c>
    </row>
    <row r="1006" spans="1:4" x14ac:dyDescent="0.35">
      <c r="A1006" s="517" t="s">
        <v>2269</v>
      </c>
      <c r="B1006" s="517"/>
      <c r="C1006" s="517"/>
      <c r="D1006" s="517"/>
    </row>
    <row r="1007" spans="1:4" x14ac:dyDescent="0.35">
      <c r="A1007" t="s">
        <v>1919</v>
      </c>
    </row>
    <row r="1008" spans="1:4" x14ac:dyDescent="0.35">
      <c r="A1008" t="s">
        <v>1920</v>
      </c>
    </row>
    <row r="1009" spans="1:4" x14ac:dyDescent="0.35">
      <c r="A1009" t="s">
        <v>1921</v>
      </c>
    </row>
    <row r="1010" spans="1:4" x14ac:dyDescent="0.35">
      <c r="A1010" t="s">
        <v>1922</v>
      </c>
    </row>
    <row r="1011" spans="1:4" x14ac:dyDescent="0.35">
      <c r="A1011" t="s">
        <v>1923</v>
      </c>
    </row>
    <row r="1012" spans="1:4" x14ac:dyDescent="0.35">
      <c r="A1012" t="s">
        <v>1924</v>
      </c>
    </row>
    <row r="1013" spans="1:4" x14ac:dyDescent="0.35">
      <c r="A1013" t="s">
        <v>1925</v>
      </c>
    </row>
    <row r="1014" spans="1:4" x14ac:dyDescent="0.35">
      <c r="A1014" t="s">
        <v>1926</v>
      </c>
    </row>
    <row r="1015" spans="1:4" x14ac:dyDescent="0.35">
      <c r="A1015" t="s">
        <v>1927</v>
      </c>
    </row>
    <row r="1016" spans="1:4" x14ac:dyDescent="0.35">
      <c r="A1016" t="s">
        <v>1928</v>
      </c>
    </row>
    <row r="1017" spans="1:4" x14ac:dyDescent="0.35">
      <c r="A1017" t="s">
        <v>1929</v>
      </c>
    </row>
    <row r="1018" spans="1:4" x14ac:dyDescent="0.35">
      <c r="A1018" s="517" t="s">
        <v>2414</v>
      </c>
      <c r="B1018" s="517"/>
      <c r="C1018" s="517"/>
      <c r="D1018" s="517"/>
    </row>
    <row r="1019" spans="1:4" x14ac:dyDescent="0.35">
      <c r="A1019" t="s">
        <v>1930</v>
      </c>
    </row>
    <row r="1020" spans="1:4" x14ac:dyDescent="0.35">
      <c r="A1020" t="s">
        <v>1931</v>
      </c>
    </row>
    <row r="1021" spans="1:4" x14ac:dyDescent="0.35">
      <c r="A1021" t="s">
        <v>1932</v>
      </c>
    </row>
    <row r="1022" spans="1:4" x14ac:dyDescent="0.35">
      <c r="A1022" t="s">
        <v>1933</v>
      </c>
    </row>
    <row r="1023" spans="1:4" x14ac:dyDescent="0.35">
      <c r="A1023" t="s">
        <v>1934</v>
      </c>
    </row>
    <row r="1024" spans="1:4" x14ac:dyDescent="0.35">
      <c r="A1024" t="s">
        <v>1935</v>
      </c>
    </row>
    <row r="1025" spans="1:2" x14ac:dyDescent="0.35">
      <c r="A1025" t="s">
        <v>1936</v>
      </c>
    </row>
    <row r="1026" spans="1:2" x14ac:dyDescent="0.35">
      <c r="A1026" t="s">
        <v>1937</v>
      </c>
    </row>
    <row r="1027" spans="1:2" x14ac:dyDescent="0.35">
      <c r="A1027" t="s">
        <v>1938</v>
      </c>
    </row>
    <row r="1028" spans="1:2" x14ac:dyDescent="0.35">
      <c r="A1028" t="s">
        <v>1939</v>
      </c>
    </row>
    <row r="1029" spans="1:2" x14ac:dyDescent="0.35">
      <c r="A1029" t="s">
        <v>1940</v>
      </c>
    </row>
    <row r="1030" spans="1:2" x14ac:dyDescent="0.35">
      <c r="A1030" t="s">
        <v>1941</v>
      </c>
    </row>
    <row r="1031" spans="1:2" x14ac:dyDescent="0.35">
      <c r="A1031" t="s">
        <v>1942</v>
      </c>
    </row>
    <row r="1032" spans="1:2" x14ac:dyDescent="0.35">
      <c r="A1032" t="s">
        <v>1943</v>
      </c>
    </row>
    <row r="1033" spans="1:2" x14ac:dyDescent="0.35">
      <c r="A1033" t="s">
        <v>1944</v>
      </c>
    </row>
    <row r="1034" spans="1:2" x14ac:dyDescent="0.35">
      <c r="A1034" t="s">
        <v>1945</v>
      </c>
      <c r="B1034">
        <v>50</v>
      </c>
    </row>
    <row r="1035" spans="1:2" x14ac:dyDescent="0.35">
      <c r="A1035" t="s">
        <v>1946</v>
      </c>
    </row>
    <row r="1036" spans="1:2" x14ac:dyDescent="0.35">
      <c r="A1036" s="518" t="s">
        <v>2026</v>
      </c>
    </row>
    <row r="1037" spans="1:2" x14ac:dyDescent="0.35">
      <c r="A1037" s="518" t="s">
        <v>2027</v>
      </c>
    </row>
    <row r="1038" spans="1:2" x14ac:dyDescent="0.35">
      <c r="A1038" s="518" t="s">
        <v>2028</v>
      </c>
    </row>
    <row r="1039" spans="1:2" x14ac:dyDescent="0.35">
      <c r="A1039" s="518" t="s">
        <v>2029</v>
      </c>
    </row>
    <row r="1040" spans="1:2" x14ac:dyDescent="0.35">
      <c r="A1040" s="518" t="s">
        <v>2030</v>
      </c>
    </row>
    <row r="1041" spans="1:1" x14ac:dyDescent="0.35">
      <c r="A1041" s="518" t="s">
        <v>2031</v>
      </c>
    </row>
    <row r="1042" spans="1:1" x14ac:dyDescent="0.35">
      <c r="A1042" s="518" t="s">
        <v>2032</v>
      </c>
    </row>
    <row r="1043" spans="1:1" x14ac:dyDescent="0.35">
      <c r="A1043" s="518" t="s">
        <v>2033</v>
      </c>
    </row>
    <row r="1044" spans="1:1" x14ac:dyDescent="0.35">
      <c r="A1044" s="518" t="s">
        <v>2034</v>
      </c>
    </row>
    <row r="1045" spans="1:1" x14ac:dyDescent="0.35">
      <c r="A1045" s="518" t="s">
        <v>2035</v>
      </c>
    </row>
    <row r="1046" spans="1:1" x14ac:dyDescent="0.35">
      <c r="A1046" s="518" t="s">
        <v>2036</v>
      </c>
    </row>
    <row r="1047" spans="1:1" x14ac:dyDescent="0.35">
      <c r="A1047" s="518" t="s">
        <v>2037</v>
      </c>
    </row>
    <row r="1048" spans="1:1" x14ac:dyDescent="0.35">
      <c r="A1048" s="518" t="s">
        <v>2038</v>
      </c>
    </row>
    <row r="1049" spans="1:1" x14ac:dyDescent="0.35">
      <c r="A1049" s="518" t="s">
        <v>2039</v>
      </c>
    </row>
    <row r="1050" spans="1:1" x14ac:dyDescent="0.35">
      <c r="A1050" s="518" t="s">
        <v>2040</v>
      </c>
    </row>
    <row r="1051" spans="1:1" x14ac:dyDescent="0.35">
      <c r="A1051" s="518" t="s">
        <v>2041</v>
      </c>
    </row>
    <row r="1052" spans="1:1" x14ac:dyDescent="0.35">
      <c r="A1052" s="518" t="s">
        <v>2042</v>
      </c>
    </row>
    <row r="1053" spans="1:1" x14ac:dyDescent="0.35">
      <c r="A1053" s="518" t="s">
        <v>2043</v>
      </c>
    </row>
    <row r="1054" spans="1:1" x14ac:dyDescent="0.35">
      <c r="A1054" s="518" t="s">
        <v>2044</v>
      </c>
    </row>
    <row r="1055" spans="1:1" x14ac:dyDescent="0.35">
      <c r="A1055" s="518" t="s">
        <v>2045</v>
      </c>
    </row>
    <row r="1056" spans="1:1" x14ac:dyDescent="0.35">
      <c r="A1056" s="518" t="s">
        <v>2046</v>
      </c>
    </row>
    <row r="1057" spans="1:4" x14ac:dyDescent="0.35">
      <c r="A1057" s="518" t="s">
        <v>2047</v>
      </c>
    </row>
    <row r="1058" spans="1:4" x14ac:dyDescent="0.35">
      <c r="A1058" s="518" t="s">
        <v>2048</v>
      </c>
    </row>
    <row r="1059" spans="1:4" x14ac:dyDescent="0.35">
      <c r="A1059" s="518" t="s">
        <v>2049</v>
      </c>
    </row>
    <row r="1060" spans="1:4" x14ac:dyDescent="0.35">
      <c r="A1060" s="518" t="s">
        <v>2050</v>
      </c>
    </row>
    <row r="1061" spans="1:4" x14ac:dyDescent="0.35">
      <c r="A1061" s="518" t="s">
        <v>2051</v>
      </c>
    </row>
    <row r="1062" spans="1:4" x14ac:dyDescent="0.35">
      <c r="A1062" s="518" t="s">
        <v>2052</v>
      </c>
    </row>
    <row r="1063" spans="1:4" x14ac:dyDescent="0.35">
      <c r="A1063" s="518" t="s">
        <v>2053</v>
      </c>
    </row>
    <row r="1064" spans="1:4" x14ac:dyDescent="0.35">
      <c r="A1064" s="518" t="s">
        <v>2054</v>
      </c>
    </row>
    <row r="1065" spans="1:4" x14ac:dyDescent="0.35">
      <c r="A1065" s="518" t="s">
        <v>2055</v>
      </c>
    </row>
    <row r="1066" spans="1:4" x14ac:dyDescent="0.35">
      <c r="A1066" s="518" t="s">
        <v>2056</v>
      </c>
    </row>
    <row r="1067" spans="1:4" x14ac:dyDescent="0.35">
      <c r="A1067" s="518" t="s">
        <v>2181</v>
      </c>
      <c r="B1067" s="517"/>
      <c r="C1067" s="517"/>
      <c r="D1067" s="517"/>
    </row>
    <row r="1068" spans="1:4" x14ac:dyDescent="0.35">
      <c r="A1068" s="518" t="s">
        <v>2057</v>
      </c>
    </row>
    <row r="1069" spans="1:4" x14ac:dyDescent="0.35">
      <c r="A1069" s="518" t="s">
        <v>2058</v>
      </c>
    </row>
    <row r="1070" spans="1:4" x14ac:dyDescent="0.35">
      <c r="A1070" s="518" t="s">
        <v>2059</v>
      </c>
    </row>
    <row r="1071" spans="1:4" x14ac:dyDescent="0.35">
      <c r="A1071" s="518" t="s">
        <v>2060</v>
      </c>
    </row>
    <row r="1072" spans="1:4" x14ac:dyDescent="0.35">
      <c r="A1072" s="518" t="s">
        <v>2061</v>
      </c>
    </row>
    <row r="1073" spans="1:1" x14ac:dyDescent="0.35">
      <c r="A1073" s="518" t="s">
        <v>2062</v>
      </c>
    </row>
    <row r="1074" spans="1:1" x14ac:dyDescent="0.35">
      <c r="A1074" s="518" t="s">
        <v>2063</v>
      </c>
    </row>
    <row r="1075" spans="1:1" x14ac:dyDescent="0.35">
      <c r="A1075" s="518" t="s">
        <v>2064</v>
      </c>
    </row>
    <row r="1076" spans="1:1" x14ac:dyDescent="0.35">
      <c r="A1076" s="518" t="s">
        <v>2065</v>
      </c>
    </row>
    <row r="1077" spans="1:1" x14ac:dyDescent="0.35">
      <c r="A1077" s="518" t="s">
        <v>2066</v>
      </c>
    </row>
    <row r="1078" spans="1:1" x14ac:dyDescent="0.35">
      <c r="A1078" s="518" t="s">
        <v>2067</v>
      </c>
    </row>
    <row r="1079" spans="1:1" x14ac:dyDescent="0.35">
      <c r="A1079" s="518" t="s">
        <v>2068</v>
      </c>
    </row>
    <row r="1080" spans="1:1" x14ac:dyDescent="0.35">
      <c r="A1080" s="518" t="s">
        <v>2069</v>
      </c>
    </row>
    <row r="1081" spans="1:1" x14ac:dyDescent="0.35">
      <c r="A1081" s="518" t="s">
        <v>2070</v>
      </c>
    </row>
    <row r="1082" spans="1:1" x14ac:dyDescent="0.35">
      <c r="A1082" s="518" t="s">
        <v>2071</v>
      </c>
    </row>
    <row r="1083" spans="1:1" x14ac:dyDescent="0.35">
      <c r="A1083" s="518" t="s">
        <v>2072</v>
      </c>
    </row>
    <row r="1084" spans="1:1" x14ac:dyDescent="0.35">
      <c r="A1084" s="518" t="s">
        <v>2073</v>
      </c>
    </row>
    <row r="1085" spans="1:1" x14ac:dyDescent="0.35">
      <c r="A1085" s="518" t="s">
        <v>2074</v>
      </c>
    </row>
    <row r="1086" spans="1:1" x14ac:dyDescent="0.35">
      <c r="A1086" s="518" t="s">
        <v>2075</v>
      </c>
    </row>
    <row r="1087" spans="1:1" x14ac:dyDescent="0.35">
      <c r="A1087" s="518" t="s">
        <v>2076</v>
      </c>
    </row>
    <row r="1088" spans="1:1" x14ac:dyDescent="0.35">
      <c r="A1088" s="518" t="s">
        <v>2077</v>
      </c>
    </row>
    <row r="1089" spans="1:1" x14ac:dyDescent="0.35">
      <c r="A1089" s="518" t="s">
        <v>2078</v>
      </c>
    </row>
    <row r="1090" spans="1:1" x14ac:dyDescent="0.35">
      <c r="A1090" s="518" t="s">
        <v>2079</v>
      </c>
    </row>
    <row r="1091" spans="1:1" x14ac:dyDescent="0.35">
      <c r="A1091" s="518" t="s">
        <v>2080</v>
      </c>
    </row>
    <row r="1092" spans="1:1" x14ac:dyDescent="0.35">
      <c r="A1092" s="518" t="s">
        <v>2081</v>
      </c>
    </row>
    <row r="1093" spans="1:1" x14ac:dyDescent="0.35">
      <c r="A1093" s="518" t="s">
        <v>2082</v>
      </c>
    </row>
    <row r="1094" spans="1:1" x14ac:dyDescent="0.35">
      <c r="A1094" s="518" t="s">
        <v>2083</v>
      </c>
    </row>
    <row r="1095" spans="1:1" x14ac:dyDescent="0.35">
      <c r="A1095" s="518" t="s">
        <v>2084</v>
      </c>
    </row>
    <row r="1096" spans="1:1" x14ac:dyDescent="0.35">
      <c r="A1096" s="518" t="s">
        <v>2085</v>
      </c>
    </row>
    <row r="1097" spans="1:1" x14ac:dyDescent="0.35">
      <c r="A1097" s="518" t="s">
        <v>2086</v>
      </c>
    </row>
    <row r="1098" spans="1:1" x14ac:dyDescent="0.35">
      <c r="A1098" s="518" t="s">
        <v>2087</v>
      </c>
    </row>
    <row r="1099" spans="1:1" x14ac:dyDescent="0.35">
      <c r="A1099" t="s">
        <v>2088</v>
      </c>
    </row>
    <row r="1100" spans="1:1" x14ac:dyDescent="0.35">
      <c r="A1100" s="517" t="s">
        <v>2089</v>
      </c>
    </row>
    <row r="1101" spans="1:1" x14ac:dyDescent="0.35">
      <c r="A1101" s="517" t="s">
        <v>2090</v>
      </c>
    </row>
    <row r="1102" spans="1:1" x14ac:dyDescent="0.35">
      <c r="A1102" s="517" t="s">
        <v>2091</v>
      </c>
    </row>
    <row r="1103" spans="1:1" x14ac:dyDescent="0.35">
      <c r="A1103" s="517" t="s">
        <v>2092</v>
      </c>
    </row>
    <row r="1104" spans="1:1" x14ac:dyDescent="0.35">
      <c r="A1104" s="517" t="s">
        <v>2093</v>
      </c>
    </row>
    <row r="1105" spans="1:1" x14ac:dyDescent="0.35">
      <c r="A1105" s="517" t="s">
        <v>2094</v>
      </c>
    </row>
    <row r="1106" spans="1:1" x14ac:dyDescent="0.35">
      <c r="A1106" s="517" t="s">
        <v>2095</v>
      </c>
    </row>
    <row r="1107" spans="1:1" x14ac:dyDescent="0.35">
      <c r="A1107" s="517" t="s">
        <v>2096</v>
      </c>
    </row>
    <row r="1108" spans="1:1" x14ac:dyDescent="0.35">
      <c r="A1108" s="517" t="s">
        <v>2097</v>
      </c>
    </row>
    <row r="1109" spans="1:1" x14ac:dyDescent="0.35">
      <c r="A1109" s="517" t="s">
        <v>2098</v>
      </c>
    </row>
    <row r="1110" spans="1:1" x14ac:dyDescent="0.35">
      <c r="A1110" s="517" t="s">
        <v>2099</v>
      </c>
    </row>
    <row r="1111" spans="1:1" x14ac:dyDescent="0.35">
      <c r="A1111" s="517" t="s">
        <v>2100</v>
      </c>
    </row>
    <row r="1112" spans="1:1" x14ac:dyDescent="0.35">
      <c r="A1112" s="517" t="s">
        <v>2101</v>
      </c>
    </row>
    <row r="1113" spans="1:1" x14ac:dyDescent="0.35">
      <c r="A1113" s="517" t="s">
        <v>2102</v>
      </c>
    </row>
    <row r="1114" spans="1:1" x14ac:dyDescent="0.35">
      <c r="A1114" s="517" t="s">
        <v>2103</v>
      </c>
    </row>
    <row r="1115" spans="1:1" x14ac:dyDescent="0.35">
      <c r="A1115" s="517" t="s">
        <v>2104</v>
      </c>
    </row>
    <row r="1116" spans="1:1" x14ac:dyDescent="0.35">
      <c r="A1116" s="517" t="s">
        <v>2105</v>
      </c>
    </row>
    <row r="1117" spans="1:1" x14ac:dyDescent="0.35">
      <c r="A1117" s="517" t="s">
        <v>2106</v>
      </c>
    </row>
    <row r="1118" spans="1:1" x14ac:dyDescent="0.35">
      <c r="A1118" s="517" t="s">
        <v>2107</v>
      </c>
    </row>
    <row r="1119" spans="1:1" x14ac:dyDescent="0.35">
      <c r="A1119" s="517" t="s">
        <v>2108</v>
      </c>
    </row>
    <row r="1120" spans="1:1" x14ac:dyDescent="0.35">
      <c r="A1120" s="517" t="s">
        <v>2109</v>
      </c>
    </row>
    <row r="1121" spans="1:1" x14ac:dyDescent="0.35">
      <c r="A1121" s="517" t="s">
        <v>2110</v>
      </c>
    </row>
    <row r="1122" spans="1:1" x14ac:dyDescent="0.35">
      <c r="A1122" s="517" t="s">
        <v>2111</v>
      </c>
    </row>
    <row r="1123" spans="1:1" x14ac:dyDescent="0.35">
      <c r="A1123" s="517" t="s">
        <v>2112</v>
      </c>
    </row>
    <row r="1124" spans="1:1" x14ac:dyDescent="0.35">
      <c r="A1124" s="517" t="s">
        <v>2113</v>
      </c>
    </row>
    <row r="1125" spans="1:1" x14ac:dyDescent="0.35">
      <c r="A1125" s="517" t="s">
        <v>2114</v>
      </c>
    </row>
    <row r="1126" spans="1:1" x14ac:dyDescent="0.35">
      <c r="A1126" s="517" t="s">
        <v>2115</v>
      </c>
    </row>
    <row r="1127" spans="1:1" x14ac:dyDescent="0.35">
      <c r="A1127" s="517" t="s">
        <v>2116</v>
      </c>
    </row>
    <row r="1128" spans="1:1" x14ac:dyDescent="0.35">
      <c r="A1128" s="517" t="s">
        <v>2117</v>
      </c>
    </row>
    <row r="1129" spans="1:1" x14ac:dyDescent="0.35">
      <c r="A1129" s="517" t="s">
        <v>2118</v>
      </c>
    </row>
    <row r="1130" spans="1:1" x14ac:dyDescent="0.35">
      <c r="A1130" t="s">
        <v>2119</v>
      </c>
    </row>
    <row r="1131" spans="1:1" x14ac:dyDescent="0.35">
      <c r="A1131" s="517" t="s">
        <v>2120</v>
      </c>
    </row>
    <row r="1132" spans="1:1" x14ac:dyDescent="0.35">
      <c r="A1132" s="517" t="s">
        <v>2121</v>
      </c>
    </row>
    <row r="1133" spans="1:1" x14ac:dyDescent="0.35">
      <c r="A1133" s="517" t="s">
        <v>2122</v>
      </c>
    </row>
    <row r="1134" spans="1:1" x14ac:dyDescent="0.35">
      <c r="A1134" s="517" t="s">
        <v>2123</v>
      </c>
    </row>
    <row r="1135" spans="1:1" x14ac:dyDescent="0.35">
      <c r="A1135" s="517" t="s">
        <v>2124</v>
      </c>
    </row>
    <row r="1136" spans="1:1" x14ac:dyDescent="0.35">
      <c r="A1136" s="517" t="s">
        <v>2125</v>
      </c>
    </row>
    <row r="1137" spans="1:1" x14ac:dyDescent="0.35">
      <c r="A1137" s="517" t="s">
        <v>2126</v>
      </c>
    </row>
    <row r="1138" spans="1:1" x14ac:dyDescent="0.35">
      <c r="A1138" s="517" t="s">
        <v>2127</v>
      </c>
    </row>
    <row r="1139" spans="1:1" x14ac:dyDescent="0.35">
      <c r="A1139" s="517" t="s">
        <v>2128</v>
      </c>
    </row>
    <row r="1140" spans="1:1" x14ac:dyDescent="0.35">
      <c r="A1140" s="517" t="s">
        <v>2129</v>
      </c>
    </row>
    <row r="1141" spans="1:1" x14ac:dyDescent="0.35">
      <c r="A1141" s="517" t="s">
        <v>2130</v>
      </c>
    </row>
    <row r="1142" spans="1:1" x14ac:dyDescent="0.35">
      <c r="A1142" s="517" t="s">
        <v>2131</v>
      </c>
    </row>
    <row r="1143" spans="1:1" x14ac:dyDescent="0.35">
      <c r="A1143" s="517" t="s">
        <v>2132</v>
      </c>
    </row>
    <row r="1144" spans="1:1" x14ac:dyDescent="0.35">
      <c r="A1144" s="517" t="s">
        <v>2133</v>
      </c>
    </row>
    <row r="1145" spans="1:1" x14ac:dyDescent="0.35">
      <c r="A1145" s="517" t="s">
        <v>2134</v>
      </c>
    </row>
    <row r="1146" spans="1:1" x14ac:dyDescent="0.35">
      <c r="A1146" s="517" t="s">
        <v>2135</v>
      </c>
    </row>
    <row r="1147" spans="1:1" x14ac:dyDescent="0.35">
      <c r="A1147" s="517" t="s">
        <v>2136</v>
      </c>
    </row>
    <row r="1148" spans="1:1" x14ac:dyDescent="0.35">
      <c r="A1148" s="517" t="s">
        <v>2137</v>
      </c>
    </row>
    <row r="1149" spans="1:1" x14ac:dyDescent="0.35">
      <c r="A1149" s="517" t="s">
        <v>2138</v>
      </c>
    </row>
    <row r="1150" spans="1:1" x14ac:dyDescent="0.35">
      <c r="A1150" s="517" t="s">
        <v>2139</v>
      </c>
    </row>
    <row r="1151" spans="1:1" x14ac:dyDescent="0.35">
      <c r="A1151" s="517" t="s">
        <v>2140</v>
      </c>
    </row>
    <row r="1152" spans="1:1" x14ac:dyDescent="0.35">
      <c r="A1152" s="517" t="s">
        <v>2141</v>
      </c>
    </row>
    <row r="1153" spans="1:1" x14ac:dyDescent="0.35">
      <c r="A1153" s="517" t="s">
        <v>2142</v>
      </c>
    </row>
    <row r="1154" spans="1:1" x14ac:dyDescent="0.35">
      <c r="A1154" s="517" t="s">
        <v>2143</v>
      </c>
    </row>
    <row r="1155" spans="1:1" x14ac:dyDescent="0.35">
      <c r="A1155" s="517" t="s">
        <v>2144</v>
      </c>
    </row>
    <row r="1156" spans="1:1" x14ac:dyDescent="0.35">
      <c r="A1156" s="517" t="s">
        <v>2145</v>
      </c>
    </row>
    <row r="1157" spans="1:1" x14ac:dyDescent="0.35">
      <c r="A1157" s="517" t="s">
        <v>2146</v>
      </c>
    </row>
    <row r="1158" spans="1:1" x14ac:dyDescent="0.35">
      <c r="A1158" s="517" t="s">
        <v>2147</v>
      </c>
    </row>
    <row r="1159" spans="1:1" x14ac:dyDescent="0.35">
      <c r="A1159" s="517" t="s">
        <v>2148</v>
      </c>
    </row>
    <row r="1160" spans="1:1" x14ac:dyDescent="0.35">
      <c r="A1160" s="517" t="s">
        <v>2149</v>
      </c>
    </row>
    <row r="1161" spans="1:1" x14ac:dyDescent="0.35">
      <c r="A1161" t="s">
        <v>2150</v>
      </c>
    </row>
    <row r="1162" spans="1:1" x14ac:dyDescent="0.35">
      <c r="A1162" s="517" t="s">
        <v>2151</v>
      </c>
    </row>
    <row r="1163" spans="1:1" x14ac:dyDescent="0.35">
      <c r="A1163" s="517" t="s">
        <v>2152</v>
      </c>
    </row>
    <row r="1164" spans="1:1" x14ac:dyDescent="0.35">
      <c r="A1164" s="517" t="s">
        <v>2153</v>
      </c>
    </row>
    <row r="1165" spans="1:1" x14ac:dyDescent="0.35">
      <c r="A1165" s="517" t="s">
        <v>2154</v>
      </c>
    </row>
    <row r="1166" spans="1:1" x14ac:dyDescent="0.35">
      <c r="A1166" s="517" t="s">
        <v>2155</v>
      </c>
    </row>
    <row r="1167" spans="1:1" x14ac:dyDescent="0.35">
      <c r="A1167" s="517" t="s">
        <v>2156</v>
      </c>
    </row>
    <row r="1168" spans="1:1" x14ac:dyDescent="0.35">
      <c r="A1168" s="517" t="s">
        <v>2157</v>
      </c>
    </row>
    <row r="1169" spans="1:1" x14ac:dyDescent="0.35">
      <c r="A1169" s="517" t="s">
        <v>2158</v>
      </c>
    </row>
    <row r="1170" spans="1:1" x14ac:dyDescent="0.35">
      <c r="A1170" s="517" t="s">
        <v>2159</v>
      </c>
    </row>
    <row r="1171" spans="1:1" x14ac:dyDescent="0.35">
      <c r="A1171" s="517" t="s">
        <v>2160</v>
      </c>
    </row>
    <row r="1172" spans="1:1" x14ac:dyDescent="0.35">
      <c r="A1172" s="517" t="s">
        <v>2161</v>
      </c>
    </row>
    <row r="1173" spans="1:1" x14ac:dyDescent="0.35">
      <c r="A1173" s="517" t="s">
        <v>2162</v>
      </c>
    </row>
    <row r="1174" spans="1:1" x14ac:dyDescent="0.35">
      <c r="A1174" s="517" t="s">
        <v>2163</v>
      </c>
    </row>
    <row r="1175" spans="1:1" x14ac:dyDescent="0.35">
      <c r="A1175" s="517" t="s">
        <v>2164</v>
      </c>
    </row>
    <row r="1176" spans="1:1" x14ac:dyDescent="0.35">
      <c r="A1176" s="517" t="s">
        <v>2165</v>
      </c>
    </row>
    <row r="1177" spans="1:1" x14ac:dyDescent="0.35">
      <c r="A1177" s="517" t="s">
        <v>2166</v>
      </c>
    </row>
    <row r="1178" spans="1:1" x14ac:dyDescent="0.35">
      <c r="A1178" s="517" t="s">
        <v>2167</v>
      </c>
    </row>
    <row r="1179" spans="1:1" x14ac:dyDescent="0.35">
      <c r="A1179" s="517" t="s">
        <v>2168</v>
      </c>
    </row>
    <row r="1180" spans="1:1" x14ac:dyDescent="0.35">
      <c r="A1180" s="517" t="s">
        <v>2169</v>
      </c>
    </row>
    <row r="1181" spans="1:1" x14ac:dyDescent="0.35">
      <c r="A1181" s="517" t="s">
        <v>2170</v>
      </c>
    </row>
    <row r="1182" spans="1:1" x14ac:dyDescent="0.35">
      <c r="A1182" s="517" t="s">
        <v>2171</v>
      </c>
    </row>
    <row r="1183" spans="1:1" x14ac:dyDescent="0.35">
      <c r="A1183" s="517" t="s">
        <v>2172</v>
      </c>
    </row>
    <row r="1184" spans="1:1" x14ac:dyDescent="0.35">
      <c r="A1184" s="517" t="s">
        <v>2173</v>
      </c>
    </row>
    <row r="1185" spans="1:1" x14ac:dyDescent="0.35">
      <c r="A1185" s="517" t="s">
        <v>2174</v>
      </c>
    </row>
    <row r="1186" spans="1:1" x14ac:dyDescent="0.35">
      <c r="A1186" s="517" t="s">
        <v>2175</v>
      </c>
    </row>
    <row r="1187" spans="1:1" x14ac:dyDescent="0.35">
      <c r="A1187" s="517" t="s">
        <v>2176</v>
      </c>
    </row>
    <row r="1188" spans="1:1" x14ac:dyDescent="0.35">
      <c r="A1188" s="517" t="s">
        <v>2177</v>
      </c>
    </row>
    <row r="1189" spans="1:1" x14ac:dyDescent="0.35">
      <c r="A1189" s="517" t="s">
        <v>2178</v>
      </c>
    </row>
    <row r="1190" spans="1:1" x14ac:dyDescent="0.35">
      <c r="A1190" s="517" t="s">
        <v>2179</v>
      </c>
    </row>
    <row r="1191" spans="1:1" x14ac:dyDescent="0.35">
      <c r="A1191" s="517" t="s">
        <v>2180</v>
      </c>
    </row>
    <row r="1192" spans="1:1" x14ac:dyDescent="0.35">
      <c r="A1192" t="s">
        <v>2182</v>
      </c>
    </row>
    <row r="1193" spans="1:1" x14ac:dyDescent="0.35">
      <c r="A1193" s="517" t="s">
        <v>2183</v>
      </c>
    </row>
    <row r="1194" spans="1:1" x14ac:dyDescent="0.35">
      <c r="A1194" s="517" t="s">
        <v>2184</v>
      </c>
    </row>
    <row r="1195" spans="1:1" x14ac:dyDescent="0.35">
      <c r="A1195" s="517" t="s">
        <v>2185</v>
      </c>
    </row>
    <row r="1196" spans="1:1" x14ac:dyDescent="0.35">
      <c r="A1196" s="517" t="s">
        <v>2186</v>
      </c>
    </row>
    <row r="1197" spans="1:1" x14ac:dyDescent="0.35">
      <c r="A1197" s="517" t="s">
        <v>2187</v>
      </c>
    </row>
    <row r="1198" spans="1:1" x14ac:dyDescent="0.35">
      <c r="A1198" s="517" t="s">
        <v>2188</v>
      </c>
    </row>
    <row r="1199" spans="1:1" x14ac:dyDescent="0.35">
      <c r="A1199" s="517" t="s">
        <v>2189</v>
      </c>
    </row>
    <row r="1200" spans="1:1" x14ac:dyDescent="0.35">
      <c r="A1200" s="517" t="s">
        <v>2190</v>
      </c>
    </row>
    <row r="1201" spans="1:1" x14ac:dyDescent="0.35">
      <c r="A1201" s="517" t="s">
        <v>2191</v>
      </c>
    </row>
    <row r="1202" spans="1:1" x14ac:dyDescent="0.35">
      <c r="A1202" s="517" t="s">
        <v>2192</v>
      </c>
    </row>
    <row r="1203" spans="1:1" x14ac:dyDescent="0.35">
      <c r="A1203" s="517" t="s">
        <v>2193</v>
      </c>
    </row>
    <row r="1204" spans="1:1" x14ac:dyDescent="0.35">
      <c r="A1204" s="517" t="s">
        <v>2194</v>
      </c>
    </row>
    <row r="1205" spans="1:1" x14ac:dyDescent="0.35">
      <c r="A1205" s="517" t="s">
        <v>2195</v>
      </c>
    </row>
    <row r="1206" spans="1:1" x14ac:dyDescent="0.35">
      <c r="A1206" s="517" t="s">
        <v>2196</v>
      </c>
    </row>
    <row r="1207" spans="1:1" x14ac:dyDescent="0.35">
      <c r="A1207" s="517" t="s">
        <v>2197</v>
      </c>
    </row>
    <row r="1208" spans="1:1" x14ac:dyDescent="0.35">
      <c r="A1208" s="517" t="s">
        <v>2198</v>
      </c>
    </row>
    <row r="1209" spans="1:1" x14ac:dyDescent="0.35">
      <c r="A1209" s="517" t="s">
        <v>2199</v>
      </c>
    </row>
    <row r="1210" spans="1:1" x14ac:dyDescent="0.35">
      <c r="A1210" s="517" t="s">
        <v>2200</v>
      </c>
    </row>
    <row r="1211" spans="1:1" x14ac:dyDescent="0.35">
      <c r="A1211" s="517" t="s">
        <v>2201</v>
      </c>
    </row>
    <row r="1212" spans="1:1" x14ac:dyDescent="0.35">
      <c r="A1212" s="517" t="s">
        <v>2202</v>
      </c>
    </row>
    <row r="1213" spans="1:1" x14ac:dyDescent="0.35">
      <c r="A1213" s="517" t="s">
        <v>2203</v>
      </c>
    </row>
    <row r="1214" spans="1:1" x14ac:dyDescent="0.35">
      <c r="A1214" s="517" t="s">
        <v>2204</v>
      </c>
    </row>
    <row r="1215" spans="1:1" x14ac:dyDescent="0.35">
      <c r="A1215" s="517" t="s">
        <v>2205</v>
      </c>
    </row>
    <row r="1216" spans="1:1" x14ac:dyDescent="0.35">
      <c r="A1216" s="517" t="s">
        <v>2206</v>
      </c>
    </row>
    <row r="1217" spans="1:1" x14ac:dyDescent="0.35">
      <c r="A1217" s="517" t="s">
        <v>2207</v>
      </c>
    </row>
    <row r="1218" spans="1:1" x14ac:dyDescent="0.35">
      <c r="A1218" s="517" t="s">
        <v>2208</v>
      </c>
    </row>
    <row r="1219" spans="1:1" x14ac:dyDescent="0.35">
      <c r="A1219" s="517" t="s">
        <v>2209</v>
      </c>
    </row>
    <row r="1220" spans="1:1" x14ac:dyDescent="0.35">
      <c r="A1220" s="517" t="s">
        <v>2210</v>
      </c>
    </row>
    <row r="1221" spans="1:1" x14ac:dyDescent="0.35">
      <c r="A1221" s="517" t="s">
        <v>2211</v>
      </c>
    </row>
    <row r="1222" spans="1:1" x14ac:dyDescent="0.35">
      <c r="A1222" s="517" t="s">
        <v>2212</v>
      </c>
    </row>
    <row r="1223" spans="1:1" x14ac:dyDescent="0.35">
      <c r="A1223" t="s">
        <v>2213</v>
      </c>
    </row>
    <row r="1224" spans="1:1" x14ac:dyDescent="0.35">
      <c r="A1224" s="517" t="s">
        <v>2214</v>
      </c>
    </row>
    <row r="1225" spans="1:1" x14ac:dyDescent="0.35">
      <c r="A1225" s="517" t="s">
        <v>2215</v>
      </c>
    </row>
    <row r="1226" spans="1:1" x14ac:dyDescent="0.35">
      <c r="A1226" s="517" t="s">
        <v>2216</v>
      </c>
    </row>
    <row r="1227" spans="1:1" x14ac:dyDescent="0.35">
      <c r="A1227" s="517" t="s">
        <v>2217</v>
      </c>
    </row>
    <row r="1228" spans="1:1" x14ac:dyDescent="0.35">
      <c r="A1228" s="517" t="s">
        <v>2218</v>
      </c>
    </row>
    <row r="1229" spans="1:1" x14ac:dyDescent="0.35">
      <c r="A1229" s="517" t="s">
        <v>2219</v>
      </c>
    </row>
    <row r="1230" spans="1:1" x14ac:dyDescent="0.35">
      <c r="A1230" s="517" t="s">
        <v>2220</v>
      </c>
    </row>
    <row r="1231" spans="1:1" x14ac:dyDescent="0.35">
      <c r="A1231" s="517" t="s">
        <v>2221</v>
      </c>
    </row>
    <row r="1232" spans="1:1" x14ac:dyDescent="0.35">
      <c r="A1232" s="517" t="s">
        <v>2222</v>
      </c>
    </row>
    <row r="1233" spans="1:1" x14ac:dyDescent="0.35">
      <c r="A1233" s="517" t="s">
        <v>2223</v>
      </c>
    </row>
    <row r="1234" spans="1:1" x14ac:dyDescent="0.35">
      <c r="A1234" s="517" t="s">
        <v>2224</v>
      </c>
    </row>
    <row r="1235" spans="1:1" x14ac:dyDescent="0.35">
      <c r="A1235" s="517" t="s">
        <v>2225</v>
      </c>
    </row>
    <row r="1236" spans="1:1" x14ac:dyDescent="0.35">
      <c r="A1236" s="517" t="s">
        <v>2226</v>
      </c>
    </row>
    <row r="1237" spans="1:1" x14ac:dyDescent="0.35">
      <c r="A1237" s="517" t="s">
        <v>2227</v>
      </c>
    </row>
    <row r="1238" spans="1:1" x14ac:dyDescent="0.35">
      <c r="A1238" s="517" t="s">
        <v>2228</v>
      </c>
    </row>
    <row r="1239" spans="1:1" x14ac:dyDescent="0.35">
      <c r="A1239" s="517" t="s">
        <v>2229</v>
      </c>
    </row>
    <row r="1240" spans="1:1" x14ac:dyDescent="0.35">
      <c r="A1240" s="517" t="s">
        <v>2230</v>
      </c>
    </row>
    <row r="1241" spans="1:1" x14ac:dyDescent="0.35">
      <c r="A1241" s="517" t="s">
        <v>2231</v>
      </c>
    </row>
    <row r="1242" spans="1:1" x14ac:dyDescent="0.35">
      <c r="A1242" s="517" t="s">
        <v>2232</v>
      </c>
    </row>
    <row r="1243" spans="1:1" x14ac:dyDescent="0.35">
      <c r="A1243" s="517" t="s">
        <v>2233</v>
      </c>
    </row>
    <row r="1244" spans="1:1" x14ac:dyDescent="0.35">
      <c r="A1244" s="517" t="s">
        <v>2234</v>
      </c>
    </row>
    <row r="1245" spans="1:1" x14ac:dyDescent="0.35">
      <c r="A1245" s="517" t="s">
        <v>2235</v>
      </c>
    </row>
    <row r="1246" spans="1:1" x14ac:dyDescent="0.35">
      <c r="A1246" s="517" t="s">
        <v>2236</v>
      </c>
    </row>
    <row r="1247" spans="1:1" x14ac:dyDescent="0.35">
      <c r="A1247" s="517" t="s">
        <v>2237</v>
      </c>
    </row>
    <row r="1248" spans="1:1" x14ac:dyDescent="0.35">
      <c r="A1248" s="517" t="s">
        <v>2238</v>
      </c>
    </row>
    <row r="1249" spans="1:3" x14ac:dyDescent="0.35">
      <c r="A1249" s="517" t="s">
        <v>2239</v>
      </c>
    </row>
    <row r="1250" spans="1:3" x14ac:dyDescent="0.35">
      <c r="A1250" s="517" t="s">
        <v>2240</v>
      </c>
    </row>
    <row r="1251" spans="1:3" x14ac:dyDescent="0.35">
      <c r="A1251" s="517" t="s">
        <v>2241</v>
      </c>
    </row>
    <row r="1252" spans="1:3" x14ac:dyDescent="0.35">
      <c r="A1252" s="517" t="s">
        <v>2242</v>
      </c>
    </row>
    <row r="1253" spans="1:3" x14ac:dyDescent="0.35">
      <c r="A1253" s="517" t="s">
        <v>2243</v>
      </c>
    </row>
    <row r="1254" spans="1:3" x14ac:dyDescent="0.35">
      <c r="A1254" t="s">
        <v>2289</v>
      </c>
    </row>
    <row r="1255" spans="1:3" x14ac:dyDescent="0.35">
      <c r="A1255" t="s">
        <v>2290</v>
      </c>
      <c r="B1255">
        <v>0</v>
      </c>
      <c r="C1255">
        <v>0</v>
      </c>
    </row>
    <row r="1256" spans="1:3" x14ac:dyDescent="0.35">
      <c r="A1256" t="s">
        <v>2291</v>
      </c>
    </row>
    <row r="1257" spans="1:3" x14ac:dyDescent="0.35">
      <c r="A1257" t="s">
        <v>2292</v>
      </c>
      <c r="B1257">
        <v>0</v>
      </c>
      <c r="C1257">
        <v>0</v>
      </c>
    </row>
    <row r="1258" spans="1:3" x14ac:dyDescent="0.35">
      <c r="A1258" t="s">
        <v>2293</v>
      </c>
      <c r="B1258">
        <v>5000</v>
      </c>
      <c r="C1258">
        <v>5000</v>
      </c>
    </row>
    <row r="1259" spans="1:3" x14ac:dyDescent="0.35">
      <c r="A1259" t="s">
        <v>2294</v>
      </c>
      <c r="B1259">
        <v>0</v>
      </c>
      <c r="C1259">
        <v>0</v>
      </c>
    </row>
    <row r="1260" spans="1:3" x14ac:dyDescent="0.35">
      <c r="A1260" t="s">
        <v>2295</v>
      </c>
      <c r="B1260">
        <v>1</v>
      </c>
      <c r="C1260">
        <v>1</v>
      </c>
    </row>
    <row r="1261" spans="1:3" x14ac:dyDescent="0.35">
      <c r="A1261" t="s">
        <v>2296</v>
      </c>
      <c r="B1261">
        <v>1</v>
      </c>
      <c r="C1261" s="816">
        <v>1</v>
      </c>
    </row>
    <row r="1262" spans="1:3" x14ac:dyDescent="0.35">
      <c r="A1262" t="s">
        <v>2297</v>
      </c>
      <c r="B1262">
        <v>1</v>
      </c>
      <c r="C1262" s="816">
        <v>1</v>
      </c>
    </row>
    <row r="1263" spans="1:3" x14ac:dyDescent="0.35">
      <c r="A1263" t="s">
        <v>2298</v>
      </c>
      <c r="B1263">
        <v>1</v>
      </c>
      <c r="C1263" s="816">
        <v>1</v>
      </c>
    </row>
    <row r="1264" spans="1:3" x14ac:dyDescent="0.35">
      <c r="A1264" t="s">
        <v>2299</v>
      </c>
      <c r="B1264">
        <v>1</v>
      </c>
      <c r="C1264" s="816">
        <v>1</v>
      </c>
    </row>
    <row r="1265" spans="1:3" x14ac:dyDescent="0.35">
      <c r="A1265" t="s">
        <v>2300</v>
      </c>
      <c r="B1265">
        <v>1</v>
      </c>
      <c r="C1265" s="816">
        <v>1</v>
      </c>
    </row>
    <row r="1266" spans="1:3" x14ac:dyDescent="0.35">
      <c r="A1266" t="s">
        <v>2301</v>
      </c>
      <c r="B1266">
        <v>1</v>
      </c>
      <c r="C1266" s="816">
        <v>1</v>
      </c>
    </row>
    <row r="1267" spans="1:3" x14ac:dyDescent="0.35">
      <c r="A1267" t="s">
        <v>2302</v>
      </c>
      <c r="B1267">
        <v>1</v>
      </c>
      <c r="C1267" s="816">
        <v>1</v>
      </c>
    </row>
    <row r="1268" spans="1:3" x14ac:dyDescent="0.35">
      <c r="A1268" t="s">
        <v>2303</v>
      </c>
      <c r="B1268">
        <v>1</v>
      </c>
      <c r="C1268" s="816">
        <v>1</v>
      </c>
    </row>
    <row r="1269" spans="1:3" x14ac:dyDescent="0.35">
      <c r="A1269" t="s">
        <v>2304</v>
      </c>
      <c r="B1269">
        <v>1</v>
      </c>
      <c r="C1269" s="816">
        <v>1</v>
      </c>
    </row>
    <row r="1270" spans="1:3" x14ac:dyDescent="0.35">
      <c r="A1270" t="s">
        <v>2305</v>
      </c>
      <c r="B1270">
        <v>1</v>
      </c>
      <c r="C1270" s="817">
        <v>1</v>
      </c>
    </row>
    <row r="1271" spans="1:3" x14ac:dyDescent="0.35">
      <c r="A1271" t="s">
        <v>2306</v>
      </c>
      <c r="B1271">
        <v>0</v>
      </c>
      <c r="C1271" s="815">
        <v>0</v>
      </c>
    </row>
    <row r="1272" spans="1:3" x14ac:dyDescent="0.35">
      <c r="A1272" t="s">
        <v>2307</v>
      </c>
      <c r="B1272" t="b">
        <v>0</v>
      </c>
      <c r="C1272" s="818" t="b">
        <v>0</v>
      </c>
    </row>
    <row r="1273" spans="1:3" x14ac:dyDescent="0.35">
      <c r="A1273" t="s">
        <v>2308</v>
      </c>
      <c r="B1273" t="b">
        <v>0</v>
      </c>
      <c r="C1273" s="818" t="b">
        <v>0</v>
      </c>
    </row>
    <row r="1274" spans="1:3" x14ac:dyDescent="0.35">
      <c r="A1274" t="s">
        <v>2309</v>
      </c>
      <c r="B1274" t="b">
        <v>0</v>
      </c>
      <c r="C1274" s="818" t="b">
        <v>0</v>
      </c>
    </row>
    <row r="1275" spans="1:3" x14ac:dyDescent="0.35">
      <c r="A1275" t="s">
        <v>2310</v>
      </c>
      <c r="B1275" t="b">
        <v>0</v>
      </c>
      <c r="C1275" s="818" t="b">
        <v>0</v>
      </c>
    </row>
    <row r="1276" spans="1:3" x14ac:dyDescent="0.35">
      <c r="A1276" t="s">
        <v>2311</v>
      </c>
      <c r="B1276">
        <v>0</v>
      </c>
      <c r="C1276" s="815">
        <v>0</v>
      </c>
    </row>
    <row r="1277" spans="1:3" x14ac:dyDescent="0.35">
      <c r="A1277" t="s">
        <v>2312</v>
      </c>
      <c r="B1277">
        <v>0</v>
      </c>
      <c r="C1277" s="815">
        <v>0</v>
      </c>
    </row>
    <row r="1278" spans="1:3" x14ac:dyDescent="0.35">
      <c r="A1278" t="s">
        <v>2313</v>
      </c>
      <c r="B1278">
        <v>0</v>
      </c>
      <c r="C1278" s="815">
        <v>0</v>
      </c>
    </row>
    <row r="1279" spans="1:3" x14ac:dyDescent="0.35">
      <c r="A1279" t="s">
        <v>2314</v>
      </c>
      <c r="B1279">
        <v>0</v>
      </c>
      <c r="C1279">
        <v>0</v>
      </c>
    </row>
    <row r="1280" spans="1:3" x14ac:dyDescent="0.35">
      <c r="A1280" t="s">
        <v>2315</v>
      </c>
      <c r="B1280">
        <v>0</v>
      </c>
      <c r="C1280">
        <v>0</v>
      </c>
    </row>
    <row r="1281" spans="1:3" x14ac:dyDescent="0.35">
      <c r="A1281" t="s">
        <v>2316</v>
      </c>
      <c r="B1281">
        <v>0</v>
      </c>
      <c r="C1281">
        <v>0</v>
      </c>
    </row>
    <row r="1282" spans="1:3" x14ac:dyDescent="0.35">
      <c r="A1282" t="s">
        <v>2317</v>
      </c>
      <c r="B1282">
        <v>0</v>
      </c>
      <c r="C1282">
        <v>0</v>
      </c>
    </row>
    <row r="1283" spans="1:3" x14ac:dyDescent="0.35">
      <c r="A1283" t="s">
        <v>2318</v>
      </c>
      <c r="B1283">
        <v>0</v>
      </c>
      <c r="C1283">
        <v>0</v>
      </c>
    </row>
    <row r="1284" spans="1:3" x14ac:dyDescent="0.35">
      <c r="A1284" t="s">
        <v>2319</v>
      </c>
      <c r="B1284">
        <v>2</v>
      </c>
      <c r="C1284">
        <v>2</v>
      </c>
    </row>
    <row r="1285" spans="1:3" x14ac:dyDescent="0.35">
      <c r="A1285" t="s">
        <v>2320</v>
      </c>
      <c r="B1285">
        <v>0</v>
      </c>
      <c r="C1285">
        <v>0</v>
      </c>
    </row>
    <row r="1286" spans="1:3" x14ac:dyDescent="0.35">
      <c r="A1286" t="s">
        <v>2321</v>
      </c>
      <c r="B1286">
        <v>0</v>
      </c>
      <c r="C1286">
        <v>0</v>
      </c>
    </row>
    <row r="1287" spans="1:3" x14ac:dyDescent="0.35">
      <c r="A1287" t="s">
        <v>2322</v>
      </c>
      <c r="B1287">
        <v>2</v>
      </c>
      <c r="C1287">
        <v>2</v>
      </c>
    </row>
    <row r="1288" spans="1:3" x14ac:dyDescent="0.35">
      <c r="A1288" t="s">
        <v>2323</v>
      </c>
      <c r="B1288">
        <v>0</v>
      </c>
      <c r="C1288">
        <v>0</v>
      </c>
    </row>
    <row r="1289" spans="1:3" x14ac:dyDescent="0.35">
      <c r="A1289" t="s">
        <v>2324</v>
      </c>
      <c r="B1289">
        <v>0</v>
      </c>
      <c r="C1289">
        <v>0</v>
      </c>
    </row>
    <row r="1290" spans="1:3" x14ac:dyDescent="0.35">
      <c r="A1290" t="s">
        <v>2325</v>
      </c>
      <c r="B1290">
        <v>5000</v>
      </c>
      <c r="C1290">
        <v>5000</v>
      </c>
    </row>
    <row r="1291" spans="1:3" x14ac:dyDescent="0.35">
      <c r="A1291" t="s">
        <v>2326</v>
      </c>
      <c r="B1291">
        <v>5000</v>
      </c>
      <c r="C1291">
        <v>5000</v>
      </c>
    </row>
    <row r="1292" spans="1:3" x14ac:dyDescent="0.35">
      <c r="A1292" t="s">
        <v>2327</v>
      </c>
      <c r="B1292">
        <v>5000</v>
      </c>
      <c r="C1292">
        <v>5000</v>
      </c>
    </row>
    <row r="1293" spans="1:3" x14ac:dyDescent="0.35">
      <c r="A1293" t="s">
        <v>2328</v>
      </c>
      <c r="B1293">
        <v>1</v>
      </c>
      <c r="C1293" s="496">
        <v>1</v>
      </c>
    </row>
    <row r="1294" spans="1:3" x14ac:dyDescent="0.35">
      <c r="A1294" t="s">
        <v>2329</v>
      </c>
      <c r="B1294">
        <v>1</v>
      </c>
      <c r="C1294" s="496">
        <v>1</v>
      </c>
    </row>
    <row r="1295" spans="1:3" x14ac:dyDescent="0.35">
      <c r="A1295" t="s">
        <v>2330</v>
      </c>
      <c r="B1295">
        <v>1</v>
      </c>
      <c r="C1295" s="496">
        <v>1</v>
      </c>
    </row>
    <row r="1296" spans="1:3" x14ac:dyDescent="0.35">
      <c r="A1296" t="s">
        <v>2331</v>
      </c>
      <c r="B1296">
        <v>1</v>
      </c>
      <c r="C1296" s="496">
        <v>1</v>
      </c>
    </row>
    <row r="1297" spans="1:3" x14ac:dyDescent="0.35">
      <c r="A1297" t="s">
        <v>2332</v>
      </c>
      <c r="B1297">
        <v>1</v>
      </c>
      <c r="C1297" s="496">
        <v>1</v>
      </c>
    </row>
    <row r="1298" spans="1:3" x14ac:dyDescent="0.35">
      <c r="A1298" t="s">
        <v>2333</v>
      </c>
      <c r="B1298">
        <v>1</v>
      </c>
      <c r="C1298" s="496">
        <v>1</v>
      </c>
    </row>
    <row r="1299" spans="1:3" x14ac:dyDescent="0.35">
      <c r="A1299" t="s">
        <v>2334</v>
      </c>
      <c r="B1299">
        <v>1</v>
      </c>
      <c r="C1299" s="496">
        <v>1</v>
      </c>
    </row>
    <row r="1300" spans="1:3" x14ac:dyDescent="0.35">
      <c r="A1300" t="s">
        <v>2335</v>
      </c>
      <c r="B1300">
        <v>1</v>
      </c>
      <c r="C1300" s="496">
        <v>1</v>
      </c>
    </row>
    <row r="1301" spans="1:3" x14ac:dyDescent="0.35">
      <c r="A1301" t="s">
        <v>2336</v>
      </c>
      <c r="B1301">
        <v>1</v>
      </c>
      <c r="C1301" s="496">
        <v>1</v>
      </c>
    </row>
    <row r="1302" spans="1:3" x14ac:dyDescent="0.35">
      <c r="A1302" t="s">
        <v>2337</v>
      </c>
      <c r="B1302">
        <v>0</v>
      </c>
      <c r="C1302" s="496">
        <v>0</v>
      </c>
    </row>
    <row r="1303" spans="1:3" x14ac:dyDescent="0.35">
      <c r="A1303" t="s">
        <v>2338</v>
      </c>
      <c r="B1303">
        <v>0</v>
      </c>
      <c r="C1303" s="496">
        <v>0</v>
      </c>
    </row>
    <row r="1304" spans="1:3" x14ac:dyDescent="0.35">
      <c r="A1304" t="s">
        <v>2339</v>
      </c>
      <c r="B1304">
        <v>0</v>
      </c>
      <c r="C1304" s="496">
        <v>0</v>
      </c>
    </row>
    <row r="1305" spans="1:3" x14ac:dyDescent="0.35">
      <c r="A1305" t="s">
        <v>2340</v>
      </c>
      <c r="B1305">
        <v>0</v>
      </c>
      <c r="C1305" s="496">
        <v>0</v>
      </c>
    </row>
    <row r="1306" spans="1:3" x14ac:dyDescent="0.35">
      <c r="A1306" t="s">
        <v>2341</v>
      </c>
      <c r="B1306">
        <v>0</v>
      </c>
      <c r="C1306" s="496">
        <v>0</v>
      </c>
    </row>
    <row r="1307" spans="1:3" x14ac:dyDescent="0.35">
      <c r="A1307" t="s">
        <v>2342</v>
      </c>
      <c r="B1307">
        <v>0</v>
      </c>
      <c r="C1307" s="496">
        <v>0</v>
      </c>
    </row>
    <row r="1308" spans="1:3" x14ac:dyDescent="0.35">
      <c r="A1308" t="s">
        <v>2343</v>
      </c>
      <c r="B1308">
        <v>0</v>
      </c>
      <c r="C1308" s="496">
        <v>0</v>
      </c>
    </row>
    <row r="1309" spans="1:3" x14ac:dyDescent="0.35">
      <c r="A1309" t="s">
        <v>2344</v>
      </c>
      <c r="B1309">
        <v>0</v>
      </c>
      <c r="C1309" s="496">
        <v>0</v>
      </c>
    </row>
    <row r="1310" spans="1:3" x14ac:dyDescent="0.35">
      <c r="A1310" t="s">
        <v>2345</v>
      </c>
      <c r="B1310">
        <v>0</v>
      </c>
      <c r="C1310" s="496">
        <v>0</v>
      </c>
    </row>
    <row r="1311" spans="1:3" x14ac:dyDescent="0.35">
      <c r="A1311" t="s">
        <v>2346</v>
      </c>
    </row>
    <row r="1312" spans="1:3" x14ac:dyDescent="0.35">
      <c r="A1312" t="s">
        <v>2347</v>
      </c>
    </row>
    <row r="1313" spans="1:3" x14ac:dyDescent="0.35">
      <c r="A1313" t="s">
        <v>2348</v>
      </c>
      <c r="B1313">
        <v>5000</v>
      </c>
      <c r="C1313">
        <v>5000</v>
      </c>
    </row>
    <row r="1314" spans="1:3" x14ac:dyDescent="0.35">
      <c r="A1314" t="s">
        <v>2349</v>
      </c>
      <c r="B1314">
        <v>5000</v>
      </c>
      <c r="C1314">
        <v>5000</v>
      </c>
    </row>
    <row r="1315" spans="1:3" x14ac:dyDescent="0.35">
      <c r="A1315" t="s">
        <v>2350</v>
      </c>
      <c r="B1315">
        <v>5000</v>
      </c>
      <c r="C1315">
        <v>5000</v>
      </c>
    </row>
    <row r="1316" spans="1:3" x14ac:dyDescent="0.35">
      <c r="A1316" t="s">
        <v>2351</v>
      </c>
      <c r="B1316">
        <v>0</v>
      </c>
      <c r="C1316" s="820">
        <v>0</v>
      </c>
    </row>
    <row r="1317" spans="1:3" x14ac:dyDescent="0.35">
      <c r="A1317" t="s">
        <v>2352</v>
      </c>
      <c r="B1317">
        <v>0</v>
      </c>
      <c r="C1317" s="820">
        <v>0</v>
      </c>
    </row>
    <row r="1318" spans="1:3" x14ac:dyDescent="0.35">
      <c r="A1318" t="s">
        <v>2353</v>
      </c>
      <c r="B1318">
        <v>0</v>
      </c>
      <c r="C1318" s="820">
        <v>0</v>
      </c>
    </row>
    <row r="1319" spans="1:3" x14ac:dyDescent="0.35">
      <c r="A1319" t="s">
        <v>2354</v>
      </c>
      <c r="B1319">
        <v>0</v>
      </c>
      <c r="C1319" s="820">
        <v>0</v>
      </c>
    </row>
    <row r="1320" spans="1:3" x14ac:dyDescent="0.35">
      <c r="A1320" t="s">
        <v>2355</v>
      </c>
      <c r="B1320">
        <v>0</v>
      </c>
      <c r="C1320" s="820">
        <v>0</v>
      </c>
    </row>
    <row r="1321" spans="1:3" x14ac:dyDescent="0.35">
      <c r="A1321" t="s">
        <v>2356</v>
      </c>
      <c r="B1321">
        <v>0</v>
      </c>
      <c r="C1321" s="820">
        <v>0</v>
      </c>
    </row>
    <row r="1322" spans="1:3" x14ac:dyDescent="0.35">
      <c r="A1322" t="s">
        <v>2357</v>
      </c>
      <c r="B1322">
        <v>0</v>
      </c>
      <c r="C1322" s="820">
        <v>0</v>
      </c>
    </row>
    <row r="1323" spans="1:3" x14ac:dyDescent="0.35">
      <c r="A1323" t="s">
        <v>2358</v>
      </c>
      <c r="B1323">
        <v>0</v>
      </c>
      <c r="C1323" s="820">
        <v>0</v>
      </c>
    </row>
    <row r="1324" spans="1:3" x14ac:dyDescent="0.35">
      <c r="A1324" t="s">
        <v>2359</v>
      </c>
      <c r="B1324">
        <v>0</v>
      </c>
      <c r="C1324" s="820">
        <v>0</v>
      </c>
    </row>
    <row r="1325" spans="1:3" x14ac:dyDescent="0.35">
      <c r="A1325" t="s">
        <v>2360</v>
      </c>
      <c r="B1325">
        <v>1</v>
      </c>
      <c r="C1325" s="820">
        <v>1</v>
      </c>
    </row>
    <row r="1326" spans="1:3" x14ac:dyDescent="0.35">
      <c r="A1326" t="s">
        <v>2361</v>
      </c>
      <c r="B1326">
        <v>1</v>
      </c>
      <c r="C1326" s="820">
        <v>1</v>
      </c>
    </row>
    <row r="1327" spans="1:3" x14ac:dyDescent="0.35">
      <c r="A1327" t="s">
        <v>2362</v>
      </c>
      <c r="B1327">
        <v>1</v>
      </c>
      <c r="C1327" s="820">
        <v>1</v>
      </c>
    </row>
    <row r="1328" spans="1:3" x14ac:dyDescent="0.35">
      <c r="A1328" t="s">
        <v>2363</v>
      </c>
      <c r="B1328">
        <v>1</v>
      </c>
      <c r="C1328" s="820">
        <v>1</v>
      </c>
    </row>
    <row r="1329" spans="1:3" x14ac:dyDescent="0.35">
      <c r="A1329" t="s">
        <v>2364</v>
      </c>
      <c r="B1329">
        <v>1</v>
      </c>
      <c r="C1329" s="820">
        <v>1</v>
      </c>
    </row>
    <row r="1330" spans="1:3" x14ac:dyDescent="0.35">
      <c r="A1330" t="s">
        <v>2365</v>
      </c>
      <c r="B1330">
        <v>1</v>
      </c>
      <c r="C1330" s="820">
        <v>1</v>
      </c>
    </row>
    <row r="1331" spans="1:3" x14ac:dyDescent="0.35">
      <c r="A1331" t="s">
        <v>2366</v>
      </c>
      <c r="B1331">
        <v>1</v>
      </c>
      <c r="C1331" s="820">
        <v>1</v>
      </c>
    </row>
    <row r="1332" spans="1:3" x14ac:dyDescent="0.35">
      <c r="A1332" t="s">
        <v>2367</v>
      </c>
      <c r="B1332">
        <v>1</v>
      </c>
      <c r="C1332" s="820">
        <v>1</v>
      </c>
    </row>
    <row r="1333" spans="1:3" x14ac:dyDescent="0.35">
      <c r="A1333" t="s">
        <v>2368</v>
      </c>
      <c r="B1333">
        <v>1</v>
      </c>
      <c r="C1333" s="820">
        <v>1</v>
      </c>
    </row>
    <row r="1334" spans="1:3" x14ac:dyDescent="0.35">
      <c r="A1334" t="s">
        <v>2369</v>
      </c>
      <c r="B1334">
        <v>1</v>
      </c>
      <c r="C1334" s="815">
        <v>1</v>
      </c>
    </row>
    <row r="1335" spans="1:3" x14ac:dyDescent="0.35">
      <c r="A1335" t="s">
        <v>2370</v>
      </c>
      <c r="B1335">
        <v>1</v>
      </c>
      <c r="C1335" s="815">
        <v>1</v>
      </c>
    </row>
    <row r="1336" spans="1:3" x14ac:dyDescent="0.35">
      <c r="A1336" t="s">
        <v>2371</v>
      </c>
      <c r="B1336">
        <v>1</v>
      </c>
      <c r="C1336" s="815">
        <v>1</v>
      </c>
    </row>
    <row r="1337" spans="1:3" x14ac:dyDescent="0.35">
      <c r="A1337" t="s">
        <v>2372</v>
      </c>
      <c r="B1337" t="b">
        <v>0</v>
      </c>
      <c r="C1337" s="819" t="b">
        <v>0</v>
      </c>
    </row>
    <row r="1338" spans="1:3" x14ac:dyDescent="0.35">
      <c r="A1338" t="s">
        <v>2373</v>
      </c>
    </row>
    <row r="1339" spans="1:3" x14ac:dyDescent="0.35">
      <c r="A1339" t="s">
        <v>2374</v>
      </c>
      <c r="B1339">
        <v>1</v>
      </c>
      <c r="C1339" s="822">
        <v>1</v>
      </c>
    </row>
    <row r="1340" spans="1:3" x14ac:dyDescent="0.35">
      <c r="A1340" t="s">
        <v>2375</v>
      </c>
      <c r="B1340">
        <v>1</v>
      </c>
      <c r="C1340" s="822">
        <v>1</v>
      </c>
    </row>
    <row r="1341" spans="1:3" x14ac:dyDescent="0.35">
      <c r="A1341" t="s">
        <v>2376</v>
      </c>
      <c r="B1341">
        <v>1</v>
      </c>
      <c r="C1341" s="822">
        <v>1</v>
      </c>
    </row>
    <row r="1342" spans="1:3" x14ac:dyDescent="0.35">
      <c r="A1342" t="s">
        <v>2377</v>
      </c>
      <c r="B1342">
        <v>1</v>
      </c>
      <c r="C1342" s="822">
        <v>1</v>
      </c>
    </row>
    <row r="1343" spans="1:3" x14ac:dyDescent="0.35">
      <c r="A1343" t="s">
        <v>2378</v>
      </c>
      <c r="B1343">
        <v>1</v>
      </c>
      <c r="C1343" s="822">
        <v>1</v>
      </c>
    </row>
    <row r="1344" spans="1:3" x14ac:dyDescent="0.35">
      <c r="A1344" t="s">
        <v>2379</v>
      </c>
      <c r="B1344">
        <v>1</v>
      </c>
      <c r="C1344" s="822">
        <v>1</v>
      </c>
    </row>
    <row r="1345" spans="1:3" x14ac:dyDescent="0.35">
      <c r="A1345" t="s">
        <v>2380</v>
      </c>
      <c r="B1345">
        <v>1</v>
      </c>
      <c r="C1345" s="822">
        <v>1</v>
      </c>
    </row>
    <row r="1346" spans="1:3" x14ac:dyDescent="0.35">
      <c r="A1346" t="s">
        <v>2381</v>
      </c>
      <c r="B1346">
        <v>1</v>
      </c>
      <c r="C1346" s="822">
        <v>1</v>
      </c>
    </row>
    <row r="1347" spans="1:3" x14ac:dyDescent="0.35">
      <c r="A1347" t="s">
        <v>2382</v>
      </c>
      <c r="B1347">
        <v>1</v>
      </c>
      <c r="C1347" s="822">
        <v>1</v>
      </c>
    </row>
    <row r="1348" spans="1:3" x14ac:dyDescent="0.35">
      <c r="A1348" t="s">
        <v>2383</v>
      </c>
      <c r="B1348">
        <v>5000</v>
      </c>
      <c r="C1348" s="815">
        <v>5000</v>
      </c>
    </row>
    <row r="1349" spans="1:3" x14ac:dyDescent="0.35">
      <c r="A1349" t="s">
        <v>2384</v>
      </c>
      <c r="B1349">
        <v>5000</v>
      </c>
      <c r="C1349" s="815">
        <v>5000</v>
      </c>
    </row>
    <row r="1350" spans="1:3" x14ac:dyDescent="0.35">
      <c r="A1350" t="s">
        <v>2385</v>
      </c>
      <c r="B1350">
        <v>5000</v>
      </c>
      <c r="C1350" s="815">
        <v>5000</v>
      </c>
    </row>
    <row r="1351" spans="1:3" x14ac:dyDescent="0.35">
      <c r="A1351" t="s">
        <v>2386</v>
      </c>
      <c r="B1351">
        <v>0</v>
      </c>
      <c r="C1351" s="815">
        <v>0</v>
      </c>
    </row>
    <row r="1352" spans="1:3" x14ac:dyDescent="0.35">
      <c r="A1352" t="s">
        <v>2387</v>
      </c>
      <c r="B1352">
        <v>0</v>
      </c>
      <c r="C1352" s="815">
        <v>0</v>
      </c>
    </row>
    <row r="1353" spans="1:3" x14ac:dyDescent="0.35">
      <c r="A1353" t="s">
        <v>2388</v>
      </c>
      <c r="B1353">
        <v>0</v>
      </c>
      <c r="C1353" s="815">
        <v>0</v>
      </c>
    </row>
    <row r="1354" spans="1:3" x14ac:dyDescent="0.35">
      <c r="A1354" t="s">
        <v>2389</v>
      </c>
      <c r="B1354">
        <v>0</v>
      </c>
      <c r="C1354" s="815">
        <v>0</v>
      </c>
    </row>
    <row r="1355" spans="1:3" x14ac:dyDescent="0.35">
      <c r="A1355" t="s">
        <v>2390</v>
      </c>
      <c r="B1355">
        <v>0</v>
      </c>
      <c r="C1355" s="815">
        <v>0</v>
      </c>
    </row>
    <row r="1356" spans="1:3" x14ac:dyDescent="0.35">
      <c r="A1356" t="s">
        <v>2391</v>
      </c>
      <c r="B1356">
        <v>0</v>
      </c>
      <c r="C1356" s="815">
        <v>0</v>
      </c>
    </row>
    <row r="1357" spans="1:3" x14ac:dyDescent="0.35">
      <c r="A1357" t="s">
        <v>2392</v>
      </c>
      <c r="B1357">
        <v>0</v>
      </c>
      <c r="C1357" s="815">
        <v>0</v>
      </c>
    </row>
    <row r="1358" spans="1:3" x14ac:dyDescent="0.35">
      <c r="A1358" t="s">
        <v>2393</v>
      </c>
      <c r="B1358">
        <v>0</v>
      </c>
      <c r="C1358" s="815">
        <v>0</v>
      </c>
    </row>
    <row r="1359" spans="1:3" x14ac:dyDescent="0.35">
      <c r="A1359" t="s">
        <v>2394</v>
      </c>
      <c r="B1359">
        <v>0</v>
      </c>
      <c r="C1359" s="815">
        <v>0</v>
      </c>
    </row>
    <row r="1360" spans="1:3" x14ac:dyDescent="0.35">
      <c r="A1360" t="s">
        <v>2395</v>
      </c>
      <c r="B1360">
        <v>0</v>
      </c>
      <c r="C1360" s="815">
        <v>0</v>
      </c>
    </row>
    <row r="1361" spans="1:3" x14ac:dyDescent="0.35">
      <c r="A1361" t="s">
        <v>2396</v>
      </c>
      <c r="B1361">
        <v>0</v>
      </c>
      <c r="C1361" s="815">
        <v>0</v>
      </c>
    </row>
    <row r="1362" spans="1:3" x14ac:dyDescent="0.35">
      <c r="A1362" t="s">
        <v>2397</v>
      </c>
      <c r="B1362">
        <v>0</v>
      </c>
      <c r="C1362" s="815">
        <v>0</v>
      </c>
    </row>
    <row r="1363" spans="1:3" x14ac:dyDescent="0.35">
      <c r="A1363" t="s">
        <v>2398</v>
      </c>
    </row>
    <row r="1364" spans="1:3" x14ac:dyDescent="0.35">
      <c r="A1364" t="s">
        <v>2399</v>
      </c>
      <c r="B1364">
        <v>2</v>
      </c>
      <c r="C1364" s="823">
        <v>2</v>
      </c>
    </row>
    <row r="1365" spans="1:3" x14ac:dyDescent="0.35">
      <c r="A1365" t="s">
        <v>2400</v>
      </c>
      <c r="B1365">
        <v>1</v>
      </c>
      <c r="C1365" s="823">
        <v>1</v>
      </c>
    </row>
    <row r="1366" spans="1:3" x14ac:dyDescent="0.35">
      <c r="A1366" t="s">
        <v>2401</v>
      </c>
      <c r="B1366">
        <v>1</v>
      </c>
      <c r="C1366" s="823">
        <v>1</v>
      </c>
    </row>
    <row r="1367" spans="1:3" x14ac:dyDescent="0.35">
      <c r="A1367" t="s">
        <v>2402</v>
      </c>
      <c r="B1367">
        <v>1</v>
      </c>
      <c r="C1367" s="823">
        <v>1</v>
      </c>
    </row>
    <row r="1368" spans="1:3" x14ac:dyDescent="0.35">
      <c r="A1368" t="s">
        <v>2403</v>
      </c>
      <c r="B1368">
        <v>1</v>
      </c>
      <c r="C1368" s="823">
        <v>1</v>
      </c>
    </row>
    <row r="1369" spans="1:3" x14ac:dyDescent="0.35">
      <c r="A1369" t="s">
        <v>2404</v>
      </c>
      <c r="B1369">
        <v>1</v>
      </c>
      <c r="C1369" s="823">
        <v>1</v>
      </c>
    </row>
    <row r="1370" spans="1:3" x14ac:dyDescent="0.35">
      <c r="A1370" t="s">
        <v>2405</v>
      </c>
      <c r="B1370">
        <v>1</v>
      </c>
      <c r="C1370" s="823">
        <v>1</v>
      </c>
    </row>
    <row r="1371" spans="1:3" x14ac:dyDescent="0.35">
      <c r="A1371" t="s">
        <v>2406</v>
      </c>
      <c r="B1371">
        <v>1</v>
      </c>
      <c r="C1371" s="823">
        <v>1</v>
      </c>
    </row>
    <row r="1372" spans="1:3" x14ac:dyDescent="0.35">
      <c r="A1372" t="s">
        <v>2407</v>
      </c>
      <c r="B1372">
        <v>1</v>
      </c>
      <c r="C1372" s="823">
        <v>1</v>
      </c>
    </row>
    <row r="1373" spans="1:3" x14ac:dyDescent="0.35">
      <c r="A1373" t="s">
        <v>2408</v>
      </c>
      <c r="B1373">
        <v>1</v>
      </c>
      <c r="C1373" s="823">
        <v>1</v>
      </c>
    </row>
    <row r="1374" spans="1:3" x14ac:dyDescent="0.35">
      <c r="A1374" t="s">
        <v>2409</v>
      </c>
    </row>
    <row r="1375" spans="1:3" x14ac:dyDescent="0.35">
      <c r="A1375" t="s">
        <v>2410</v>
      </c>
      <c r="B1375">
        <v>30</v>
      </c>
      <c r="C1375">
        <v>30</v>
      </c>
    </row>
    <row r="1376" spans="1:3" x14ac:dyDescent="0.35">
      <c r="A1376" t="s">
        <v>2424</v>
      </c>
      <c r="B1376">
        <v>1</v>
      </c>
      <c r="C1376">
        <v>1</v>
      </c>
    </row>
    <row r="1377" spans="1:3" x14ac:dyDescent="0.35">
      <c r="A1377" s="518" t="s">
        <v>2429</v>
      </c>
      <c r="B1377">
        <v>1</v>
      </c>
      <c r="C1377">
        <v>1</v>
      </c>
    </row>
    <row r="1378" spans="1:3" x14ac:dyDescent="0.35">
      <c r="A1378" s="517" t="s">
        <v>2433</v>
      </c>
    </row>
    <row r="1379" spans="1:3" x14ac:dyDescent="0.35">
      <c r="A1379" s="517" t="s">
        <v>2434</v>
      </c>
    </row>
    <row r="1380" spans="1:3" x14ac:dyDescent="0.35">
      <c r="A1380" s="517" t="s">
        <v>2435</v>
      </c>
    </row>
    <row r="1381" spans="1:3" x14ac:dyDescent="0.35">
      <c r="A1381" s="517" t="s">
        <v>2436</v>
      </c>
    </row>
    <row r="1382" spans="1:3" x14ac:dyDescent="0.35">
      <c r="A1382" s="517" t="s">
        <v>2437</v>
      </c>
    </row>
    <row r="1383" spans="1:3" x14ac:dyDescent="0.35">
      <c r="A1383" s="517" t="s">
        <v>2438</v>
      </c>
    </row>
    <row r="1384" spans="1:3" x14ac:dyDescent="0.35">
      <c r="A1384" s="517" t="s">
        <v>2439</v>
      </c>
    </row>
    <row r="1385" spans="1:3" x14ac:dyDescent="0.35">
      <c r="A1385" s="517" t="s">
        <v>2440</v>
      </c>
    </row>
    <row r="1386" spans="1:3" x14ac:dyDescent="0.35">
      <c r="A1386" s="517" t="s">
        <v>2441</v>
      </c>
    </row>
    <row r="1387" spans="1:3" x14ac:dyDescent="0.35">
      <c r="A1387" s="517" t="s">
        <v>2442</v>
      </c>
    </row>
    <row r="1388" spans="1:3" x14ac:dyDescent="0.35">
      <c r="A1388" s="517" t="s">
        <v>2443</v>
      </c>
    </row>
    <row r="1389" spans="1:3" x14ac:dyDescent="0.35">
      <c r="A1389" s="517" t="s">
        <v>2444</v>
      </c>
    </row>
    <row r="1390" spans="1:3" x14ac:dyDescent="0.35">
      <c r="A1390" s="517" t="s">
        <v>2445</v>
      </c>
    </row>
    <row r="1391" spans="1:3" x14ac:dyDescent="0.35">
      <c r="A1391" s="517" t="s">
        <v>2446</v>
      </c>
    </row>
    <row r="1392" spans="1:3" x14ac:dyDescent="0.35">
      <c r="A1392" s="517" t="s">
        <v>2447</v>
      </c>
    </row>
    <row r="1393" spans="1:1" x14ac:dyDescent="0.35">
      <c r="A1393" s="517" t="s">
        <v>2448</v>
      </c>
    </row>
    <row r="1394" spans="1:1" x14ac:dyDescent="0.35">
      <c r="A1394" s="517" t="s">
        <v>2449</v>
      </c>
    </row>
    <row r="1395" spans="1:1" x14ac:dyDescent="0.35">
      <c r="A1395" s="517" t="s">
        <v>2450</v>
      </c>
    </row>
    <row r="1396" spans="1:1" x14ac:dyDescent="0.35">
      <c r="A1396" s="517" t="s">
        <v>2451</v>
      </c>
    </row>
    <row r="1397" spans="1:1" x14ac:dyDescent="0.35">
      <c r="A1397" s="517" t="s">
        <v>2452</v>
      </c>
    </row>
    <row r="1398" spans="1:1" x14ac:dyDescent="0.35">
      <c r="A1398" s="517" t="s">
        <v>2453</v>
      </c>
    </row>
    <row r="1399" spans="1:1" x14ac:dyDescent="0.35">
      <c r="A1399" s="517" t="s">
        <v>2454</v>
      </c>
    </row>
    <row r="1400" spans="1:1" x14ac:dyDescent="0.35">
      <c r="A1400" s="517" t="s">
        <v>2455</v>
      </c>
    </row>
    <row r="1401" spans="1:1" x14ac:dyDescent="0.35">
      <c r="A1401" s="517" t="s">
        <v>2456</v>
      </c>
    </row>
    <row r="1402" spans="1:1" x14ac:dyDescent="0.35">
      <c r="A1402" s="517" t="s">
        <v>2457</v>
      </c>
    </row>
    <row r="1403" spans="1:1" x14ac:dyDescent="0.35">
      <c r="A1403" s="517" t="s">
        <v>2458</v>
      </c>
    </row>
    <row r="1404" spans="1:1" x14ac:dyDescent="0.35">
      <c r="A1404" s="517" t="s">
        <v>2459</v>
      </c>
    </row>
    <row r="1405" spans="1:1" x14ac:dyDescent="0.35">
      <c r="A1405" s="517" t="s">
        <v>2460</v>
      </c>
    </row>
    <row r="1406" spans="1:1" x14ac:dyDescent="0.35">
      <c r="A1406" s="517" t="s">
        <v>2461</v>
      </c>
    </row>
    <row r="1407" spans="1:1" x14ac:dyDescent="0.35">
      <c r="A1407" s="517" t="s">
        <v>2462</v>
      </c>
    </row>
    <row r="1408" spans="1:1" x14ac:dyDescent="0.35">
      <c r="A1408" s="517" t="s">
        <v>2463</v>
      </c>
    </row>
    <row r="1409" spans="1:1" x14ac:dyDescent="0.35">
      <c r="A1409" s="517" t="s">
        <v>2464</v>
      </c>
    </row>
    <row r="1410" spans="1:1" x14ac:dyDescent="0.35">
      <c r="A1410" s="517" t="s">
        <v>2465</v>
      </c>
    </row>
    <row r="1411" spans="1:1" x14ac:dyDescent="0.35">
      <c r="A1411" s="517" t="s">
        <v>2466</v>
      </c>
    </row>
    <row r="1412" spans="1:1" x14ac:dyDescent="0.35">
      <c r="A1412" s="517" t="s">
        <v>2467</v>
      </c>
    </row>
    <row r="1413" spans="1:1" x14ac:dyDescent="0.35">
      <c r="A1413" s="517" t="s">
        <v>2468</v>
      </c>
    </row>
    <row r="1414" spans="1:1" x14ac:dyDescent="0.35">
      <c r="A1414" s="517" t="s">
        <v>2469</v>
      </c>
    </row>
    <row r="1415" spans="1:1" x14ac:dyDescent="0.35">
      <c r="A1415" s="517" t="s">
        <v>2470</v>
      </c>
    </row>
    <row r="1416" spans="1:1" x14ac:dyDescent="0.35">
      <c r="A1416" s="517" t="s">
        <v>2471</v>
      </c>
    </row>
    <row r="1417" spans="1:1" x14ac:dyDescent="0.35">
      <c r="A1417" s="517" t="s">
        <v>2472</v>
      </c>
    </row>
    <row r="1418" spans="1:1" x14ac:dyDescent="0.35">
      <c r="A1418" s="517" t="s">
        <v>2473</v>
      </c>
    </row>
    <row r="1419" spans="1:1" x14ac:dyDescent="0.35">
      <c r="A1419" s="517" t="s">
        <v>2474</v>
      </c>
    </row>
    <row r="1420" spans="1:1" x14ac:dyDescent="0.35">
      <c r="A1420" s="517" t="s">
        <v>2475</v>
      </c>
    </row>
    <row r="1421" spans="1:1" x14ac:dyDescent="0.35">
      <c r="A1421" s="517" t="s">
        <v>2476</v>
      </c>
    </row>
    <row r="1422" spans="1:1" x14ac:dyDescent="0.35">
      <c r="A1422" s="517" t="s">
        <v>2477</v>
      </c>
    </row>
    <row r="1423" spans="1:1" x14ac:dyDescent="0.35">
      <c r="A1423" s="517" t="s">
        <v>2478</v>
      </c>
    </row>
    <row r="1424" spans="1:1" x14ac:dyDescent="0.35">
      <c r="A1424" s="517" t="s">
        <v>2479</v>
      </c>
    </row>
    <row r="1425" spans="1:1" x14ac:dyDescent="0.35">
      <c r="A1425" s="517" t="s">
        <v>2480</v>
      </c>
    </row>
    <row r="1426" spans="1:1" x14ac:dyDescent="0.35">
      <c r="A1426" s="517" t="s">
        <v>2481</v>
      </c>
    </row>
    <row r="1427" spans="1:1" x14ac:dyDescent="0.35">
      <c r="A1427" s="517" t="s">
        <v>2482</v>
      </c>
    </row>
    <row r="1428" spans="1:1" x14ac:dyDescent="0.35">
      <c r="A1428" s="517" t="s">
        <v>2483</v>
      </c>
    </row>
    <row r="1429" spans="1:1" x14ac:dyDescent="0.35">
      <c r="A1429" s="517" t="s">
        <v>2484</v>
      </c>
    </row>
    <row r="1430" spans="1:1" x14ac:dyDescent="0.35">
      <c r="A1430" s="517" t="s">
        <v>2485</v>
      </c>
    </row>
    <row r="1431" spans="1:1" x14ac:dyDescent="0.35">
      <c r="A1431" s="517" t="s">
        <v>2486</v>
      </c>
    </row>
    <row r="1432" spans="1:1" x14ac:dyDescent="0.35">
      <c r="A1432" s="517" t="s">
        <v>2487</v>
      </c>
    </row>
    <row r="1433" spans="1:1" x14ac:dyDescent="0.35">
      <c r="A1433" s="517" t="s">
        <v>2488</v>
      </c>
    </row>
    <row r="1434" spans="1:1" x14ac:dyDescent="0.35">
      <c r="A1434" s="517" t="s">
        <v>2489</v>
      </c>
    </row>
    <row r="1435" spans="1:1" x14ac:dyDescent="0.35">
      <c r="A1435" s="517" t="s">
        <v>2490</v>
      </c>
    </row>
    <row r="1436" spans="1:1" x14ac:dyDescent="0.35">
      <c r="A1436" s="517" t="s">
        <v>2491</v>
      </c>
    </row>
    <row r="1437" spans="1:1" x14ac:dyDescent="0.35">
      <c r="A1437" s="517" t="s">
        <v>2492</v>
      </c>
    </row>
    <row r="1438" spans="1:1" x14ac:dyDescent="0.35">
      <c r="A1438" s="517" t="s">
        <v>2493</v>
      </c>
    </row>
    <row r="1439" spans="1:1" x14ac:dyDescent="0.35">
      <c r="A1439" s="517" t="s">
        <v>2494</v>
      </c>
    </row>
    <row r="1440" spans="1:1" x14ac:dyDescent="0.35">
      <c r="A1440" s="522" t="s">
        <v>2417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769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  <c r="G1" t="s">
        <v>572</v>
      </c>
      <c r="H1" t="s">
        <v>265</v>
      </c>
      <c r="I1" t="s">
        <v>921</v>
      </c>
      <c r="J1" s="518" t="s">
        <v>1001</v>
      </c>
    </row>
    <row r="2" spans="1:10" x14ac:dyDescent="0.35">
      <c r="B2" s="30">
        <f ca="1" xml:space="preserve"> TODAY()</f>
        <v>42728</v>
      </c>
      <c r="C2" s="30">
        <v>42370</v>
      </c>
      <c r="D2" t="s">
        <v>562</v>
      </c>
      <c r="E2" t="s">
        <v>563</v>
      </c>
      <c r="F2" s="30">
        <v>42370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684</v>
      </c>
      <c r="D7" s="158" t="s">
        <v>440</v>
      </c>
      <c r="E7" s="143" t="s">
        <v>329</v>
      </c>
      <c r="F7" s="159"/>
      <c r="G7" s="143" t="s">
        <v>96</v>
      </c>
      <c r="H7" s="143" t="s">
        <v>685</v>
      </c>
      <c r="I7" s="143"/>
      <c r="J7" s="143" t="s">
        <v>631</v>
      </c>
      <c r="K7" s="143" t="s">
        <v>663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596</v>
      </c>
      <c r="D32" s="868">
        <f>GlobBerOpm!C4</f>
        <v>0</v>
      </c>
      <c r="E32" s="869"/>
      <c r="F32" s="869"/>
      <c r="G32" s="869"/>
      <c r="H32" s="869"/>
      <c r="I32" s="869"/>
      <c r="J32" s="869"/>
      <c r="K32" s="869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9"/>
      <c r="E33" s="869"/>
      <c r="F33" s="869"/>
      <c r="G33" s="869"/>
      <c r="H33" s="869"/>
      <c r="I33" s="869"/>
      <c r="J33" s="869"/>
      <c r="K33" s="869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9"/>
      <c r="E34" s="869"/>
      <c r="F34" s="869"/>
      <c r="G34" s="869"/>
      <c r="H34" s="869"/>
      <c r="I34" s="869"/>
      <c r="J34" s="869"/>
      <c r="K34" s="869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9"/>
      <c r="E35" s="869"/>
      <c r="F35" s="869"/>
      <c r="G35" s="869"/>
      <c r="H35" s="869"/>
      <c r="I35" s="869"/>
      <c r="J35" s="869"/>
      <c r="K35" s="869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9"/>
      <c r="E36" s="869"/>
      <c r="F36" s="869"/>
      <c r="G36" s="869"/>
      <c r="H36" s="869"/>
      <c r="I36" s="869"/>
      <c r="J36" s="869"/>
      <c r="K36" s="869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H24" sqref="H24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968</v>
      </c>
      <c r="B1" s="25" t="s">
        <v>508</v>
      </c>
      <c r="C1" s="25" t="s">
        <v>962</v>
      </c>
      <c r="D1" s="25" t="s">
        <v>440</v>
      </c>
      <c r="E1" s="264" t="s">
        <v>963</v>
      </c>
      <c r="F1" s="264" t="s">
        <v>2635</v>
      </c>
      <c r="G1" s="264" t="s">
        <v>2636</v>
      </c>
      <c r="H1" s="264" t="s">
        <v>2637</v>
      </c>
      <c r="I1" s="264" t="s">
        <v>964</v>
      </c>
      <c r="J1" s="264" t="s">
        <v>96</v>
      </c>
      <c r="K1" s="264" t="s">
        <v>965</v>
      </c>
      <c r="L1" s="264" t="s">
        <v>966</v>
      </c>
      <c r="M1" s="264" t="s">
        <v>967</v>
      </c>
      <c r="N1" s="25" t="s">
        <v>578</v>
      </c>
      <c r="O1" s="25" t="s">
        <v>472</v>
      </c>
      <c r="P1" s="25" t="s">
        <v>473</v>
      </c>
      <c r="Q1" s="25" t="s">
        <v>839</v>
      </c>
      <c r="R1" s="25" t="s">
        <v>466</v>
      </c>
      <c r="T1" s="25" t="s">
        <v>423</v>
      </c>
    </row>
    <row r="2" spans="1:22" x14ac:dyDescent="0.35">
      <c r="A2">
        <v>0</v>
      </c>
      <c r="B2" s="834">
        <v>0</v>
      </c>
      <c r="C2" s="834">
        <v>1</v>
      </c>
      <c r="D2" s="834">
        <v>0</v>
      </c>
      <c r="E2" s="834">
        <v>0</v>
      </c>
      <c r="F2" s="834"/>
      <c r="G2" s="834"/>
      <c r="H2" s="834" t="str">
        <f t="shared" ref="H2:H12" si="0">IF(B2&gt;1,ROUND(INDEX(tblMedicationContIV,B2,18)*J2/10,3),"")</f>
        <v/>
      </c>
    </row>
    <row r="3" spans="1:22" x14ac:dyDescent="0.35">
      <c r="A3">
        <v>1</v>
      </c>
      <c r="B3" s="834">
        <v>1</v>
      </c>
      <c r="C3" s="834">
        <v>2</v>
      </c>
      <c r="D3" s="834"/>
      <c r="E3" s="834"/>
      <c r="F3" s="834" t="str">
        <f t="shared" ref="F3:F12" si="1">IF(B3&gt;1,IF(D3&gt;0,D3,INDEX(tblMedicationContIV,B3,11)),"")</f>
        <v/>
      </c>
      <c r="G3" s="834" t="str">
        <f t="shared" ref="G3:G12" si="2">IF(B3&gt;1,IF(E3&gt;0,E3,INDEX(tblMedicationContIV,B3,12)),"")</f>
        <v/>
      </c>
      <c r="H3" s="834" t="str">
        <f t="shared" si="0"/>
        <v/>
      </c>
      <c r="I3">
        <v>1</v>
      </c>
      <c r="J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34">
        <v>1</v>
      </c>
      <c r="C4" s="834">
        <v>3</v>
      </c>
      <c r="D4" s="834"/>
      <c r="E4" s="834"/>
      <c r="F4" s="834" t="str">
        <f t="shared" si="1"/>
        <v/>
      </c>
      <c r="G4" s="834" t="str">
        <f t="shared" si="2"/>
        <v/>
      </c>
      <c r="H4" s="834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2244</v>
      </c>
    </row>
    <row r="5" spans="1:22" x14ac:dyDescent="0.35">
      <c r="A5">
        <v>3</v>
      </c>
      <c r="B5" s="834">
        <v>1</v>
      </c>
      <c r="C5" s="834">
        <v>4</v>
      </c>
      <c r="D5" s="834"/>
      <c r="E5" s="834"/>
      <c r="F5" s="834" t="str">
        <f t="shared" si="1"/>
        <v/>
      </c>
      <c r="G5" s="834" t="str">
        <f t="shared" si="2"/>
        <v/>
      </c>
      <c r="H5" s="834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579</v>
      </c>
    </row>
    <row r="6" spans="1:22" x14ac:dyDescent="0.35">
      <c r="A6" s="577">
        <v>4</v>
      </c>
      <c r="B6" s="834">
        <v>1</v>
      </c>
      <c r="C6" s="834">
        <v>5</v>
      </c>
      <c r="D6" s="834"/>
      <c r="E6" s="834"/>
      <c r="F6" s="834" t="str">
        <f t="shared" si="1"/>
        <v/>
      </c>
      <c r="G6" s="834" t="str">
        <f t="shared" si="2"/>
        <v/>
      </c>
      <c r="H6" s="834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580</v>
      </c>
    </row>
    <row r="7" spans="1:22" x14ac:dyDescent="0.35">
      <c r="A7">
        <v>5</v>
      </c>
      <c r="B7" s="834">
        <v>1</v>
      </c>
      <c r="C7" s="834">
        <v>6</v>
      </c>
      <c r="D7" s="834"/>
      <c r="E7" s="834"/>
      <c r="F7" s="834" t="str">
        <f t="shared" si="1"/>
        <v/>
      </c>
      <c r="G7" s="834" t="str">
        <f t="shared" si="2"/>
        <v/>
      </c>
      <c r="H7" s="834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34">
        <v>1</v>
      </c>
      <c r="C8" s="834">
        <v>7</v>
      </c>
      <c r="D8" s="834"/>
      <c r="E8" s="834"/>
      <c r="F8" s="834" t="str">
        <f t="shared" si="1"/>
        <v/>
      </c>
      <c r="G8" s="834" t="str">
        <f t="shared" si="2"/>
        <v/>
      </c>
      <c r="H8" s="834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34">
        <v>1</v>
      </c>
      <c r="C9" s="834">
        <v>8</v>
      </c>
      <c r="D9" s="834"/>
      <c r="E9" s="834"/>
      <c r="F9" s="834" t="str">
        <f t="shared" si="1"/>
        <v/>
      </c>
      <c r="G9" s="834" t="str">
        <f t="shared" si="2"/>
        <v/>
      </c>
      <c r="H9" s="834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34">
        <v>1</v>
      </c>
      <c r="C10" s="834">
        <v>9</v>
      </c>
      <c r="D10" s="834"/>
      <c r="E10" s="834"/>
      <c r="F10" s="834" t="str">
        <f t="shared" si="1"/>
        <v/>
      </c>
      <c r="G10" s="834" t="str">
        <f t="shared" si="2"/>
        <v/>
      </c>
      <c r="H10" s="834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34">
        <v>1</v>
      </c>
      <c r="C11" s="834">
        <v>10</v>
      </c>
      <c r="D11" s="834"/>
      <c r="E11" s="834"/>
      <c r="F11" s="834" t="str">
        <f t="shared" si="1"/>
        <v/>
      </c>
      <c r="G11" s="834" t="str">
        <f t="shared" si="2"/>
        <v/>
      </c>
      <c r="H11" s="834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34">
        <v>1</v>
      </c>
      <c r="C12" s="834">
        <v>11</v>
      </c>
      <c r="D12" s="834"/>
      <c r="E12" s="834"/>
      <c r="F12" s="834" t="str">
        <f t="shared" si="1"/>
        <v/>
      </c>
      <c r="G12" s="834" t="str">
        <f t="shared" si="2"/>
        <v/>
      </c>
      <c r="H12" s="834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34" t="str">
        <f>IFERROR(ROUND((J13/10)*U13/MedIVMlOpl_11/(Gewicht/10),3)&amp;" "&amp;V13&amp;"/kg/uur "&amp;"("&amp;ROUND((J13/10/60)*U13/MedIVMlOpl_11/(Gewicht/10),3)&amp;"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34" t="str">
        <f>IFERROR(ROUND((J14/10)*U14/MedIVMlOpl_11/(Gewicht/10),3)&amp;" "&amp;V14&amp;"/kg/uur "&amp;"("&amp;ROUND((J14/10/60)*U14/MedIVMlOpl_11/(Gewicht/10),3)&amp;"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34" t="str">
        <f>IFERROR(ROUND((J15/10)*U15/MedIVMlOpl_11/(Gewicht/10),3)&amp;" "&amp;V15&amp;"/kg/uur "&amp;"("&amp;ROUND((J15/10/60)*U15/MedIVMlOpl_11/(Gewicht/10),3)&amp;"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34" t="str">
        <f>IFERROR(ROUND((J16/10)*U16/MedIVMlOpl_11/(Gewicht/10),3)&amp;" "&amp;V16&amp;"/kg/uur "&amp;"("&amp;ROUND((J16/10/60)*U16/MedIVMlOpl_11/(Gewicht/10),3)&amp;"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34" t="str">
        <f>IFERROR(ROUND((J17/10)*U17/MedIVMlOpl_11/(Gewicht/10),3)&amp;" "&amp;V17&amp;"/kg/uur "&amp;"("&amp;ROUND((J17/10/60)*U17/MedIVMlOpl_11/(Gewicht/10),3)&amp;"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939</v>
      </c>
      <c r="H1" s="518" t="s">
        <v>940</v>
      </c>
      <c r="J1" s="263" t="s">
        <v>941</v>
      </c>
      <c r="L1" s="518" t="s">
        <v>957</v>
      </c>
      <c r="N1" s="518" t="s">
        <v>958</v>
      </c>
      <c r="P1" s="518" t="s">
        <v>959</v>
      </c>
    </row>
    <row r="2" spans="1:23" x14ac:dyDescent="0.35">
      <c r="B2" s="518" t="s">
        <v>942</v>
      </c>
      <c r="C2" s="518" t="s">
        <v>943</v>
      </c>
      <c r="D2" s="518" t="s">
        <v>944</v>
      </c>
      <c r="E2" s="518" t="s">
        <v>945</v>
      </c>
      <c r="F2" s="518" t="s">
        <v>946</v>
      </c>
      <c r="G2" s="518" t="s">
        <v>947</v>
      </c>
      <c r="H2" s="518" t="s">
        <v>946</v>
      </c>
      <c r="I2" s="518" t="s">
        <v>947</v>
      </c>
      <c r="J2" s="518" t="s">
        <v>946</v>
      </c>
      <c r="K2" s="518" t="s">
        <v>947</v>
      </c>
      <c r="L2" s="518" t="s">
        <v>946</v>
      </c>
      <c r="M2" s="518" t="s">
        <v>947</v>
      </c>
      <c r="N2" s="518" t="s">
        <v>946</v>
      </c>
      <c r="O2" s="518" t="s">
        <v>947</v>
      </c>
      <c r="P2" s="518" t="s">
        <v>946</v>
      </c>
      <c r="Q2" s="518" t="s">
        <v>947</v>
      </c>
      <c r="R2" s="518" t="s">
        <v>955</v>
      </c>
      <c r="S2" s="518" t="s">
        <v>956</v>
      </c>
      <c r="T2" s="518" t="s">
        <v>999</v>
      </c>
      <c r="U2" s="518" t="s">
        <v>1000</v>
      </c>
      <c r="V2" s="518" t="s">
        <v>2254</v>
      </c>
      <c r="W2" s="518" t="s">
        <v>2270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453</v>
      </c>
      <c r="C4" s="263" t="s">
        <v>891</v>
      </c>
      <c r="D4" s="263" t="str">
        <f>CONCATENATE(T4,"-",U4," ",C4)</f>
        <v>0,05-0,5 mcg/kg/min</v>
      </c>
      <c r="E4" s="263" t="s">
        <v>364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249</v>
      </c>
      <c r="C5" s="263" t="s">
        <v>738</v>
      </c>
      <c r="D5" s="263" t="str">
        <f t="shared" ref="D5:D10" si="4">CONCATENATE(T5,"-",U5," ",C5)</f>
        <v>1-2 gram/kg/dag</v>
      </c>
      <c r="E5" s="263" t="s">
        <v>130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326</v>
      </c>
      <c r="C6" s="263" t="s">
        <v>892</v>
      </c>
      <c r="D6" s="263" t="str">
        <f t="shared" si="4"/>
        <v>10-50 nanog/kg/min</v>
      </c>
      <c r="E6" s="518" t="s">
        <v>364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906</v>
      </c>
      <c r="C7" s="263" t="s">
        <v>891</v>
      </c>
      <c r="D7" s="263" t="str">
        <f t="shared" si="4"/>
        <v>5-15 mcg/kg/min</v>
      </c>
      <c r="E7" s="263" t="s">
        <v>364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85</v>
      </c>
      <c r="C8" s="263" t="s">
        <v>424</v>
      </c>
      <c r="D8" s="263" t="str">
        <f t="shared" si="4"/>
        <v>0,25-2 mcg/kg/uur</v>
      </c>
      <c r="E8" s="263" t="s">
        <v>364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683</v>
      </c>
      <c r="C9" s="263" t="s">
        <v>891</v>
      </c>
      <c r="D9" s="263" t="str">
        <f t="shared" si="4"/>
        <v>1-20 mcg/kg/min</v>
      </c>
      <c r="E9" s="263" t="s">
        <v>364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619</v>
      </c>
      <c r="C10" s="263" t="s">
        <v>891</v>
      </c>
      <c r="D10" s="263" t="str">
        <f t="shared" si="4"/>
        <v>1-20 mcg/kg/min</v>
      </c>
      <c r="E10" s="263" t="s">
        <v>364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975</v>
      </c>
      <c r="C11" s="263" t="s">
        <v>920</v>
      </c>
      <c r="D11" s="263" t="s">
        <v>976</v>
      </c>
      <c r="E11" s="263" t="s">
        <v>365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6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974</v>
      </c>
      <c r="C12" s="263" t="s">
        <v>920</v>
      </c>
      <c r="D12" s="263" t="s">
        <v>976</v>
      </c>
      <c r="E12" s="263" t="s">
        <v>365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196</v>
      </c>
      <c r="C13" s="263" t="s">
        <v>892</v>
      </c>
      <c r="D13" s="263" t="str">
        <f>CONCATENATE(T13,"-",U13," ",C13)</f>
        <v>0,5-50 nanog/kg/min</v>
      </c>
      <c r="E13" s="263" t="s">
        <v>364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281</v>
      </c>
      <c r="C14" s="263" t="s">
        <v>736</v>
      </c>
      <c r="D14" s="263" t="str">
        <f t="shared" ref="D14:D33" si="9">CONCATENATE(T14,"-",U14," ",C14)</f>
        <v>0,5-1 mg/kg/uur</v>
      </c>
      <c r="E14" s="263" t="s">
        <v>364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948</v>
      </c>
      <c r="C15" s="263" t="s">
        <v>961</v>
      </c>
      <c r="D15" s="263" t="str">
        <f t="shared" si="9"/>
        <v>0,1-1 mg/kg/min</v>
      </c>
      <c r="E15" s="263" t="s">
        <v>364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973</v>
      </c>
      <c r="C16" s="263" t="s">
        <v>424</v>
      </c>
      <c r="D16" s="263" t="str">
        <f t="shared" si="9"/>
        <v>1-5 mcg/kg/uur</v>
      </c>
      <c r="E16" s="263" t="s">
        <v>364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949</v>
      </c>
      <c r="C17" s="263" t="s">
        <v>891</v>
      </c>
      <c r="D17" s="263" t="str">
        <f t="shared" si="9"/>
        <v>0,05-5 mcg/kg/min</v>
      </c>
      <c r="E17" s="263" t="s">
        <v>364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382</v>
      </c>
      <c r="C18" s="263" t="s">
        <v>737</v>
      </c>
      <c r="D18" s="263" t="str">
        <f t="shared" si="9"/>
        <v>1-4 mg/kg/dag</v>
      </c>
      <c r="E18" s="263" t="s">
        <v>364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421</v>
      </c>
      <c r="C19" s="263" t="s">
        <v>422</v>
      </c>
      <c r="D19" s="263" t="str">
        <f t="shared" si="9"/>
        <v>10-20 IE/kg/uur</v>
      </c>
      <c r="E19" s="263" t="s">
        <v>950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951</v>
      </c>
      <c r="C20" s="263" t="s">
        <v>128</v>
      </c>
      <c r="D20" s="263" t="str">
        <f t="shared" si="9"/>
        <v>0,02-0,125 E/kg/uur</v>
      </c>
      <c r="E20" s="263" t="s">
        <v>950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847</v>
      </c>
      <c r="C21" s="263" t="s">
        <v>891</v>
      </c>
      <c r="D21" s="263" t="str">
        <f t="shared" si="9"/>
        <v>0,01-1,5 mcg/kg/min</v>
      </c>
      <c r="E21" s="263" t="s">
        <v>364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952</v>
      </c>
      <c r="C22" s="263" t="s">
        <v>736</v>
      </c>
      <c r="D22" s="263" t="str">
        <f t="shared" si="9"/>
        <v>0,25-3 mg/kg/uur</v>
      </c>
      <c r="E22" s="263" t="s">
        <v>364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953</v>
      </c>
      <c r="C23" s="263" t="s">
        <v>736</v>
      </c>
      <c r="D23" s="263" t="s">
        <v>971</v>
      </c>
      <c r="E23" s="263" t="s">
        <v>364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730</v>
      </c>
      <c r="C24" s="263" t="s">
        <v>736</v>
      </c>
      <c r="D24" s="263" t="str">
        <f t="shared" si="9"/>
        <v>0,05-0,5 mg/kg/uur</v>
      </c>
      <c r="E24" s="263" t="s">
        <v>364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954</v>
      </c>
      <c r="C25" s="263" t="s">
        <v>891</v>
      </c>
      <c r="D25" s="263" t="str">
        <f t="shared" si="9"/>
        <v>0,15-0,5 mcg/kg/min</v>
      </c>
      <c r="E25" s="263" t="s">
        <v>364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248</v>
      </c>
      <c r="C26" s="263" t="s">
        <v>737</v>
      </c>
      <c r="D26" s="263" t="str">
        <f t="shared" si="9"/>
        <v>0,1-0,5 mg/kg/dag</v>
      </c>
      <c r="E26" s="263" t="s">
        <v>364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688</v>
      </c>
      <c r="C27" s="263" t="s">
        <v>838</v>
      </c>
      <c r="D27" s="263" t="str">
        <f t="shared" si="9"/>
        <v>2-4 mmol/kg/dag</v>
      </c>
      <c r="E27" s="263" t="s">
        <v>972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102</v>
      </c>
      <c r="C28" s="263" t="s">
        <v>891</v>
      </c>
      <c r="D28" s="263" t="str">
        <f t="shared" si="9"/>
        <v>0,5-8 mcg/kg/min</v>
      </c>
      <c r="E28" s="263" t="s">
        <v>364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836</v>
      </c>
      <c r="C29" s="263" t="s">
        <v>891</v>
      </c>
      <c r="D29" s="263" t="str">
        <f t="shared" si="9"/>
        <v>0,05-0,5 mcg/kg/min</v>
      </c>
      <c r="E29" s="263" t="s">
        <v>364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656</v>
      </c>
      <c r="C30" s="263" t="s">
        <v>736</v>
      </c>
      <c r="D30" s="263" t="str">
        <f t="shared" si="9"/>
        <v>1-4 mg/kg/uur</v>
      </c>
      <c r="E30" s="263" t="s">
        <v>364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657</v>
      </c>
      <c r="C31" s="263" t="s">
        <v>736</v>
      </c>
      <c r="D31" s="263" t="str">
        <f t="shared" si="9"/>
        <v>1-4 mg/kg/uur</v>
      </c>
      <c r="E31" s="263" t="s">
        <v>364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571</v>
      </c>
      <c r="C32" s="263" t="s">
        <v>736</v>
      </c>
      <c r="D32" s="263" t="str">
        <f t="shared" si="9"/>
        <v>0,6-1,2 mg/kg/uur</v>
      </c>
      <c r="E32" s="263" t="s">
        <v>364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51</v>
      </c>
      <c r="C33" s="263" t="s">
        <v>891</v>
      </c>
      <c r="D33" s="263" t="str">
        <f t="shared" si="9"/>
        <v>0,1-10 mcg/kg/min</v>
      </c>
      <c r="E33" s="263" t="s">
        <v>364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727</v>
      </c>
      <c r="C34" s="263" t="s">
        <v>736</v>
      </c>
      <c r="D34" s="263" t="s">
        <v>917</v>
      </c>
      <c r="E34" s="263" t="s">
        <v>364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623</v>
      </c>
      <c r="D2" s="108"/>
      <c r="E2" s="110">
        <f ca="1">AfspraakDatum</f>
        <v>42728</v>
      </c>
      <c r="F2" s="111"/>
      <c r="G2" s="108"/>
      <c r="H2" s="109" t="s">
        <v>624</v>
      </c>
      <c r="I2" s="108"/>
      <c r="J2" s="112">
        <f>OpnDatum</f>
        <v>42370</v>
      </c>
      <c r="K2" s="109" t="str">
        <f ca="1">"ICU-dag: "&amp;AfspraakDatum-OpnDatum+1</f>
        <v>ICU-dag: 359</v>
      </c>
      <c r="L2" s="108"/>
      <c r="M2" s="109"/>
      <c r="N2" s="109" t="s">
        <v>1002</v>
      </c>
      <c r="O2" s="269">
        <f>BedNummer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54</v>
      </c>
      <c r="D3" s="108"/>
      <c r="E3" s="113" t="str">
        <f>__2_AchterNaam&amp;", "&amp;__3_VoorNaam</f>
        <v>Achternaam, Voornaam</v>
      </c>
      <c r="F3" s="113"/>
      <c r="G3" s="108"/>
      <c r="H3" s="109" t="s">
        <v>638</v>
      </c>
      <c r="I3" s="108"/>
      <c r="J3" s="112">
        <f>__4_GebDatum</f>
        <v>42370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707</v>
      </c>
      <c r="D4" s="115"/>
      <c r="E4" s="114">
        <f>__0_PatNum</f>
        <v>0</v>
      </c>
      <c r="F4" s="111"/>
      <c r="G4" s="115"/>
      <c r="H4" s="109" t="s">
        <v>573</v>
      </c>
      <c r="I4" s="115"/>
      <c r="J4" s="116" t="str">
        <f ca="1">TRUNC((AfspraakDatum-__4_GebDatum)/365,0)&amp;" jaar en "&amp;TRUNC(((AfspraakDatum-__4_GebDatum)-365*TRUNC((AfspraakDatum-__4_GebDatum)/365,0))/30,0)&amp;" maand(-en)"</f>
        <v>0 jaar en 11 maand(-en)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70">
        <f>PedBerMedDisc!C2</f>
        <v>0</v>
      </c>
      <c r="E6" s="870"/>
      <c r="F6" s="870"/>
      <c r="G6" s="870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596</v>
      </c>
      <c r="C7" s="126"/>
      <c r="D7" s="128">
        <f>GlobBerOpm!C16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70">
        <f>PedBerMedDisc!C3</f>
        <v>0</v>
      </c>
      <c r="E8" s="870"/>
      <c r="F8" s="870"/>
      <c r="G8" s="870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596</v>
      </c>
      <c r="C9" s="126"/>
      <c r="D9" s="128">
        <f>GlobBerOpm!C17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70">
        <f>PedBerMedDisc!C4</f>
        <v>0</v>
      </c>
      <c r="E10" s="870"/>
      <c r="F10" s="870"/>
      <c r="G10" s="870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596</v>
      </c>
      <c r="C11" s="126"/>
      <c r="D11" s="128">
        <f>GlobBerOpm!C18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70">
        <f>PedBerMedDisc!C5</f>
        <v>0</v>
      </c>
      <c r="E12" s="870"/>
      <c r="F12" s="870"/>
      <c r="G12" s="870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596</v>
      </c>
      <c r="C13" s="126"/>
      <c r="D13" s="128">
        <f>GlobBerOpm!C19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70">
        <f>PedBerMedDisc!C6</f>
        <v>0</v>
      </c>
      <c r="E14" s="870"/>
      <c r="F14" s="870"/>
      <c r="G14" s="870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596</v>
      </c>
      <c r="C15" s="126"/>
      <c r="D15" s="128">
        <f>GlobBerOpm!C20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70">
        <f>PedBerMedDisc!C7</f>
        <v>0</v>
      </c>
      <c r="E16" s="870"/>
      <c r="F16" s="870"/>
      <c r="G16" s="870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596</v>
      </c>
      <c r="C17" s="126"/>
      <c r="D17" s="128">
        <f>GlobBerOpm!C21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70">
        <f>PedBerMedDisc!C8</f>
        <v>0</v>
      </c>
      <c r="E18" s="870"/>
      <c r="F18" s="870"/>
      <c r="G18" s="870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596</v>
      </c>
      <c r="C19" s="126"/>
      <c r="D19" s="128">
        <f>GlobBerOpm!C22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70">
        <f>PedBerMedDisc!C9</f>
        <v>0</v>
      </c>
      <c r="E20" s="870"/>
      <c r="F20" s="870"/>
      <c r="G20" s="870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596</v>
      </c>
      <c r="C21" s="126"/>
      <c r="D21" s="128">
        <f>GlobBerOpm!C23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70">
        <f>PedBerMedDisc!C10</f>
        <v>0</v>
      </c>
      <c r="E22" s="870"/>
      <c r="F22" s="870"/>
      <c r="G22" s="870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596</v>
      </c>
      <c r="C23" s="126"/>
      <c r="D23" s="128">
        <f>GlobBerOpm!C24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70">
        <f>PedBerMedDisc!C11</f>
        <v>0</v>
      </c>
      <c r="E24" s="870"/>
      <c r="F24" s="870"/>
      <c r="G24" s="870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596</v>
      </c>
      <c r="C25" s="126"/>
      <c r="D25" s="128">
        <f>GlobBerOpm!C25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70">
        <f>PedBerMedDisc!C12</f>
        <v>0</v>
      </c>
      <c r="E26" s="870"/>
      <c r="F26" s="870"/>
      <c r="G26" s="870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596</v>
      </c>
      <c r="C27" s="126"/>
      <c r="D27" s="128">
        <f>GlobBerOpm!C26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70">
        <f>PedBerMedDisc!C13</f>
        <v>0</v>
      </c>
      <c r="E28" s="870"/>
      <c r="F28" s="870"/>
      <c r="G28" s="870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596</v>
      </c>
      <c r="C29" s="126"/>
      <c r="D29" s="128">
        <f>GlobBerOpm!C27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70">
        <f>PedBerMedDisc!C14</f>
        <v>0</v>
      </c>
      <c r="E30" s="870"/>
      <c r="F30" s="870"/>
      <c r="G30" s="870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596</v>
      </c>
      <c r="C31" s="126"/>
      <c r="D31" s="128">
        <f>GlobBerOpm!C28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70">
        <f>PedBerMedDisc!C15</f>
        <v>0</v>
      </c>
      <c r="E32" s="870"/>
      <c r="F32" s="870"/>
      <c r="G32" s="870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596</v>
      </c>
      <c r="C33" s="126"/>
      <c r="D33" s="128">
        <f>GlobBerOpm!C29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70">
        <f>PedBerMedDisc!C16</f>
        <v>0</v>
      </c>
      <c r="E34" s="870"/>
      <c r="F34" s="870"/>
      <c r="G34" s="870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596</v>
      </c>
      <c r="C35" s="126"/>
      <c r="D35" s="128">
        <f>GlobBerOpm!C30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70">
        <f>PedBerMedDisc!C17</f>
        <v>0</v>
      </c>
      <c r="E36" s="870"/>
      <c r="F36" s="870"/>
      <c r="G36" s="870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596</v>
      </c>
      <c r="C37" s="126"/>
      <c r="D37" s="128">
        <f>GlobBerOpm!C31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70">
        <f>PedBerMedDisc!C18</f>
        <v>0</v>
      </c>
      <c r="E38" s="870"/>
      <c r="F38" s="870"/>
      <c r="G38" s="870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596</v>
      </c>
      <c r="C39" s="126"/>
      <c r="D39" s="128">
        <f>GlobBerOpm!C32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70">
        <f>PedBerMedDisc!C19</f>
        <v>0</v>
      </c>
      <c r="E40" s="870"/>
      <c r="F40" s="870"/>
      <c r="G40" s="870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596</v>
      </c>
      <c r="C41" s="126"/>
      <c r="D41" s="128">
        <f>GlobBerOpm!C33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70">
        <f>PedBerMedDisc!C20</f>
        <v>0</v>
      </c>
      <c r="E42" s="870"/>
      <c r="F42" s="870"/>
      <c r="G42" s="870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596</v>
      </c>
      <c r="C43" s="126"/>
      <c r="D43" s="128">
        <f>GlobBerOpm!C34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70">
        <f>PedBerMedDisc!C21</f>
        <v>0</v>
      </c>
      <c r="E44" s="870"/>
      <c r="F44" s="870"/>
      <c r="G44" s="870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596</v>
      </c>
      <c r="C45" s="126"/>
      <c r="D45" s="128">
        <f>GlobBerOpm!C35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70">
        <f>PedBerMedDisc!C22</f>
        <v>0</v>
      </c>
      <c r="E46" s="870"/>
      <c r="F46" s="870"/>
      <c r="G46" s="870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596</v>
      </c>
      <c r="C47" s="126"/>
      <c r="D47" s="128">
        <f>GlobBerOpm!C37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70">
        <f>PedBerMedDisc!C23</f>
        <v>0</v>
      </c>
      <c r="E48" s="870"/>
      <c r="F48" s="870"/>
      <c r="G48" s="870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596</v>
      </c>
      <c r="C49" s="126"/>
      <c r="D49" s="128">
        <f>GlobBerOpm!C38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70">
        <f>PedBerMedDisc!C24</f>
        <v>0</v>
      </c>
      <c r="E50" s="870"/>
      <c r="F50" s="870"/>
      <c r="G50" s="870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596</v>
      </c>
      <c r="C51" s="126"/>
      <c r="D51" s="128">
        <f>GlobBerOpm!C39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70">
        <f>PedBerMedDisc!C25</f>
        <v>0</v>
      </c>
      <c r="E52" s="870"/>
      <c r="F52" s="870"/>
      <c r="G52" s="870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596</v>
      </c>
      <c r="C53" s="126"/>
      <c r="D53" s="128">
        <f>GlobBerOpm!C40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70">
        <f>PedBerMedDisc!C26</f>
        <v>0</v>
      </c>
      <c r="E54" s="870"/>
      <c r="F54" s="870"/>
      <c r="G54" s="870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596</v>
      </c>
      <c r="C55" s="126"/>
      <c r="D55" s="128">
        <f>GlobBerOpm!C41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70">
        <f>PedBerMedDisc!C27</f>
        <v>0</v>
      </c>
      <c r="E56" s="870"/>
      <c r="F56" s="870"/>
      <c r="G56" s="870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596</v>
      </c>
      <c r="C57" s="126"/>
      <c r="D57" s="128">
        <f>GlobBerOpm!C42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70">
        <f>PedBerMedDisc!C28</f>
        <v>0</v>
      </c>
      <c r="E58" s="870"/>
      <c r="F58" s="870"/>
      <c r="G58" s="870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596</v>
      </c>
      <c r="C59" s="126"/>
      <c r="D59" s="128">
        <f>GlobBerOpm!C43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70">
        <f>PedBerMedDisc!C29</f>
        <v>0</v>
      </c>
      <c r="E60" s="870"/>
      <c r="F60" s="870"/>
      <c r="G60" s="870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596</v>
      </c>
      <c r="C61" s="126"/>
      <c r="D61" s="128">
        <f>GlobBerOpm!C44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70">
        <f>PedBerMedDisc!C30</f>
        <v>0</v>
      </c>
      <c r="E62" s="870"/>
      <c r="F62" s="870"/>
      <c r="G62" s="870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596</v>
      </c>
      <c r="C63" s="126"/>
      <c r="D63" s="128">
        <f>GlobBerOpm!C45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70">
        <f>PedBerMedDisc!C31</f>
        <v>0</v>
      </c>
      <c r="E64" s="870"/>
      <c r="F64" s="870"/>
      <c r="G64" s="870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596</v>
      </c>
      <c r="C65" s="126"/>
      <c r="D65" s="128">
        <f>GlobBerOpm!C46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selection activeCell="C11" sqref="C11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2645</v>
      </c>
      <c r="C1" t="s">
        <v>684</v>
      </c>
      <c r="D1" s="248" t="s">
        <v>938</v>
      </c>
      <c r="E1" t="s">
        <v>362</v>
      </c>
      <c r="F1" t="s">
        <v>363</v>
      </c>
      <c r="G1" t="s">
        <v>282</v>
      </c>
      <c r="H1" t="s">
        <v>685</v>
      </c>
      <c r="I1" t="s">
        <v>767</v>
      </c>
      <c r="J1" t="s">
        <v>444</v>
      </c>
      <c r="K1" t="s">
        <v>283</v>
      </c>
      <c r="L1" t="s">
        <v>284</v>
      </c>
      <c r="M1" t="s">
        <v>211</v>
      </c>
      <c r="N1" t="s">
        <v>754</v>
      </c>
      <c r="O1" t="s">
        <v>755</v>
      </c>
      <c r="P1" t="s">
        <v>756</v>
      </c>
      <c r="Q1" t="s">
        <v>768</v>
      </c>
      <c r="R1" t="s">
        <v>472</v>
      </c>
      <c r="S1" t="s">
        <v>764</v>
      </c>
      <c r="T1" t="s">
        <v>765</v>
      </c>
      <c r="U1" s="518" t="s">
        <v>2644</v>
      </c>
      <c r="V1" t="s">
        <v>732</v>
      </c>
      <c r="W1" t="s">
        <v>922</v>
      </c>
      <c r="X1" t="s">
        <v>685</v>
      </c>
      <c r="Y1" t="s">
        <v>923</v>
      </c>
      <c r="Z1" t="s">
        <v>329</v>
      </c>
      <c r="AA1" t="s">
        <v>768</v>
      </c>
      <c r="AB1" t="s">
        <v>924</v>
      </c>
      <c r="AC1" t="s">
        <v>905</v>
      </c>
      <c r="AF1" s="518" t="s">
        <v>2646</v>
      </c>
      <c r="AG1" s="518" t="s">
        <v>440</v>
      </c>
      <c r="AH1" s="518" t="s">
        <v>2647</v>
      </c>
      <c r="AI1" s="518" t="s">
        <v>2648</v>
      </c>
    </row>
    <row r="2" spans="1:35" x14ac:dyDescent="0.35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IF(GlobBerOpm!C16=0,"",GlobBerOpm!C16)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5" x14ac:dyDescent="0.35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IF(GlobBerOpm!C17=0,"",GlobBerOpm!C17)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IF(GlobBerOpm!C18=0,"",GlobBerOpm!C18)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IF(GlobBerOpm!C19=0,"",GlobBerOpm!C19)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IF(GlobBerOpm!C20=0,"",GlobBerOpm!C20)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IF(GlobBerOpm!C21=0,"",GlobBerOpm!C21)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IF(GlobBerOpm!C22=0,"",GlobBerOpm!C22)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IF(GlobBerOpm!C23=0,"",GlobBerOpm!C23)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IF(GlobBerOpm!C24=0,"",GlobBerOpm!C24)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IF(GlobBerOpm!C25=0,"",GlobBerOpm!C25)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IF(GlobBerOpm!C26=0,"",GlobBerOpm!C26)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IF(GlobBerOpm!C27=0,"",GlobBerOpm!C27)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IF(GlobBerOpm!C28=0,"",GlobBerOpm!C28)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IF(GlobBerOpm!C29=0,"",GlobBerOpm!C29)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IF(GlobBerOpm!C30=0,"",GlobBerOpm!C30)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IF(GlobBerOpm!C31=0,"",GlobBerOpm!C31)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IF(GlobBerOpm!C32=0,"",GlobBerOpm!C32)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IF(GlobBerOpm!C33=0,"",GlobBerOpm!C33)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IF(GlobBerOpm!C34=0,"",GlobBerOpm!C34)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IF(GlobBerOpm!C35=0,"",GlobBerOpm!C35)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str">
        <f>IF(GlobBerOpm!C36=0,"",GlobBerOpm!C36)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35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IF(GlobBerOpm!C37=0,"",GlobBerOpm!C37)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IF(GlobBerOpm!C38=0,"",GlobBerOpm!C38)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IF(GlobBerOpm!C39=0,"",GlobBerOpm!C39)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>
        <v>1500</v>
      </c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IF(GlobBerOpm!C40=0,"",GlobBerOpm!C40)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IF(GlobBerOpm!C41=0,"",GlobBerOpm!C41)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IF(GlobBerOpm!C42=0,"",GlobBerOpm!C42)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IF(GlobBerOpm!C43=0,"",GlobBerOpm!C43)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IF(GlobBerOpm!C44=0,"",GlobBerOpm!C44)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IF(GlobBerOpm!C45=0,"",GlobBerOpm!C45)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464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5" sqref="C5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1951</v>
      </c>
      <c r="B1" s="3" t="s">
        <v>1952</v>
      </c>
      <c r="C1" s="687" t="s">
        <v>1953</v>
      </c>
      <c r="D1" s="687" t="s">
        <v>1954</v>
      </c>
      <c r="E1" s="3" t="s">
        <v>1955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194</v>
      </c>
      <c r="B3" s="517" t="s">
        <v>2244</v>
      </c>
      <c r="C3" s="517">
        <v>0</v>
      </c>
      <c r="D3" s="517" t="s">
        <v>919</v>
      </c>
      <c r="E3" s="517" t="s">
        <v>372</v>
      </c>
    </row>
    <row r="4" spans="1:5" x14ac:dyDescent="0.35">
      <c r="A4" s="517" t="s">
        <v>193</v>
      </c>
      <c r="B4" s="517" t="s">
        <v>579</v>
      </c>
      <c r="C4" s="517">
        <v>1</v>
      </c>
      <c r="D4" s="517" t="s">
        <v>766</v>
      </c>
      <c r="E4" s="517" t="s">
        <v>364</v>
      </c>
    </row>
    <row r="5" spans="1:5" x14ac:dyDescent="0.35">
      <c r="A5" s="517" t="s">
        <v>83</v>
      </c>
      <c r="B5" s="517" t="s">
        <v>580</v>
      </c>
      <c r="C5" s="517">
        <v>0</v>
      </c>
      <c r="D5" s="518" t="s">
        <v>1774</v>
      </c>
      <c r="E5" s="517" t="s">
        <v>62</v>
      </c>
    </row>
    <row r="6" spans="1:5" x14ac:dyDescent="0.35">
      <c r="A6" s="517" t="s">
        <v>626</v>
      </c>
      <c r="B6" s="517"/>
      <c r="C6" s="517">
        <v>1</v>
      </c>
      <c r="D6" s="517" t="s">
        <v>853</v>
      </c>
      <c r="E6" s="517" t="s">
        <v>129</v>
      </c>
    </row>
    <row r="7" spans="1:5" x14ac:dyDescent="0.35">
      <c r="A7" s="517" t="s">
        <v>84</v>
      </c>
      <c r="B7" s="517"/>
      <c r="C7" s="517">
        <v>2</v>
      </c>
      <c r="D7" s="517" t="s">
        <v>854</v>
      </c>
      <c r="E7" s="517" t="s">
        <v>365</v>
      </c>
    </row>
    <row r="8" spans="1:5" x14ac:dyDescent="0.35">
      <c r="A8" s="517" t="s">
        <v>441</v>
      </c>
      <c r="B8" s="517"/>
      <c r="C8" s="517">
        <v>3</v>
      </c>
      <c r="D8" s="517" t="s">
        <v>855</v>
      </c>
      <c r="E8" s="517"/>
    </row>
    <row r="9" spans="1:5" x14ac:dyDescent="0.35">
      <c r="A9" s="517" t="s">
        <v>751</v>
      </c>
      <c r="B9" s="517"/>
      <c r="C9" s="517">
        <v>4</v>
      </c>
      <c r="D9" s="517" t="s">
        <v>856</v>
      </c>
      <c r="E9" s="517"/>
    </row>
    <row r="10" spans="1:5" x14ac:dyDescent="0.35">
      <c r="A10" s="517" t="s">
        <v>752</v>
      </c>
      <c r="B10" s="517"/>
      <c r="C10" s="517">
        <v>5</v>
      </c>
      <c r="D10" s="517" t="s">
        <v>918</v>
      </c>
      <c r="E10" s="517"/>
    </row>
    <row r="11" spans="1:5" x14ac:dyDescent="0.35">
      <c r="A11" s="517" t="s">
        <v>753</v>
      </c>
      <c r="B11" s="517"/>
      <c r="C11" s="517">
        <v>6</v>
      </c>
      <c r="D11" s="517" t="s">
        <v>393</v>
      </c>
      <c r="E11" s="517"/>
    </row>
    <row r="12" spans="1:5" x14ac:dyDescent="0.35">
      <c r="A12" s="517" t="s">
        <v>95</v>
      </c>
      <c r="B12" s="517"/>
      <c r="C12" s="517">
        <v>8</v>
      </c>
      <c r="D12" s="517" t="s">
        <v>394</v>
      </c>
      <c r="E12" s="517"/>
    </row>
    <row r="13" spans="1:5" x14ac:dyDescent="0.35">
      <c r="A13" s="517" t="s">
        <v>325</v>
      </c>
      <c r="B13" s="517"/>
      <c r="C13" s="517">
        <v>12</v>
      </c>
      <c r="D13" s="517" t="s">
        <v>395</v>
      </c>
      <c r="E13" s="517"/>
    </row>
    <row r="14" spans="1:5" x14ac:dyDescent="0.35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623</v>
      </c>
      <c r="C2" s="135">
        <f ca="1">AfspraakDatum</f>
        <v>42728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359</v>
      </c>
      <c r="H2" s="134"/>
      <c r="I2" s="270" t="s">
        <v>1002</v>
      </c>
      <c r="J2" s="139">
        <f>BedNummer</f>
        <v>0</v>
      </c>
    </row>
    <row r="3" spans="1:12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47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252</v>
      </c>
      <c r="J7" s="628" t="s">
        <v>690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596</v>
      </c>
      <c r="C15" s="659">
        <f>GlobBerOpm!C3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27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549</v>
      </c>
      <c r="E20" s="133" t="s">
        <v>106</v>
      </c>
    </row>
    <row r="21" spans="2:10" ht="20.100000000000001" customHeight="1" x14ac:dyDescent="0.35"/>
    <row r="22" spans="2:10" ht="13.2" x14ac:dyDescent="0.4">
      <c r="B22" s="133" t="s">
        <v>602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107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108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109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110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111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H6" sqref="H6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1958</v>
      </c>
      <c r="B1" s="3" t="s">
        <v>1959</v>
      </c>
      <c r="D1" s="3" t="s">
        <v>548</v>
      </c>
      <c r="E1" s="3" t="s">
        <v>112</v>
      </c>
      <c r="F1" s="3" t="s">
        <v>444</v>
      </c>
      <c r="H1">
        <v>70</v>
      </c>
    </row>
    <row r="2" spans="1:8" ht="13.2" x14ac:dyDescent="0.4">
      <c r="A2" s="9">
        <v>1</v>
      </c>
      <c r="B2" s="9">
        <v>1</v>
      </c>
      <c r="F2" s="3" t="s">
        <v>544</v>
      </c>
      <c r="H2">
        <v>10</v>
      </c>
    </row>
    <row r="3" spans="1:8" ht="13.2" x14ac:dyDescent="0.4">
      <c r="A3" s="9">
        <v>2</v>
      </c>
      <c r="B3" s="9">
        <v>1</v>
      </c>
      <c r="F3" s="3" t="s">
        <v>545</v>
      </c>
      <c r="H3">
        <v>10</v>
      </c>
    </row>
    <row r="4" spans="1:8" ht="13.2" x14ac:dyDescent="0.4">
      <c r="A4" s="9">
        <v>3</v>
      </c>
      <c r="B4" s="9">
        <v>1</v>
      </c>
      <c r="F4" s="3" t="s">
        <v>546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547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616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  <c r="E8" t="b">
        <v>1</v>
      </c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F2" sqref="F2:F5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1956</v>
      </c>
      <c r="B1" s="3" t="s">
        <v>574</v>
      </c>
      <c r="C1" s="3" t="s">
        <v>1957</v>
      </c>
      <c r="E1" s="3" t="s">
        <v>1960</v>
      </c>
      <c r="F1" s="3" t="s">
        <v>1961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345</v>
      </c>
      <c r="B3" s="517"/>
      <c r="C3" s="517"/>
      <c r="E3" s="517" t="s">
        <v>745</v>
      </c>
      <c r="F3" s="517" t="s">
        <v>541</v>
      </c>
    </row>
    <row r="4" spans="1:6" x14ac:dyDescent="0.35">
      <c r="A4" s="624" t="s">
        <v>2245</v>
      </c>
      <c r="B4" s="625">
        <v>48</v>
      </c>
      <c r="C4" s="625">
        <v>7.44</v>
      </c>
      <c r="E4" s="517" t="s">
        <v>539</v>
      </c>
      <c r="F4" s="517" t="s">
        <v>542</v>
      </c>
    </row>
    <row r="5" spans="1:6" x14ac:dyDescent="0.35">
      <c r="A5" s="624" t="s">
        <v>2246</v>
      </c>
      <c r="B5" s="625">
        <v>72</v>
      </c>
      <c r="C5" s="625">
        <v>11.16</v>
      </c>
      <c r="E5" s="517" t="s">
        <v>540</v>
      </c>
      <c r="F5" s="517" t="s">
        <v>543</v>
      </c>
    </row>
    <row r="6" spans="1:6" ht="13.2" x14ac:dyDescent="0.4">
      <c r="A6" s="624" t="s">
        <v>1751</v>
      </c>
      <c r="B6" s="626"/>
      <c r="C6" s="626"/>
    </row>
    <row r="7" spans="1:6" x14ac:dyDescent="0.35">
      <c r="A7" s="624" t="s">
        <v>2247</v>
      </c>
      <c r="B7" s="625">
        <v>48</v>
      </c>
      <c r="C7" s="625">
        <v>7.44</v>
      </c>
    </row>
    <row r="8" spans="1:6" x14ac:dyDescent="0.35">
      <c r="A8" s="624" t="s">
        <v>2248</v>
      </c>
      <c r="B8" s="625">
        <v>72</v>
      </c>
      <c r="C8" s="625">
        <v>11.16</v>
      </c>
    </row>
    <row r="9" spans="1:6" ht="13.2" x14ac:dyDescent="0.4">
      <c r="A9" s="624" t="s">
        <v>184</v>
      </c>
      <c r="B9" s="626"/>
      <c r="C9" s="626"/>
    </row>
    <row r="10" spans="1:6" ht="13.2" x14ac:dyDescent="0.4">
      <c r="A10" s="624" t="s">
        <v>866</v>
      </c>
      <c r="B10" s="626"/>
      <c r="C10" s="626"/>
    </row>
    <row r="11" spans="1:6" ht="13.2" x14ac:dyDescent="0.4">
      <c r="A11" s="624" t="s">
        <v>867</v>
      </c>
      <c r="B11" s="626"/>
      <c r="C11" s="626"/>
    </row>
    <row r="12" spans="1:6" ht="13.2" x14ac:dyDescent="0.4">
      <c r="A12" s="624" t="s">
        <v>697</v>
      </c>
      <c r="B12" s="626"/>
      <c r="C12" s="626"/>
    </row>
    <row r="13" spans="1:6" ht="13.2" x14ac:dyDescent="0.4">
      <c r="A13" s="624" t="s">
        <v>698</v>
      </c>
      <c r="B13" s="626"/>
      <c r="C13" s="626"/>
    </row>
    <row r="14" spans="1:6" ht="13.2" x14ac:dyDescent="0.4">
      <c r="A14" s="624" t="s">
        <v>251</v>
      </c>
      <c r="B14" s="626"/>
      <c r="C14" s="626"/>
    </row>
    <row r="15" spans="1:6" x14ac:dyDescent="0.35">
      <c r="A15" s="624" t="s">
        <v>2249</v>
      </c>
      <c r="B15" s="625">
        <v>48</v>
      </c>
      <c r="C15" s="625">
        <v>7.44</v>
      </c>
    </row>
    <row r="16" spans="1:6" x14ac:dyDescent="0.35">
      <c r="A16" s="624" t="s">
        <v>2250</v>
      </c>
      <c r="B16" s="625">
        <v>72</v>
      </c>
      <c r="C16" s="625">
        <v>11.16</v>
      </c>
    </row>
    <row r="17" spans="1:1" x14ac:dyDescent="0.35">
      <c r="A17" s="624" t="s">
        <v>418</v>
      </c>
    </row>
    <row r="18" spans="1:1" x14ac:dyDescent="0.35">
      <c r="A18" s="624" t="s">
        <v>866</v>
      </c>
    </row>
    <row r="19" spans="1:1" x14ac:dyDescent="0.35">
      <c r="A19" s="624" t="s">
        <v>867</v>
      </c>
    </row>
    <row r="20" spans="1:1" x14ac:dyDescent="0.35">
      <c r="A20" s="624" t="s">
        <v>699</v>
      </c>
    </row>
    <row r="21" spans="1:1" x14ac:dyDescent="0.35">
      <c r="A21" s="624" t="s">
        <v>646</v>
      </c>
    </row>
    <row r="22" spans="1:1" x14ac:dyDescent="0.35">
      <c r="A22" s="624" t="s">
        <v>344</v>
      </c>
    </row>
    <row r="23" spans="1:1" x14ac:dyDescent="0.35">
      <c r="A23" s="624" t="s">
        <v>647</v>
      </c>
    </row>
    <row r="24" spans="1:1" x14ac:dyDescent="0.35">
      <c r="A24" s="624" t="s">
        <v>625</v>
      </c>
    </row>
    <row r="25" spans="1:1" x14ac:dyDescent="0.35">
      <c r="A25" s="624" t="s">
        <v>2251</v>
      </c>
    </row>
    <row r="26" spans="1:1" x14ac:dyDescent="0.35">
      <c r="A26" s="624" t="s">
        <v>798</v>
      </c>
    </row>
    <row r="27" spans="1:1" x14ac:dyDescent="0.35">
      <c r="A27" s="624" t="s">
        <v>796</v>
      </c>
    </row>
    <row r="28" spans="1:1" x14ac:dyDescent="0.35">
      <c r="A28" s="624" t="s">
        <v>797</v>
      </c>
    </row>
    <row r="29" spans="1:1" x14ac:dyDescent="0.35">
      <c r="A29" s="624" t="s">
        <v>2252</v>
      </c>
    </row>
    <row r="30" spans="1:1" x14ac:dyDescent="0.35">
      <c r="A30" s="624" t="s">
        <v>2253</v>
      </c>
    </row>
    <row r="31" spans="1:1" x14ac:dyDescent="0.35">
      <c r="A31" s="624" t="s">
        <v>896</v>
      </c>
    </row>
    <row r="32" spans="1:1" x14ac:dyDescent="0.35">
      <c r="A32" s="624" t="s">
        <v>897</v>
      </c>
    </row>
    <row r="33" spans="1:3" x14ac:dyDescent="0.35">
      <c r="A33" s="624" t="s">
        <v>2428</v>
      </c>
      <c r="B33" s="625"/>
      <c r="C33" s="625"/>
    </row>
    <row r="34" spans="1:3" x14ac:dyDescent="0.35">
      <c r="A34" s="624" t="s">
        <v>2416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623</v>
      </c>
      <c r="D2" s="135">
        <f ca="1">AfspraakDatum</f>
        <v>42728</v>
      </c>
      <c r="E2" s="136"/>
      <c r="F2" s="134" t="s">
        <v>624</v>
      </c>
      <c r="G2" s="137">
        <f>OpnDatum</f>
        <v>42370</v>
      </c>
      <c r="H2" s="134" t="str">
        <f ca="1">"ICU-dag: "&amp;AfspraakDatum-OpnDatum+1</f>
        <v>ICU-dag: 359</v>
      </c>
      <c r="I2" s="139" t="str">
        <f>"Gewicht: "&amp;Gewicht/10&amp;" kg"</f>
        <v>Gewicht: 10 kg</v>
      </c>
      <c r="J2" s="134"/>
    </row>
    <row r="3" spans="1:22" s="133" customFormat="1" ht="13.2" x14ac:dyDescent="0.4">
      <c r="A3" s="163"/>
      <c r="B3" s="134" t="s">
        <v>54</v>
      </c>
      <c r="D3" s="138" t="str">
        <f>__2_AchterNaam&amp;", "&amp;__3_VoorNaam</f>
        <v>Achternaam, Voornaam</v>
      </c>
      <c r="E3" s="138"/>
      <c r="F3" s="134" t="s">
        <v>638</v>
      </c>
      <c r="G3" s="137">
        <f>__4_GebDatum</f>
        <v>42370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707</v>
      </c>
      <c r="D4" s="139">
        <f>__0_PatNum</f>
        <v>0</v>
      </c>
      <c r="E4" s="136"/>
      <c r="F4" s="134" t="s">
        <v>573</v>
      </c>
      <c r="G4" s="141" t="str">
        <f ca="1">TRUNC((AfspraakDatum-__4_GebDatum)/365,0)&amp;" jaar en "&amp;TRUNC(((AfspraakDatum-__4_GebDatum)-365*TRUNC((AfspraakDatum-__4_GebDatum)/365,0))/30,0)&amp;" maand(-en)"</f>
        <v>0 jaar en 11 maand(-en)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1002</v>
      </c>
      <c r="D5" s="270">
        <f>BedNummer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353</v>
      </c>
      <c r="I7" s="24"/>
      <c r="J7" s="24"/>
      <c r="K7" s="24"/>
      <c r="L7" s="213" t="s">
        <v>374</v>
      </c>
      <c r="N7" s="194"/>
    </row>
    <row r="8" spans="1:22" ht="19.55" customHeight="1" x14ac:dyDescent="0.4">
      <c r="B8" s="24"/>
      <c r="C8" s="213" t="s">
        <v>582</v>
      </c>
      <c r="D8" s="24"/>
      <c r="E8" s="24"/>
      <c r="F8" s="24"/>
      <c r="G8" s="24"/>
      <c r="H8" s="24"/>
      <c r="I8" s="24"/>
      <c r="J8" s="24"/>
      <c r="K8" s="24"/>
      <c r="L8" s="23" t="s">
        <v>235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375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1745</v>
      </c>
      <c r="D10" s="203"/>
      <c r="E10" s="196"/>
      <c r="F10" s="196"/>
      <c r="G10" s="196"/>
      <c r="H10" s="196"/>
      <c r="I10" s="196"/>
      <c r="J10" s="24"/>
      <c r="L10" s="133"/>
      <c r="M10" s="191" t="s">
        <v>465</v>
      </c>
      <c r="N10" s="224">
        <f>PedBerEnt!H3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376</v>
      </c>
      <c r="N11" s="224">
        <f>PedBerEnt!H4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466</v>
      </c>
      <c r="N12" s="224">
        <f>PedBerEnt!H5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377</v>
      </c>
      <c r="N13" s="224">
        <f>PedBerEnt!H6</f>
        <v>0</v>
      </c>
      <c r="O13" s="26" t="s">
        <v>364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577</v>
      </c>
      <c r="N14" s="224">
        <f>PedBerEnt!H7</f>
        <v>0</v>
      </c>
      <c r="O14" s="26" t="s">
        <v>364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596</v>
      </c>
      <c r="D15" s="223">
        <f>GlobBerOpm!C15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467</v>
      </c>
      <c r="N15" s="224">
        <f>PedBerEnt!H8</f>
        <v>0</v>
      </c>
      <c r="O15" s="26" t="s">
        <v>364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583</v>
      </c>
      <c r="H16" s="201"/>
      <c r="J16" s="26"/>
      <c r="K16" s="26"/>
      <c r="L16" s="218"/>
      <c r="M16" s="219" t="s">
        <v>378</v>
      </c>
      <c r="N16" s="224">
        <f>PedBerEnt!H9</f>
        <v>0</v>
      </c>
      <c r="O16" s="26" t="s">
        <v>364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695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696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643</v>
      </c>
      <c r="N17" s="224">
        <f>PedBerEnt!H10</f>
        <v>0</v>
      </c>
      <c r="O17" s="26" t="s">
        <v>364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IF(AND(Gewicht/10&gt;=16,TPN=2),"Peditrace","")</f>
        <v/>
      </c>
      <c r="G18" s="206" t="str">
        <f>IF(AND(Gewicht/10&gt;=16,PedBerTPN!F5&gt;0),PedBerTPN!F5&amp;"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71" t="str">
        <f>IF(AND(Gewicht/10&gt;50,TPN=2),"in 100 ml glucose 10%, "&amp;ROUND((PedBerTPN!F5+PedBerTPN!F17)/24,1)&amp;" ml/uur","")</f>
        <v/>
      </c>
      <c r="G19" s="871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688</v>
      </c>
      <c r="D20" s="24"/>
      <c r="E20" s="194" t="str">
        <f>IF(PedBerTPN!C7,PedBerTPN!F7&amp;" ml","")</f>
        <v/>
      </c>
      <c r="F20" s="24"/>
      <c r="G20" s="24"/>
      <c r="H20" s="216" t="s">
        <v>688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469</v>
      </c>
      <c r="D21" s="24"/>
      <c r="E21" s="194" t="str">
        <f>IF(PedBerTPN!C8,PedBerTPN!F8&amp;" ml","")</f>
        <v/>
      </c>
      <c r="F21" s="24"/>
      <c r="G21" s="24"/>
      <c r="H21" s="216" t="s">
        <v>469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689</v>
      </c>
      <c r="D23" s="24"/>
      <c r="E23" s="194" t="str">
        <f>IF(PedBerTPN!C9,PedBerTPN!D9&amp;" ml","")</f>
        <v/>
      </c>
      <c r="F23" s="24"/>
      <c r="G23" s="194" t="str">
        <f>IF(AND(Gewicht/10&lt;=50,SSTglucose&lt;11,TPN=2),"in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644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642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IF(PedBerTPN!F11&gt;0,ROUND(PedBerTPN!F11*1.5/(Gewicht/10),2)&amp;" mmol/kg","")</f>
        <v/>
      </c>
      <c r="H26" s="196" t="str">
        <f>IF(PedBerTPN!F11&gt;0,"plus "&amp;(ROUND(PedBerTPN!F11*1.5/(Gewicht/10)/24/0.01,1)*24-PedBerTPN!F11)&amp;" ml gluc 5%, "&amp;((ROUND(PedBerTPN!F11*1.5/(Gewicht/10)/24/0.01,1)*24-PedBerTPN!F11)+PedBerTPN!F11)/24&amp;"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432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433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434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435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596</v>
      </c>
      <c r="D32" s="223">
        <f>GlobBerOpm!C9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574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"&amp;ROUND(PedBerTot!C2*Gewicht/10,0)&amp;" ml/dag"</f>
        <v>= 0 ml/dag</v>
      </c>
      <c r="G34" s="220"/>
      <c r="H34" s="220" t="s">
        <v>465</v>
      </c>
      <c r="I34" s="221" t="str">
        <f>ROUND(PedBerTot!$C$9,1)&amp;"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575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466</v>
      </c>
      <c r="I35" s="221" t="str">
        <f>ROUND(PedBerTot!$C$13,1)&amp;"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506</v>
      </c>
      <c r="C36" s="220"/>
      <c r="D36" s="221" t="str">
        <f>ROUND(PedBerTot!C5,1)&amp;" g/kg"</f>
        <v>0 g/kg</v>
      </c>
      <c r="E36" s="220" t="s">
        <v>726</v>
      </c>
      <c r="F36" s="220" t="str">
        <f>"= "&amp;ROUND(PedBerTot!C5/1.4,1)&amp;" mg/kg/min"</f>
        <v>= 0 mg/kg/min</v>
      </c>
      <c r="G36" s="220"/>
      <c r="H36" s="220" t="s">
        <v>467</v>
      </c>
      <c r="I36" s="221" t="str">
        <f>ROUND(PedBerTot!$C$27,1)&amp;" mmol/kg"</f>
        <v>0 mmol/kg</v>
      </c>
      <c r="J36" s="220" t="s">
        <v>904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576</v>
      </c>
      <c r="C37" s="220"/>
      <c r="D37" s="221" t="str">
        <f>ROUND(PedBerTot!C17,1)&amp;" mmol/kg"</f>
        <v>0 mmol/kg</v>
      </c>
      <c r="E37" s="220" t="s">
        <v>720</v>
      </c>
      <c r="F37" s="220"/>
      <c r="G37" s="220"/>
      <c r="H37" s="220" t="s">
        <v>643</v>
      </c>
      <c r="I37" s="221" t="str">
        <f>ROUND(PedBerTot!$C$33,1)&amp;" mmol/kg"</f>
        <v>0 mmol/kg</v>
      </c>
      <c r="J37" s="220" t="s">
        <v>725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577</v>
      </c>
      <c r="C38" s="220"/>
      <c r="D38" s="221" t="str">
        <f>ROUND(PedBerTot!C23,1)&amp;" mmol/kg"</f>
        <v>0 mmol/kg</v>
      </c>
      <c r="E38" s="220" t="s">
        <v>719</v>
      </c>
      <c r="F38" s="220"/>
      <c r="G38" s="220"/>
      <c r="H38" s="220" t="s">
        <v>468</v>
      </c>
      <c r="I38" s="221" t="str">
        <f>ROUND(PedBerTot!$C$30,1)&amp;" mmol/kg"</f>
        <v>0 mmol/kg</v>
      </c>
      <c r="J38" s="220" t="s">
        <v>724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K2" sqref="K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582</v>
      </c>
      <c r="D1" s="248" t="s">
        <v>989</v>
      </c>
      <c r="E1" s="248" t="s">
        <v>990</v>
      </c>
      <c r="F1" s="248" t="s">
        <v>991</v>
      </c>
      <c r="G1" s="248" t="s">
        <v>992</v>
      </c>
      <c r="H1" s="248" t="s">
        <v>993</v>
      </c>
      <c r="I1" s="248"/>
      <c r="J1" t="s">
        <v>243</v>
      </c>
      <c r="K1" t="s">
        <v>191</v>
      </c>
      <c r="M1" t="s">
        <v>581</v>
      </c>
      <c r="N1" t="s">
        <v>508</v>
      </c>
      <c r="O1" s="248" t="s">
        <v>998</v>
      </c>
    </row>
    <row r="2" spans="1:15" x14ac:dyDescent="0.35">
      <c r="A2" s="26">
        <v>1</v>
      </c>
      <c r="B2" s="26" t="s">
        <v>479</v>
      </c>
      <c r="C2" s="26">
        <f>IF(PedBerEnt!$M$2&lt;&gt;0,INDEX(tblPerOs,KeuzePO_1,A2+1)*PedBerEnt!$M$2,0)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430</v>
      </c>
      <c r="C3" s="26">
        <f>IF(PedBerEnt!$M$2&lt;&gt;0,INDEX(tblPerOs,KeuzePO_1,A3+1)*PedBerEnt!$M$2,0)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480</v>
      </c>
      <c r="C4" s="26">
        <f>IF(PedBerEnt!$M$2&lt;&gt;0,INDEX(tblPerOs,KeuzePO_1,A4+1)*PedBerEnt!$M$2,0)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431</v>
      </c>
      <c r="C5" s="26">
        <f>IF(PedBerEnt!$M$2&lt;&gt;0,INDEX(tblPerOs,KeuzePO_1,A5+1)*PedBerEnt!$M$2,0)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472</v>
      </c>
      <c r="C6" s="26">
        <f>IF(PedBerEnt!$M$2&lt;&gt;0,INDEX(tblPerOs,KeuzePO_1,A6+1)*PedBerEnt!$M$2,0)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473</v>
      </c>
      <c r="C7" s="26">
        <f>IF(PedBerEnt!$M$2&lt;&gt;0,INDEX(tblPerOs,KeuzePO_1,A7+1)*PedBerEnt!$M$2,0)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474</v>
      </c>
      <c r="C8" s="26">
        <f>IF(PedBerEnt!$M$2&lt;&gt;0,INDEX(tblPerOs,KeuzePO_1,A8+1)*PedBerEnt!$M$2,0)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481</v>
      </c>
      <c r="C9" s="26">
        <f>IF(PedBerEnt!$M$2&lt;&gt;0,INDEX(tblPerOs,KeuzePO_1,A9+1)*PedBerEnt!$M$2,0)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475</v>
      </c>
      <c r="C10" s="26">
        <f>IF(PedBerEnt!$M$2&lt;&gt;0,INDEX(tblPerOs,KeuzePO_1,A10+1)*PedBerEnt!$M$2,0)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1682</v>
      </c>
      <c r="C11" s="26">
        <f>IF(PedBerEnt!$M$2&lt;&gt;0,INDEX(tblPerOs,KeuzePO_1,A11+1)*PedBerEnt!$M$2,0)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1683</v>
      </c>
      <c r="C12" s="26">
        <f>IF(PedBerEnt!$M$2&lt;&gt;0,INDEX(tblPerOs,KeuzePO_1,A12+1)*PedBerEnt!$M$2,0)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1088</v>
      </c>
      <c r="C13" s="26">
        <f>IF(PedBerEnt!$M$2&lt;&gt;0,INDEX(tblPerOs,KeuzePO_1,A13+1)*PedBerEnt!$M$2,0)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354</v>
      </c>
      <c r="C1" t="s">
        <v>426</v>
      </c>
      <c r="D1" t="s">
        <v>575</v>
      </c>
      <c r="E1" t="s">
        <v>426</v>
      </c>
    </row>
    <row r="2" spans="1:5" ht="13.2" x14ac:dyDescent="0.4">
      <c r="A2" s="10" t="s">
        <v>690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35">
      <c r="A3" s="5" t="s">
        <v>438</v>
      </c>
      <c r="B3">
        <f>PedBerEnt!M2</f>
        <v>0</v>
      </c>
    </row>
    <row r="4" spans="1:5" x14ac:dyDescent="0.35">
      <c r="A4" s="5" t="s">
        <v>436</v>
      </c>
      <c r="B4">
        <f>(PedBerMedIV!K18+PedBerTPN!F24+PedGuiPMenIV!J15+PedBerMedDisc!P33)</f>
        <v>0</v>
      </c>
    </row>
    <row r="5" spans="1:5" ht="13.2" x14ac:dyDescent="0.4">
      <c r="A5" s="10" t="s">
        <v>425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ht="13.2" x14ac:dyDescent="0.4">
      <c r="A6" s="603" t="s">
        <v>438</v>
      </c>
      <c r="B6">
        <f>PedBerEnt!G4</f>
        <v>0</v>
      </c>
      <c r="C6" s="8" t="s">
        <v>443</v>
      </c>
      <c r="D6" s="8" t="s">
        <v>443</v>
      </c>
    </row>
    <row r="7" spans="1:5" x14ac:dyDescent="0.35">
      <c r="A7" s="5" t="s">
        <v>442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478</v>
      </c>
      <c r="B8">
        <f>PedBerTPN!G24</f>
        <v>0</v>
      </c>
      <c r="C8" s="8" t="s">
        <v>443</v>
      </c>
      <c r="D8" s="8" t="s">
        <v>443</v>
      </c>
    </row>
    <row r="9" spans="1:5" ht="13.2" x14ac:dyDescent="0.4">
      <c r="A9" s="10" t="s">
        <v>430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ht="13.2" x14ac:dyDescent="0.4">
      <c r="A10" s="5" t="s">
        <v>438</v>
      </c>
      <c r="B10">
        <f>PedBerEnt!G3</f>
        <v>0</v>
      </c>
      <c r="C10" s="8" t="s">
        <v>443</v>
      </c>
      <c r="D10" s="8" t="s">
        <v>443</v>
      </c>
    </row>
    <row r="11" spans="1:5" ht="13.2" x14ac:dyDescent="0.4">
      <c r="A11" s="5" t="s">
        <v>436</v>
      </c>
      <c r="B11">
        <f>PedBerTPN!H24</f>
        <v>0</v>
      </c>
      <c r="C11" s="8" t="s">
        <v>443</v>
      </c>
      <c r="D11" s="8" t="s">
        <v>443</v>
      </c>
    </row>
    <row r="12" spans="1:5" ht="13.2" x14ac:dyDescent="0.4">
      <c r="A12" s="5" t="s">
        <v>104</v>
      </c>
      <c r="B12">
        <f>PedBerMedIV!Q18</f>
        <v>0</v>
      </c>
      <c r="C12" s="8"/>
      <c r="D12" s="8"/>
    </row>
    <row r="13" spans="1:5" ht="13.2" x14ac:dyDescent="0.4">
      <c r="A13" s="10" t="s">
        <v>431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ht="13.2" x14ac:dyDescent="0.4">
      <c r="A14" s="5" t="s">
        <v>438</v>
      </c>
      <c r="B14">
        <f>PedBerEnt!G5</f>
        <v>0</v>
      </c>
      <c r="C14">
        <f>B14/(Gewicht/10)</f>
        <v>0</v>
      </c>
      <c r="D14" s="8" t="s">
        <v>443</v>
      </c>
    </row>
    <row r="15" spans="1:5" ht="13.2" x14ac:dyDescent="0.4">
      <c r="A15" s="5" t="s">
        <v>436</v>
      </c>
      <c r="B15">
        <f>PedBerTPN!O24</f>
        <v>0</v>
      </c>
      <c r="C15">
        <f>B15/(Gewicht/10)</f>
        <v>0</v>
      </c>
      <c r="D15" s="8" t="s">
        <v>443</v>
      </c>
    </row>
    <row r="16" spans="1:5" x14ac:dyDescent="0.35">
      <c r="A16" s="5" t="s">
        <v>437</v>
      </c>
      <c r="B16">
        <f>PedBerMedIV!R18</f>
        <v>0</v>
      </c>
      <c r="D16">
        <f>B16*9</f>
        <v>0</v>
      </c>
    </row>
    <row r="17" spans="1:5" ht="13.2" x14ac:dyDescent="0.4">
      <c r="A17" s="10" t="s">
        <v>691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438</v>
      </c>
      <c r="B18">
        <f>PedBerEnt!G6</f>
        <v>0</v>
      </c>
      <c r="C18">
        <f>B18/(Gewicht/10)</f>
        <v>0</v>
      </c>
    </row>
    <row r="19" spans="1:5" x14ac:dyDescent="0.35">
      <c r="A19" s="5" t="s">
        <v>509</v>
      </c>
      <c r="B19">
        <f>PedGuiPMenIV!I15</f>
        <v>0</v>
      </c>
      <c r="C19">
        <f>B19/(Gewicht/10)</f>
        <v>0</v>
      </c>
    </row>
    <row r="20" spans="1:5" x14ac:dyDescent="0.35">
      <c r="A20" s="5" t="s">
        <v>442</v>
      </c>
      <c r="B20">
        <f>PedBerMedDisc!R33</f>
        <v>0</v>
      </c>
      <c r="C20">
        <f>B20/(Gewicht/10)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B21/(Gewicht/10)</f>
        <v>0</v>
      </c>
    </row>
    <row r="22" spans="1:5" x14ac:dyDescent="0.35">
      <c r="A22" s="4" t="s">
        <v>478</v>
      </c>
      <c r="B22">
        <f>PedBerTPN!I24</f>
        <v>0</v>
      </c>
      <c r="C22">
        <f>B22/(Gewicht/10)</f>
        <v>0</v>
      </c>
    </row>
    <row r="23" spans="1:5" ht="13.2" x14ac:dyDescent="0.4">
      <c r="A23" s="10" t="s">
        <v>692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438</v>
      </c>
      <c r="B24">
        <f>PedBerEnt!G7</f>
        <v>0</v>
      </c>
      <c r="C24">
        <f>B24/(Gewicht/10)</f>
        <v>0</v>
      </c>
    </row>
    <row r="25" spans="1:5" x14ac:dyDescent="0.35">
      <c r="A25" s="5" t="s">
        <v>478</v>
      </c>
      <c r="B25">
        <f>PedBerTPN!J24</f>
        <v>0</v>
      </c>
      <c r="C25">
        <f>B25/(Gewicht/10)</f>
        <v>0</v>
      </c>
    </row>
    <row r="26" spans="1:5" x14ac:dyDescent="0.35">
      <c r="A26" s="5" t="s">
        <v>442</v>
      </c>
      <c r="B26">
        <f>PedBerMedIV!P18</f>
        <v>0</v>
      </c>
      <c r="C26">
        <f>B26/(Gewicht/10)</f>
        <v>0</v>
      </c>
    </row>
    <row r="27" spans="1:5" ht="13.2" x14ac:dyDescent="0.4">
      <c r="A27" s="10" t="s">
        <v>427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438</v>
      </c>
      <c r="B28">
        <f>PedBerEnt!G8</f>
        <v>0</v>
      </c>
      <c r="C28">
        <f>B28/(Gewicht/10)</f>
        <v>0</v>
      </c>
    </row>
    <row r="29" spans="1:5" x14ac:dyDescent="0.35">
      <c r="A29" s="5" t="s">
        <v>478</v>
      </c>
      <c r="B29">
        <f>PedBerTPN!K24</f>
        <v>0</v>
      </c>
      <c r="C29">
        <f>B29/(Gewicht/10)</f>
        <v>0</v>
      </c>
    </row>
    <row r="30" spans="1:5" ht="13.2" x14ac:dyDescent="0.4">
      <c r="A30" s="10" t="s">
        <v>428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438</v>
      </c>
      <c r="B31">
        <f>PedBerEnt!G9</f>
        <v>0</v>
      </c>
      <c r="C31">
        <f>B31/(Gewicht/10)</f>
        <v>0</v>
      </c>
    </row>
    <row r="32" spans="1:5" x14ac:dyDescent="0.35">
      <c r="A32" s="5" t="s">
        <v>478</v>
      </c>
      <c r="B32">
        <f>PedBerTPN!M24</f>
        <v>0</v>
      </c>
      <c r="C32">
        <f>B32/(Gewicht/10)</f>
        <v>0</v>
      </c>
    </row>
    <row r="33" spans="1:5" ht="13.2" x14ac:dyDescent="0.4">
      <c r="A33" s="10" t="s">
        <v>429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438</v>
      </c>
      <c r="B34">
        <f>PedBerEnt!G10</f>
        <v>0</v>
      </c>
      <c r="C34">
        <f>B34/(Gewicht/10)</f>
        <v>0</v>
      </c>
    </row>
    <row r="35" spans="1:5" x14ac:dyDescent="0.35">
      <c r="A35" s="5" t="s">
        <v>436</v>
      </c>
      <c r="B35">
        <f>PedBerTPN!L24</f>
        <v>0</v>
      </c>
      <c r="C35">
        <f>B35/(Gewicht/10)</f>
        <v>0</v>
      </c>
    </row>
    <row r="36" spans="1:5" ht="13.2" x14ac:dyDescent="0.4">
      <c r="A36" s="10" t="s">
        <v>1777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438</v>
      </c>
      <c r="B37" s="517">
        <f>PedBerEnt!G11</f>
        <v>0</v>
      </c>
      <c r="C37" s="517">
        <f>B37/(Gewicht/10)</f>
        <v>0</v>
      </c>
      <c r="D37" s="517"/>
      <c r="E37" s="517"/>
    </row>
    <row r="38" spans="1:5" ht="13.2" x14ac:dyDescent="0.4">
      <c r="A38" s="10" t="s">
        <v>1776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438</v>
      </c>
      <c r="B39" s="517">
        <f>PedBerEnt!G12</f>
        <v>0</v>
      </c>
      <c r="C39" s="517">
        <f>B39/(Gewicht/10)</f>
        <v>0</v>
      </c>
      <c r="D39" s="517"/>
      <c r="E39" s="517"/>
    </row>
    <row r="40" spans="1:5" ht="13.2" x14ac:dyDescent="0.4">
      <c r="A40" s="10" t="s">
        <v>1775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438</v>
      </c>
      <c r="B41" s="517">
        <f>PedBerEnt!G13</f>
        <v>0</v>
      </c>
      <c r="C41" s="517">
        <f>B41/(Gewicht/10)</f>
        <v>0</v>
      </c>
      <c r="D41" s="517"/>
      <c r="E41" s="517"/>
    </row>
    <row r="42" spans="1:5" ht="13.2" x14ac:dyDescent="0.4">
      <c r="A42" s="13" t="s">
        <v>478</v>
      </c>
      <c r="B42" s="11"/>
      <c r="C42" s="11"/>
      <c r="D42" s="11">
        <f>PedBerTPN!N24+PedBerEnt!G2</f>
        <v>0</v>
      </c>
      <c r="E42" s="12">
        <f>D42/(Gewicht/10)</f>
        <v>0</v>
      </c>
    </row>
    <row r="44" spans="1:5" x14ac:dyDescent="0.35">
      <c r="A44" s="5" t="s">
        <v>464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978</v>
      </c>
      <c r="E1" s="518" t="s">
        <v>62</v>
      </c>
      <c r="F1" s="518" t="s">
        <v>62</v>
      </c>
      <c r="G1" s="518" t="s">
        <v>62</v>
      </c>
      <c r="H1" s="518" t="s">
        <v>364</v>
      </c>
      <c r="I1" s="518" t="s">
        <v>364</v>
      </c>
      <c r="J1" s="518" t="s">
        <v>364</v>
      </c>
      <c r="K1" s="518" t="s">
        <v>364</v>
      </c>
      <c r="L1" s="518" t="s">
        <v>364</v>
      </c>
      <c r="M1" s="518" t="s">
        <v>364</v>
      </c>
      <c r="N1" s="518" t="s">
        <v>950</v>
      </c>
      <c r="O1" s="518" t="s">
        <v>364</v>
      </c>
      <c r="Q1" s="3" t="s">
        <v>445</v>
      </c>
    </row>
    <row r="2" spans="1:17" x14ac:dyDescent="0.35">
      <c r="D2" s="518" t="s">
        <v>479</v>
      </c>
      <c r="E2" s="518" t="s">
        <v>430</v>
      </c>
      <c r="F2" s="518" t="s">
        <v>480</v>
      </c>
      <c r="G2" s="518" t="s">
        <v>431</v>
      </c>
      <c r="H2" s="518" t="s">
        <v>472</v>
      </c>
      <c r="I2" s="518" t="s">
        <v>473</v>
      </c>
      <c r="J2" s="518" t="s">
        <v>474</v>
      </c>
      <c r="K2" s="518" t="s">
        <v>481</v>
      </c>
      <c r="L2" s="518" t="s">
        <v>475</v>
      </c>
      <c r="M2" s="518" t="s">
        <v>1682</v>
      </c>
      <c r="N2" s="518" t="s">
        <v>1683</v>
      </c>
      <c r="O2" s="518" t="s">
        <v>1088</v>
      </c>
      <c r="Q2" s="266" t="s">
        <v>994</v>
      </c>
    </row>
    <row r="3" spans="1:17" x14ac:dyDescent="0.35">
      <c r="Q3" s="266" t="s">
        <v>995</v>
      </c>
    </row>
    <row r="4" spans="1:17" x14ac:dyDescent="0.35">
      <c r="A4" s="518" t="s">
        <v>1685</v>
      </c>
      <c r="B4" s="518" t="s">
        <v>373</v>
      </c>
      <c r="C4" s="518" t="s">
        <v>1962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996</v>
      </c>
    </row>
    <row r="5" spans="1:17" x14ac:dyDescent="0.35">
      <c r="A5" s="518" t="s">
        <v>1686</v>
      </c>
      <c r="B5" s="518" t="s">
        <v>1687</v>
      </c>
      <c r="C5" s="518" t="s">
        <v>1963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997</v>
      </c>
    </row>
    <row r="6" spans="1:17" x14ac:dyDescent="0.35">
      <c r="A6" s="518" t="s">
        <v>1686</v>
      </c>
      <c r="B6" s="641" t="s">
        <v>1688</v>
      </c>
      <c r="C6" s="518" t="s">
        <v>1964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2415</v>
      </c>
    </row>
    <row r="7" spans="1:17" x14ac:dyDescent="0.35">
      <c r="A7" s="518" t="s">
        <v>1260</v>
      </c>
      <c r="B7" s="613" t="s">
        <v>1689</v>
      </c>
      <c r="C7" s="518" t="s">
        <v>1965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977</v>
      </c>
      <c r="B8" s="518" t="s">
        <v>1093</v>
      </c>
      <c r="C8" s="518" t="s">
        <v>1966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977</v>
      </c>
      <c r="B9" s="518" t="s">
        <v>1752</v>
      </c>
      <c r="C9" s="518" t="s">
        <v>1967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1685</v>
      </c>
      <c r="B10" s="518" t="s">
        <v>24</v>
      </c>
      <c r="C10" s="518" t="s">
        <v>1968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1685</v>
      </c>
      <c r="B11" s="518" t="s">
        <v>1947</v>
      </c>
      <c r="C11" s="518" t="s">
        <v>1969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1685</v>
      </c>
      <c r="B12" s="518" t="s">
        <v>1769</v>
      </c>
      <c r="C12" s="518" t="s">
        <v>1970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980</v>
      </c>
      <c r="B13" s="518" t="s">
        <v>981</v>
      </c>
      <c r="C13" s="518" t="s">
        <v>1971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980</v>
      </c>
      <c r="B14" s="518" t="s">
        <v>982</v>
      </c>
      <c r="C14" s="518" t="s">
        <v>1972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980</v>
      </c>
      <c r="B15" s="518" t="s">
        <v>1948</v>
      </c>
      <c r="C15" s="518" t="s">
        <v>1973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980</v>
      </c>
      <c r="B16" s="518" t="s">
        <v>1985</v>
      </c>
      <c r="C16" s="518" t="s">
        <v>1974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983</v>
      </c>
      <c r="B17" s="518" t="s">
        <v>984</v>
      </c>
      <c r="C17" s="518" t="s">
        <v>1975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983</v>
      </c>
      <c r="B18" s="518" t="s">
        <v>985</v>
      </c>
      <c r="C18" s="518" t="s">
        <v>1976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983</v>
      </c>
      <c r="B19" s="518" t="s">
        <v>1948</v>
      </c>
      <c r="C19" s="518" t="s">
        <v>1977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983</v>
      </c>
      <c r="B20" s="518" t="s">
        <v>1985</v>
      </c>
      <c r="C20" s="518" t="s">
        <v>1978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986</v>
      </c>
      <c r="B21" s="518" t="s">
        <v>987</v>
      </c>
      <c r="C21" s="518" t="s">
        <v>1979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986</v>
      </c>
      <c r="B22" s="518" t="s">
        <v>988</v>
      </c>
      <c r="C22" s="518" t="s">
        <v>1980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986</v>
      </c>
      <c r="B23" s="518" t="s">
        <v>1949</v>
      </c>
      <c r="C23" s="518" t="s">
        <v>1981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986</v>
      </c>
      <c r="B24" s="518" t="s">
        <v>1985</v>
      </c>
      <c r="C24" s="518" t="s">
        <v>1982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1260</v>
      </c>
      <c r="B25" s="518" t="s">
        <v>1690</v>
      </c>
      <c r="C25" s="518" t="s">
        <v>1983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1260</v>
      </c>
      <c r="B26" s="641" t="s">
        <v>1691</v>
      </c>
      <c r="C26" s="518" t="s">
        <v>1984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374</v>
      </c>
      <c r="C27" s="548" t="s">
        <v>374</v>
      </c>
      <c r="D27" s="548">
        <f>SpecVoed_1/100</f>
        <v>0</v>
      </c>
      <c r="E27" s="548">
        <f>SpecVoed_2/100</f>
        <v>0</v>
      </c>
      <c r="F27" s="548">
        <f>SpecVoed_3/100</f>
        <v>0</v>
      </c>
      <c r="G27" s="548">
        <f>SpecVoed_4/100</f>
        <v>0</v>
      </c>
      <c r="H27" s="548">
        <f>SpecVoed_5/100</f>
        <v>0</v>
      </c>
      <c r="I27" s="548">
        <f>SpecVoed_6/100</f>
        <v>0</v>
      </c>
      <c r="J27" s="548">
        <f>SpecVoed_7/100</f>
        <v>0</v>
      </c>
      <c r="K27" s="548">
        <f>SpecVoed_8/100</f>
        <v>0</v>
      </c>
      <c r="L27" s="548">
        <f>SpecVoed_9/100</f>
        <v>0</v>
      </c>
      <c r="M27" s="548">
        <f>SpecVoed_10/100</f>
        <v>0</v>
      </c>
      <c r="N27" s="548">
        <f>SpecVoed_11/100</f>
        <v>0</v>
      </c>
      <c r="O27" s="548">
        <f>SpecVoed_12/100</f>
        <v>0</v>
      </c>
    </row>
    <row r="28" spans="1:15" x14ac:dyDescent="0.35">
      <c r="A28" s="518" t="s">
        <v>1003</v>
      </c>
    </row>
    <row r="30" spans="1:15" x14ac:dyDescent="0.35">
      <c r="D30" s="518" t="s">
        <v>1760</v>
      </c>
    </row>
    <row r="31" spans="1:15" x14ac:dyDescent="0.35">
      <c r="A31" s="518" t="s">
        <v>1004</v>
      </c>
    </row>
    <row r="32" spans="1:15" x14ac:dyDescent="0.35">
      <c r="B32" s="518" t="s">
        <v>1100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1692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1693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1694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1695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1696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1697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1698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1699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1700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1701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1688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1702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1703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1704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1038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1705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1706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1707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1708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1986</v>
      </c>
      <c r="C53" s="629" t="s">
        <v>1761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1762</v>
      </c>
      <c r="C54" s="629" t="s">
        <v>1762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x14ac:dyDescent="0.35"/>
    <row r="7" spans="1:82" s="847" customFormat="1" x14ac:dyDescent="0.35"/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926</v>
      </c>
      <c r="E10" s="533"/>
      <c r="F10" s="382" t="s">
        <v>927</v>
      </c>
      <c r="G10" s="533"/>
      <c r="H10" s="382" t="s">
        <v>286</v>
      </c>
      <c r="I10" s="533"/>
      <c r="J10" s="382"/>
      <c r="K10" s="533"/>
      <c r="L10" s="382" t="s">
        <v>25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596</v>
      </c>
      <c r="C43" s="531" t="str">
        <f>IF(opmAfsprBlad__9=0,"",opmAfsprBlad__9)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1334</v>
      </c>
      <c r="B3" s="271" t="s">
        <v>1335</v>
      </c>
      <c r="D3" s="287" t="s">
        <v>926</v>
      </c>
      <c r="E3" s="271" t="b">
        <v>1</v>
      </c>
      <c r="F3" s="287" t="s">
        <v>927</v>
      </c>
      <c r="G3" s="271" t="b">
        <v>1</v>
      </c>
      <c r="H3" s="287" t="s">
        <v>286</v>
      </c>
      <c r="I3" s="271" t="b">
        <v>1</v>
      </c>
      <c r="K3" s="287" t="s">
        <v>1336</v>
      </c>
      <c r="M3" s="287" t="s">
        <v>1337</v>
      </c>
      <c r="O3" s="287" t="s">
        <v>1338</v>
      </c>
    </row>
    <row r="4" spans="1:16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K4" s="271" t="str">
        <f>IF(L4,"A","")</f>
        <v/>
      </c>
      <c r="L4" s="576"/>
      <c r="M4" s="271" t="str">
        <f>IF(N4,"A","")</f>
        <v/>
      </c>
      <c r="N4" s="576"/>
      <c r="O4" s="271" t="str">
        <f t="shared" ref="O4" si="0">IF(P4,"A","")</f>
        <v/>
      </c>
      <c r="P4" s="576"/>
    </row>
    <row r="5" spans="1:16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K5" s="271" t="str">
        <f>IF(L5,"Na K","")</f>
        <v/>
      </c>
      <c r="L5" s="576"/>
      <c r="M5" s="271" t="str">
        <f>IF(N5,"Na K","")</f>
        <v/>
      </c>
      <c r="N5" s="576"/>
      <c r="O5" s="271" t="str">
        <f>IF(P5,"Na K","")</f>
        <v/>
      </c>
      <c r="P5" s="576"/>
    </row>
    <row r="6" spans="1:16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K6" s="271" t="str">
        <f>IF(L6,"Cl","")</f>
        <v/>
      </c>
      <c r="L6" s="576"/>
      <c r="M6" s="271" t="str">
        <f>IF(N6,"Cl","")</f>
        <v/>
      </c>
      <c r="N6" s="576"/>
      <c r="O6" s="271" t="str">
        <f>IF(P6,"Cl","")</f>
        <v/>
      </c>
      <c r="P6" s="576"/>
    </row>
    <row r="7" spans="1:16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K7" s="271" t="str">
        <f>IF(L7,"Gluc","")</f>
        <v/>
      </c>
      <c r="L7" s="576"/>
      <c r="M7" s="271" t="str">
        <f>IF(N7,"Gluc","")</f>
        <v/>
      </c>
      <c r="N7" s="576"/>
      <c r="O7" s="271" t="str">
        <f>IF(P7,"Gluc","")</f>
        <v/>
      </c>
      <c r="P7" s="576"/>
    </row>
    <row r="8" spans="1:16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K8" s="271" t="str">
        <f>IF(L8,"Hb Ht","")</f>
        <v/>
      </c>
      <c r="L8" s="576"/>
      <c r="M8" s="271" t="str">
        <f>IF(N8,"Hb Ht","")</f>
        <v/>
      </c>
      <c r="N8" s="576"/>
      <c r="O8" s="271" t="str">
        <f>IF(P8,"Hb Ht","")</f>
        <v/>
      </c>
      <c r="P8" s="576"/>
    </row>
    <row r="9" spans="1:16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K9" s="271" t="str">
        <f>IF(L9,"L","")</f>
        <v/>
      </c>
      <c r="L9" s="576"/>
      <c r="M9" s="271" t="str">
        <f>IF(N9,"L","")</f>
        <v/>
      </c>
      <c r="N9" s="576"/>
      <c r="O9" s="271" t="str">
        <f>IF(P9,"L","")</f>
        <v/>
      </c>
      <c r="P9" s="576"/>
    </row>
    <row r="10" spans="1:16" x14ac:dyDescent="0.35">
      <c r="B10" s="271" t="str">
        <f>IF(C10,"T","")</f>
        <v/>
      </c>
      <c r="C10" s="576"/>
      <c r="D10" s="271" t="str">
        <f>IF(E10,"T","")</f>
        <v/>
      </c>
      <c r="E10" s="576"/>
      <c r="F10" s="271" t="str">
        <f>IF(G10,"T","")</f>
        <v/>
      </c>
      <c r="G10" s="576"/>
      <c r="H10" s="271" t="str">
        <f>IF(I10,"T","")</f>
        <v/>
      </c>
      <c r="I10" s="576"/>
      <c r="K10" s="271" t="str">
        <f>IF(L10,"T","")</f>
        <v/>
      </c>
      <c r="L10" s="576"/>
      <c r="M10" s="271" t="str">
        <f>IF(N10,"T","")</f>
        <v/>
      </c>
      <c r="N10" s="576"/>
      <c r="O10" s="271" t="str">
        <f>IF(P10,"T","")</f>
        <v/>
      </c>
      <c r="P10" s="576"/>
    </row>
    <row r="11" spans="1:16" x14ac:dyDescent="0.35">
      <c r="B11" s="271" t="str">
        <f>IF(C11,"CRP","")</f>
        <v/>
      </c>
      <c r="C11" s="576"/>
      <c r="D11" s="271" t="str">
        <f>IF(E11,"CRP","")</f>
        <v/>
      </c>
      <c r="E11" s="576"/>
      <c r="F11" s="271" t="str">
        <f>IF(G11,"CRP","")</f>
        <v/>
      </c>
      <c r="G11" s="576"/>
      <c r="H11" s="271" t="str">
        <f>IF(I11,"CRP","")</f>
        <v/>
      </c>
      <c r="I11" s="576"/>
      <c r="K11" s="271" t="str">
        <f>IF(L11,"CRP","")</f>
        <v/>
      </c>
      <c r="L11" s="576"/>
      <c r="M11" s="271" t="str">
        <f>IF(N11,"CRP","")</f>
        <v/>
      </c>
      <c r="N11" s="576"/>
      <c r="O11" s="271" t="str">
        <f>IF(P11,"CRP","")</f>
        <v/>
      </c>
      <c r="P11" s="576"/>
    </row>
    <row r="12" spans="1:16" x14ac:dyDescent="0.35">
      <c r="B12" s="271" t="str">
        <f>IF(C12,"Lac","")</f>
        <v/>
      </c>
      <c r="C12" s="576"/>
      <c r="D12" s="271" t="str">
        <f>IF(E12,"Lac","")</f>
        <v/>
      </c>
      <c r="E12" s="576"/>
      <c r="F12" s="271" t="str">
        <f>IF(G12,"Lac","")</f>
        <v/>
      </c>
      <c r="G12" s="576"/>
      <c r="H12" s="271" t="str">
        <f>IF(I12,"Lac","")</f>
        <v/>
      </c>
      <c r="I12" s="576"/>
      <c r="K12" s="271" t="str">
        <f>IF(L12,"Lac","")</f>
        <v/>
      </c>
      <c r="L12" s="576"/>
      <c r="M12" s="271" t="str">
        <f>IF(N12,"Lac","")</f>
        <v/>
      </c>
      <c r="N12" s="576"/>
      <c r="O12" s="271" t="str">
        <f>IF(P12,"Lac","")</f>
        <v/>
      </c>
      <c r="P12" s="576"/>
    </row>
    <row r="13" spans="1:16" x14ac:dyDescent="0.35">
      <c r="B13" s="271" t="str">
        <f>IF(C13,"Ur","")</f>
        <v/>
      </c>
      <c r="C13" s="576"/>
      <c r="D13" s="271" t="str">
        <f>IF(E13,"Ur","")</f>
        <v/>
      </c>
      <c r="E13" s="576"/>
      <c r="F13" s="271" t="str">
        <f>IF(G13,"Ur","")</f>
        <v/>
      </c>
      <c r="G13" s="576"/>
      <c r="H13" s="271" t="str">
        <f>IF(I13,"Ur","")</f>
        <v/>
      </c>
      <c r="I13" s="576"/>
      <c r="K13" s="271" t="str">
        <f>IF(L13,"Ur","")</f>
        <v/>
      </c>
      <c r="L13" s="576"/>
      <c r="M13" s="271" t="str">
        <f>IF(N13,"Ur","")</f>
        <v/>
      </c>
      <c r="N13" s="576"/>
      <c r="O13" s="271" t="str">
        <f>IF(P13,"Ur","")</f>
        <v/>
      </c>
      <c r="P13" s="576"/>
    </row>
    <row r="14" spans="1:16" x14ac:dyDescent="0.35">
      <c r="B14" s="271" t="str">
        <f>IF(C14,"Kr","")</f>
        <v/>
      </c>
      <c r="C14" s="576"/>
      <c r="D14" s="271" t="str">
        <f>IF(E14,"Kr","")</f>
        <v/>
      </c>
      <c r="E14" s="576"/>
      <c r="F14" s="271" t="str">
        <f>IF(G14,"Kr","")</f>
        <v/>
      </c>
      <c r="G14" s="576"/>
      <c r="H14" s="271" t="str">
        <f>IF(I14,"Kr","")</f>
        <v/>
      </c>
      <c r="I14" s="576"/>
      <c r="K14" s="271" t="str">
        <f>IF(L14,"Kr","")</f>
        <v/>
      </c>
      <c r="L14" s="576"/>
      <c r="M14" s="271" t="str">
        <f>IF(N14,"Kr","")</f>
        <v/>
      </c>
      <c r="N14" s="576"/>
      <c r="O14" s="271" t="str">
        <f>IF(P14,"Kr","")</f>
        <v/>
      </c>
      <c r="P14" s="576"/>
    </row>
    <row r="15" spans="1:16" x14ac:dyDescent="0.35">
      <c r="B15" s="271" t="str">
        <f>IF(C15,"Ca++","")</f>
        <v/>
      </c>
      <c r="C15" s="576"/>
      <c r="D15" s="271" t="str">
        <f>IF(E15,"Ca++","")</f>
        <v/>
      </c>
      <c r="E15" s="576"/>
      <c r="F15" s="271" t="str">
        <f>IF(G15,"Ca++","")</f>
        <v/>
      </c>
      <c r="G15" s="576"/>
      <c r="H15" s="271" t="str">
        <f>IF(I15,"Ca++","")</f>
        <v/>
      </c>
      <c r="I15" s="576"/>
      <c r="K15" s="271" t="str">
        <f>IF(L15,"Ca++","")</f>
        <v/>
      </c>
      <c r="L15" s="576"/>
      <c r="M15" s="271" t="str">
        <f>IF(N15,"Ca++","")</f>
        <v/>
      </c>
      <c r="N15" s="576"/>
      <c r="O15" s="271" t="str">
        <f>IF(P15,"Ca++","")</f>
        <v/>
      </c>
      <c r="P15" s="576"/>
    </row>
    <row r="16" spans="1:16" x14ac:dyDescent="0.35">
      <c r="B16" s="271" t="str">
        <f>IF(C16,"Mg++","")</f>
        <v/>
      </c>
      <c r="C16" s="576"/>
      <c r="D16" s="271" t="str">
        <f>IF(E16,"Mg++","")</f>
        <v/>
      </c>
      <c r="E16" s="576"/>
      <c r="F16" s="271" t="str">
        <f>IF(G16,"Mg++","")</f>
        <v/>
      </c>
      <c r="G16" s="576"/>
      <c r="H16" s="271" t="str">
        <f>IF(I16,"Mg++","")</f>
        <v/>
      </c>
      <c r="I16" s="576"/>
      <c r="K16" s="271" t="str">
        <f>IF(L16,"Mg++","")</f>
        <v/>
      </c>
      <c r="L16" s="576"/>
      <c r="M16" s="271" t="str">
        <f>IF(N16,"Mg++","")</f>
        <v/>
      </c>
      <c r="N16" s="576"/>
      <c r="O16" s="271" t="str">
        <f>IF(P16,"Mg++","")</f>
        <v/>
      </c>
      <c r="P16" s="576"/>
    </row>
    <row r="17" spans="2:16" x14ac:dyDescent="0.35">
      <c r="B17" s="271" t="str">
        <f>IF(C17,"Fosfaat","")</f>
        <v/>
      </c>
      <c r="C17" s="576"/>
      <c r="D17" s="271" t="str">
        <f>IF(E17,"Fosfaat","")</f>
        <v/>
      </c>
      <c r="E17" s="576"/>
      <c r="F17" s="271" t="str">
        <f>IF(G17,"Fosfaat","")</f>
        <v/>
      </c>
      <c r="G17" s="576"/>
      <c r="H17" s="271" t="str">
        <f>IF(I17,"Fosfaat","")</f>
        <v/>
      </c>
      <c r="I17" s="576"/>
      <c r="K17" s="271" t="str">
        <f>IF(L17,"Fosfaat","")</f>
        <v/>
      </c>
      <c r="L17" s="576"/>
      <c r="M17" s="271" t="str">
        <f>IF(N17,"Fosfaat","")</f>
        <v/>
      </c>
      <c r="N17" s="576"/>
      <c r="O17" s="271" t="str">
        <f>IF(P17,"Fosfaat","")</f>
        <v/>
      </c>
      <c r="P17" s="576"/>
    </row>
    <row r="18" spans="2:16" x14ac:dyDescent="0.35">
      <c r="B18" s="271" t="str">
        <f>IF(C18,"Alb","")</f>
        <v/>
      </c>
      <c r="C18" s="576"/>
      <c r="D18" s="271" t="str">
        <f>IF(E18,"Alb","")</f>
        <v/>
      </c>
      <c r="E18" s="576"/>
      <c r="F18" s="271" t="str">
        <f>IF(G18,"Alb","")</f>
        <v/>
      </c>
      <c r="G18" s="576"/>
      <c r="H18" s="271" t="str">
        <f>IF(I18,"Alb","")</f>
        <v/>
      </c>
      <c r="I18" s="576"/>
      <c r="K18" s="271" t="str">
        <f>IF(L18,"Alb","")</f>
        <v/>
      </c>
      <c r="L18" s="576"/>
      <c r="M18" s="271" t="str">
        <f>IF(N18,"Alb","")</f>
        <v/>
      </c>
      <c r="N18" s="576"/>
      <c r="O18" s="271" t="str">
        <f>IF(P18,"Alb","")</f>
        <v/>
      </c>
      <c r="P18" s="576"/>
    </row>
    <row r="19" spans="2:16" x14ac:dyDescent="0.35">
      <c r="B19" s="271" t="str">
        <f>IF(C19,"Ca","")</f>
        <v/>
      </c>
      <c r="C19" s="576"/>
      <c r="D19" s="271" t="str">
        <f>IF(E19,"Ca","")</f>
        <v/>
      </c>
      <c r="E19" s="576"/>
      <c r="F19" s="271" t="str">
        <f>IF(G19,"Ca","")</f>
        <v/>
      </c>
      <c r="G19" s="576"/>
      <c r="H19" s="271" t="str">
        <f>IF(I19,"Ca","")</f>
        <v/>
      </c>
      <c r="I19" s="576"/>
      <c r="K19" s="271" t="str">
        <f>IF(L19,"Ca","")</f>
        <v/>
      </c>
      <c r="L19" s="576"/>
      <c r="M19" s="271" t="str">
        <f>IF(N19,"Ca","")</f>
        <v/>
      </c>
      <c r="N19" s="576"/>
      <c r="O19" s="271" t="str">
        <f>IF(P19,"Ca","")</f>
        <v/>
      </c>
      <c r="P19" s="576"/>
    </row>
    <row r="20" spans="2:16" x14ac:dyDescent="0.35">
      <c r="B20" s="271" t="str">
        <f>IF(C20,"ASAT","")</f>
        <v/>
      </c>
      <c r="C20" s="576"/>
      <c r="D20" s="271" t="str">
        <f>IF(E20,"ASAT","")</f>
        <v/>
      </c>
      <c r="E20" s="576"/>
      <c r="F20" s="271" t="str">
        <f>IF(G20,"ASAT","")</f>
        <v/>
      </c>
      <c r="G20" s="576"/>
      <c r="H20" s="271" t="str">
        <f>IF(I20,"ASAT","")</f>
        <v/>
      </c>
      <c r="I20" s="576"/>
      <c r="K20" s="271" t="str">
        <f>IF(L20,"ASAT","")</f>
        <v/>
      </c>
      <c r="L20" s="576"/>
      <c r="M20" s="271" t="str">
        <f>IF(N20,"ASAT","")</f>
        <v/>
      </c>
      <c r="N20" s="576"/>
      <c r="O20" s="271" t="str">
        <f>IF(P20,"ASAT","")</f>
        <v/>
      </c>
      <c r="P20" s="576"/>
    </row>
    <row r="21" spans="2:16" x14ac:dyDescent="0.35">
      <c r="B21" s="271" t="str">
        <f>IF(C21,"ALAT","")</f>
        <v/>
      </c>
      <c r="C21" s="576"/>
      <c r="D21" s="271" t="str">
        <f>IF(E21,"ALAT","")</f>
        <v/>
      </c>
      <c r="E21" s="576"/>
      <c r="F21" s="271" t="str">
        <f>IF(G21,"ALAT","")</f>
        <v/>
      </c>
      <c r="G21" s="576"/>
      <c r="H21" s="271" t="str">
        <f>IF(I21,"ALAT","")</f>
        <v/>
      </c>
      <c r="I21" s="576"/>
      <c r="K21" s="271" t="str">
        <f>IF(L21,"Alat","")</f>
        <v/>
      </c>
      <c r="L21" s="576"/>
      <c r="M21" s="271" t="str">
        <f>IF(N21,"ALAT","")</f>
        <v/>
      </c>
      <c r="N21" s="576"/>
      <c r="O21" s="271" t="str">
        <f>IF(P21,"ALAT","")</f>
        <v/>
      </c>
      <c r="P21" s="576"/>
    </row>
    <row r="22" spans="2:16" x14ac:dyDescent="0.35">
      <c r="B22" s="271" t="str">
        <f>IF(C22,"GGT","")</f>
        <v/>
      </c>
      <c r="C22" s="576"/>
      <c r="D22" s="271" t="str">
        <f>IF(E22,"GGT","")</f>
        <v/>
      </c>
      <c r="E22" s="576"/>
      <c r="F22" s="271" t="str">
        <f>IF(G22,"GGT","")</f>
        <v/>
      </c>
      <c r="G22" s="576"/>
      <c r="H22" s="271" t="str">
        <f>IF(I22,"GGT","")</f>
        <v/>
      </c>
      <c r="I22" s="576"/>
      <c r="K22" s="271" t="str">
        <f>IF(L22,"GGT","")</f>
        <v/>
      </c>
      <c r="L22" s="576"/>
      <c r="M22" s="271" t="str">
        <f>IF(N22,"GGT","")</f>
        <v/>
      </c>
      <c r="N22" s="576"/>
      <c r="O22" s="271" t="str">
        <f>IF(P22,"GGT","")</f>
        <v/>
      </c>
      <c r="P22" s="576"/>
    </row>
    <row r="23" spans="2:16" x14ac:dyDescent="0.35">
      <c r="B23" s="271" t="str">
        <f>IF(C23,"AF","")</f>
        <v/>
      </c>
      <c r="C23" s="576"/>
      <c r="D23" s="271" t="str">
        <f>IF(E23,"AF","")</f>
        <v/>
      </c>
      <c r="E23" s="576"/>
      <c r="F23" s="271" t="str">
        <f>IF(G23,"AF","")</f>
        <v/>
      </c>
      <c r="G23" s="576"/>
      <c r="H23" s="271" t="str">
        <f>IF(I23,"AF","")</f>
        <v/>
      </c>
      <c r="I23" s="576"/>
      <c r="K23" s="271" t="str">
        <f>IF(L23,"AF","")</f>
        <v/>
      </c>
      <c r="L23" s="576"/>
      <c r="M23" s="271" t="str">
        <f>IF(N23,"AF","")</f>
        <v/>
      </c>
      <c r="N23" s="576"/>
      <c r="O23" s="271" t="str">
        <f>IF(P23,"AF","")</f>
        <v/>
      </c>
      <c r="P23" s="576"/>
    </row>
    <row r="24" spans="2:16" x14ac:dyDescent="0.35">
      <c r="B24" s="271" t="str">
        <f>IF(C24,"LDH","")</f>
        <v/>
      </c>
      <c r="C24" s="576"/>
      <c r="D24" s="271" t="str">
        <f>IF(E24,"LDH","")</f>
        <v/>
      </c>
      <c r="E24" s="576"/>
      <c r="F24" s="271" t="str">
        <f>IF(G24,"LDH","")</f>
        <v/>
      </c>
      <c r="G24" s="576"/>
      <c r="H24" s="271" t="str">
        <f>IF(I24,"LDH","")</f>
        <v/>
      </c>
      <c r="I24" s="576"/>
      <c r="K24" s="271" t="str">
        <f>IF(L24,"LDH","")</f>
        <v/>
      </c>
      <c r="L24" s="576"/>
      <c r="M24" s="271" t="str">
        <f>IF(N24,"LDH","")</f>
        <v/>
      </c>
      <c r="N24" s="576"/>
      <c r="O24" s="271" t="str">
        <f>IF(P24,"LDH","")</f>
        <v/>
      </c>
      <c r="P24" s="576"/>
    </row>
    <row r="25" spans="2:16" x14ac:dyDescent="0.35">
      <c r="B25" s="271" t="str">
        <f>IF(C25,"Bili","")</f>
        <v/>
      </c>
      <c r="C25" s="576"/>
      <c r="D25" s="271" t="str">
        <f>IF(E25,"Bili","")</f>
        <v/>
      </c>
      <c r="E25" s="576"/>
      <c r="F25" s="271" t="str">
        <f>IF(G25,"Bili","")</f>
        <v/>
      </c>
      <c r="G25" s="576"/>
      <c r="H25" s="271" t="str">
        <f>IF(I25,"Bili","")</f>
        <v/>
      </c>
      <c r="I25" s="576"/>
      <c r="K25" s="271" t="str">
        <f>IF(L25,"Blil","")</f>
        <v/>
      </c>
      <c r="L25" s="576"/>
      <c r="M25" s="271" t="str">
        <f>IF(N25,"Bili","")</f>
        <v/>
      </c>
      <c r="N25" s="576"/>
      <c r="O25" s="271" t="str">
        <f>IF(P25,"Bili","")</f>
        <v/>
      </c>
      <c r="P25" s="576"/>
    </row>
    <row r="26" spans="2:16" x14ac:dyDescent="0.35">
      <c r="B26" s="271" t="str">
        <f>IF(C26,"CK","")</f>
        <v/>
      </c>
      <c r="C26" s="576"/>
      <c r="D26" s="271" t="str">
        <f>IF(E26,"CK","")</f>
        <v/>
      </c>
      <c r="E26" s="576"/>
      <c r="F26" s="271" t="str">
        <f>IF(G26,"CK","")</f>
        <v/>
      </c>
      <c r="G26" s="576"/>
      <c r="H26" s="271" t="str">
        <f>IF(I26,"CK","")</f>
        <v/>
      </c>
      <c r="I26" s="576"/>
      <c r="K26" s="271" t="str">
        <f>IF(L26,"CK","")</f>
        <v/>
      </c>
      <c r="L26" s="576"/>
      <c r="M26" s="271" t="str">
        <f>IF(N26,"CK","")</f>
        <v/>
      </c>
      <c r="N26" s="576"/>
      <c r="O26" s="271" t="str">
        <f>IF(P26,"CK","")</f>
        <v/>
      </c>
      <c r="P26" s="576"/>
    </row>
    <row r="27" spans="2:16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K27" s="271" t="str">
        <f>IF(L27,"TG","")</f>
        <v/>
      </c>
      <c r="L27" s="576"/>
      <c r="M27" s="271" t="str">
        <f>IF(N27,"TG","")</f>
        <v/>
      </c>
      <c r="N27" s="576"/>
      <c r="O27" s="271" t="str">
        <f>IF(P27,"TG","")</f>
        <v/>
      </c>
      <c r="P27" s="576"/>
    </row>
    <row r="28" spans="2:16" x14ac:dyDescent="0.35">
      <c r="B28" s="271" t="str">
        <f>IF(C28,"BG","")</f>
        <v/>
      </c>
      <c r="C28" s="576"/>
      <c r="D28" s="271" t="str">
        <f>IF(E28,"BG","")</f>
        <v/>
      </c>
      <c r="E28" s="576"/>
      <c r="F28" s="271" t="str">
        <f>IF(G28,"BG","")</f>
        <v/>
      </c>
      <c r="G28" s="576"/>
      <c r="H28" s="271" t="str">
        <f>IF(I28,"BG","")</f>
        <v/>
      </c>
      <c r="I28" s="576"/>
      <c r="K28" s="271" t="str">
        <f>IF(L28,"BG","")</f>
        <v/>
      </c>
      <c r="L28" s="576"/>
      <c r="M28" s="271" t="str">
        <f>IF(N28,"BG","")</f>
        <v/>
      </c>
      <c r="N28" s="576"/>
      <c r="O28" s="271" t="str">
        <f>IF(P28,"BG","")</f>
        <v/>
      </c>
      <c r="P28" s="576"/>
    </row>
    <row r="29" spans="2:16" x14ac:dyDescent="0.35">
      <c r="B29" s="271" t="str">
        <f>IF(C29,"PT","")</f>
        <v/>
      </c>
      <c r="C29" s="576"/>
      <c r="D29" s="271" t="str">
        <f>IF(E29,"PT","")</f>
        <v/>
      </c>
      <c r="E29" s="576"/>
      <c r="F29" s="271" t="str">
        <f>IF(G29,"PT","")</f>
        <v/>
      </c>
      <c r="G29" s="576"/>
      <c r="H29" s="271" t="str">
        <f>IF(I29,"PT","")</f>
        <v/>
      </c>
      <c r="I29" s="576"/>
      <c r="K29" s="271" t="str">
        <f>IF(L29,"PT","")</f>
        <v/>
      </c>
      <c r="L29" s="576"/>
      <c r="M29" s="271" t="str">
        <f>IF(N29,"PT","")</f>
        <v/>
      </c>
      <c r="N29" s="576"/>
      <c r="O29" s="271" t="str">
        <f>IF(P29,"PT","")</f>
        <v/>
      </c>
      <c r="P29" s="576"/>
    </row>
    <row r="30" spans="2:16" x14ac:dyDescent="0.35">
      <c r="B30" s="271" t="str">
        <f>IF(C30,"APTT","")</f>
        <v/>
      </c>
      <c r="C30" s="576"/>
      <c r="D30" s="271" t="str">
        <f>IF(E30,"APTT","")</f>
        <v/>
      </c>
      <c r="E30" s="576"/>
      <c r="F30" s="271" t="str">
        <f>IF(G30,"APTT","")</f>
        <v/>
      </c>
      <c r="G30" s="576"/>
      <c r="H30" s="271" t="str">
        <f>IF(I30,"APTT","")</f>
        <v/>
      </c>
      <c r="I30" s="576"/>
      <c r="K30" s="271" t="str">
        <f>IF(L30,"APTT","")</f>
        <v/>
      </c>
      <c r="L30" s="576"/>
      <c r="M30" s="271" t="str">
        <f>IF(N30,"APTT","")</f>
        <v/>
      </c>
      <c r="N30" s="576"/>
      <c r="O30" s="271" t="str">
        <f>IF(P30,"APTT","")</f>
        <v/>
      </c>
      <c r="P30" s="576"/>
    </row>
    <row r="31" spans="2:16" x14ac:dyDescent="0.35">
      <c r="B31" s="271" t="str">
        <f>IF(C31,"d-dimeren","")</f>
        <v/>
      </c>
      <c r="C31" s="576"/>
      <c r="D31" s="271" t="str">
        <f>IF(E31,"d-dimeren","")</f>
        <v/>
      </c>
      <c r="E31" s="576"/>
      <c r="F31" s="271" t="str">
        <f>IF(G31,"d-dimeren","")</f>
        <v/>
      </c>
      <c r="G31" s="576"/>
      <c r="H31" s="271" t="str">
        <f>IF(I31,"d-dimeren","")</f>
        <v/>
      </c>
      <c r="I31" s="576"/>
      <c r="K31" s="271" t="str">
        <f>IF(L31,"d-dimeren","")</f>
        <v/>
      </c>
      <c r="L31" s="576"/>
      <c r="M31" s="271" t="str">
        <f>IF(N31,"d-dimeren","")</f>
        <v/>
      </c>
      <c r="N31" s="576"/>
      <c r="O31" s="271" t="str">
        <f>IF(P31,"d-dimeren","")</f>
        <v/>
      </c>
      <c r="P31" s="576"/>
    </row>
    <row r="32" spans="2:16" x14ac:dyDescent="0.35">
      <c r="B32" s="271" t="str">
        <f>IF(C32,"INR","")</f>
        <v/>
      </c>
      <c r="C32" s="576"/>
      <c r="D32" s="271" t="str">
        <f>IF(E32,"INR","")</f>
        <v/>
      </c>
      <c r="E32" s="576"/>
      <c r="F32" s="271" t="str">
        <f t="shared" ref="F32" si="1">IF(G32,"INR","")</f>
        <v/>
      </c>
      <c r="G32" s="576"/>
      <c r="H32" s="271" t="str">
        <f t="shared" ref="H32" si="2">IF(I32,"INR","")</f>
        <v/>
      </c>
      <c r="I32" s="576"/>
      <c r="K32" s="271" t="str">
        <f t="shared" ref="K32:K35" si="3">IF(L32,"INR","")</f>
        <v/>
      </c>
      <c r="L32" s="576"/>
      <c r="M32" s="271" t="str">
        <f>IF(N32,"INR","")</f>
        <v/>
      </c>
      <c r="N32" s="576"/>
      <c r="O32" s="271" t="str">
        <f>IF(P32,"INR","")</f>
        <v/>
      </c>
      <c r="P32" s="576"/>
    </row>
    <row r="33" spans="2:16" x14ac:dyDescent="0.35">
      <c r="B33" s="271" t="str">
        <f>IF(C33,"Hep-ratio","")</f>
        <v/>
      </c>
      <c r="C33" s="576"/>
      <c r="D33" s="271" t="str">
        <f>IF(E33,"Hep-ratio","")</f>
        <v/>
      </c>
      <c r="E33" s="576"/>
      <c r="F33" s="271" t="str">
        <f>IF(G33,"Hep-ratio","")</f>
        <v/>
      </c>
      <c r="G33" s="576"/>
      <c r="H33" s="271" t="str">
        <f>IF(I33,"Hep-ratio","")</f>
        <v/>
      </c>
      <c r="I33" s="576"/>
      <c r="K33" s="271" t="str">
        <f>IF(L33,"Hep-ratio","")</f>
        <v/>
      </c>
      <c r="L33" s="576"/>
      <c r="M33" s="271" t="str">
        <f>IF(N33,"Hep-ratio","")</f>
        <v/>
      </c>
      <c r="N33" s="576"/>
      <c r="O33" s="271" t="str">
        <f>IF(P33,"Hep-ratio","")</f>
        <v/>
      </c>
      <c r="P33" s="576"/>
    </row>
    <row r="34" spans="2:16" x14ac:dyDescent="0.35">
      <c r="B34" s="271" t="str">
        <f>IF(C34,"BNP","")</f>
        <v/>
      </c>
      <c r="C34" s="576"/>
      <c r="D34" s="271" t="str">
        <f>IF(E34,"BNP","")</f>
        <v/>
      </c>
      <c r="E34" s="576"/>
      <c r="F34" s="271" t="str">
        <f>IF(G34,"BNP","")</f>
        <v/>
      </c>
      <c r="G34" s="576"/>
      <c r="H34" s="271" t="str">
        <f>IF(I34,"BNP","")</f>
        <v/>
      </c>
      <c r="I34" s="576"/>
      <c r="K34" s="271" t="str">
        <f>IF(L34,"BNP","")</f>
        <v/>
      </c>
      <c r="L34" s="576"/>
      <c r="M34" s="271" t="str">
        <f>IF(N34,"BNP","")</f>
        <v/>
      </c>
      <c r="N34" s="576"/>
      <c r="O34" s="271" t="str">
        <f>IF(P34,"BNP","")</f>
        <v/>
      </c>
      <c r="P34" s="576"/>
    </row>
    <row r="35" spans="2:16" x14ac:dyDescent="0.35">
      <c r="B35" s="271" t="str">
        <f>IF(C35,"ACT","")</f>
        <v/>
      </c>
      <c r="C35" s="576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A6" sqref="A6"/>
    </sheetView>
  </sheetViews>
  <sheetFormatPr defaultColWidth="9.1328125" defaultRowHeight="12.85" x14ac:dyDescent="0.35"/>
  <cols>
    <col min="1" max="1" width="9.8632812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623</v>
      </c>
      <c r="C2" s="566">
        <f ca="1">AfspraakDatum</f>
        <v>42728</v>
      </c>
      <c r="D2" s="567"/>
      <c r="E2" s="565" t="s">
        <v>624</v>
      </c>
      <c r="F2" s="568">
        <f>OpnDatum</f>
        <v>42370</v>
      </c>
      <c r="G2" s="565" t="str">
        <f ca="1">"ICU-dag: "&amp;AfspraakDatum-OpnDatum+1</f>
        <v>ICU-dag: 359</v>
      </c>
      <c r="H2" s="565"/>
      <c r="I2" s="565" t="s">
        <v>1002</v>
      </c>
      <c r="J2" s="569">
        <f>BedNummer</f>
        <v>0</v>
      </c>
    </row>
    <row r="3" spans="1:17" s="564" customFormat="1" ht="17.25" customHeight="1" x14ac:dyDescent="0.4">
      <c r="B3" s="565" t="s">
        <v>54</v>
      </c>
      <c r="C3" s="570" t="str">
        <f>__2_AchterNaam&amp;", "&amp;__3_VoorNaam</f>
        <v>Achternaam, Voornaam</v>
      </c>
      <c r="D3" s="570"/>
      <c r="E3" s="565" t="s">
        <v>638</v>
      </c>
      <c r="F3" s="568">
        <f>__4_GebDatum</f>
        <v>42370</v>
      </c>
      <c r="G3" s="569" t="str">
        <f>"Gewicht: "&amp;Gewicht/10&amp;" kg"</f>
        <v>Gewicht: 10 kg</v>
      </c>
      <c r="H3" s="565"/>
      <c r="I3" s="569" t="str">
        <f>"Lengte: "&amp;Lengte&amp;" cm"</f>
        <v>Lengte: 80 cm</v>
      </c>
      <c r="J3" s="565"/>
    </row>
    <row r="4" spans="1:17" s="564" customFormat="1" ht="17.25" customHeight="1" x14ac:dyDescent="0.4">
      <c r="A4" s="571"/>
      <c r="B4" s="565" t="s">
        <v>707</v>
      </c>
      <c r="C4" s="569">
        <f>__0_PatNum</f>
        <v>0</v>
      </c>
      <c r="D4" s="567"/>
      <c r="E4" s="565" t="s">
        <v>573</v>
      </c>
      <c r="F4" s="572" t="str">
        <f ca="1">TRUNC((AfspraakDatum-__4_GebDatum)/365,0)&amp;" jaar en "&amp;TRUNC(((AfspraakDatum-__4_GebDatum)-365*TRUNC((AfspraakDatum-__4_GebDatum)/365,0))/30,0)&amp;" maand(-en)"</f>
        <v>0 jaar en 11 maand(-en)</v>
      </c>
      <c r="G4" s="565"/>
      <c r="I4" s="565" t="str">
        <f>"Lichamelijk oppervlak: "&amp;ROUND(POWER(Gewicht/10,0.425)*POWER(((Lengte/100)*100),0.725)*0.007184,2)&amp;" m2"</f>
        <v>Lichamelijk oppervlak: 0,46 m2</v>
      </c>
      <c r="J4" s="565"/>
    </row>
    <row r="6" spans="1:17" ht="13.2" x14ac:dyDescent="0.4">
      <c r="A6" s="579"/>
      <c r="B6" s="556" t="s">
        <v>1474</v>
      </c>
      <c r="F6" s="556" t="s">
        <v>1481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1747</v>
      </c>
      <c r="I10" s="623" t="str">
        <f>IF(Aanvullend_Verliezen_Ped=0,"",Aanvullend_Verliezen_Ped)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1655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2" t="str">
        <f>IF(Aanvullend_Overige_Ped=0,"",Aanvullend_Overige_Ped)</f>
        <v/>
      </c>
      <c r="G18" s="872"/>
      <c r="H18" s="872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2"/>
      <c r="G19" s="872"/>
      <c r="H19" s="872"/>
      <c r="K19" s="574"/>
      <c r="N19" s="560"/>
    </row>
    <row r="20" spans="1:14" ht="18" customHeight="1" x14ac:dyDescent="0.35">
      <c r="F20" s="872"/>
      <c r="G20" s="872"/>
      <c r="H20" s="872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1480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1723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1725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1319</v>
      </c>
      <c r="M40" s="560"/>
    </row>
    <row r="41" spans="2:13" ht="18" customHeight="1" x14ac:dyDescent="0.35">
      <c r="B41" s="560" t="s">
        <v>1474</v>
      </c>
      <c r="C41" s="557" t="str">
        <f>IFERROR(LEFT(_Aanvullend_Controles_Ped,LEN(_Aanvullend_Controles_Ped)-3),"")</f>
        <v/>
      </c>
      <c r="M41" s="560"/>
    </row>
    <row r="42" spans="2:13" ht="18" customHeight="1" x14ac:dyDescent="0.35">
      <c r="B42" s="560" t="s">
        <v>1480</v>
      </c>
      <c r="C42" s="557" t="str">
        <f>IFERROR(LEFT(_Aanvullend_Onderzoek_Ped,LEN(_Aanvullend_Onderzoek_Ped)-3),"")</f>
        <v/>
      </c>
    </row>
    <row r="43" spans="2:13" ht="18" customHeight="1" x14ac:dyDescent="0.35">
      <c r="B43" s="557" t="s">
        <v>1723</v>
      </c>
      <c r="C43" s="557" t="str">
        <f>IFERROR(LEFT(_Aanvullend_Instellingen_Ped,LEN(_Aanvullend_Instellingen_Ped)-3),"")</f>
        <v/>
      </c>
      <c r="M43" s="560"/>
    </row>
    <row r="44" spans="2:13" ht="18" customHeight="1" x14ac:dyDescent="0.35">
      <c r="B44" s="560" t="s">
        <v>1332</v>
      </c>
      <c r="C44" s="557" t="str">
        <f>IFERROR(LEFT(_Aanvullend_Overig_Ped,LEN(_Aanvullend_Overig_Ped)-3),"")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abSelected="1" topLeftCell="A9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1474</v>
      </c>
      <c r="E6" s="559" t="s">
        <v>1332</v>
      </c>
    </row>
    <row r="7" spans="1:8" x14ac:dyDescent="0.35">
      <c r="A7" s="560" t="s">
        <v>572</v>
      </c>
      <c r="B7" s="579"/>
      <c r="C7" s="579"/>
      <c r="D7" s="580"/>
      <c r="E7" s="561" t="s">
        <v>1318</v>
      </c>
      <c r="F7" s="579"/>
    </row>
    <row r="8" spans="1:8" x14ac:dyDescent="0.35">
      <c r="A8" s="560" t="s">
        <v>265</v>
      </c>
      <c r="B8" s="579"/>
      <c r="C8" s="579"/>
      <c r="D8" s="580"/>
      <c r="E8" s="561" t="s">
        <v>1328</v>
      </c>
      <c r="F8" s="579"/>
    </row>
    <row r="9" spans="1:8" x14ac:dyDescent="0.35">
      <c r="A9" s="557" t="s">
        <v>1652</v>
      </c>
      <c r="B9" s="579"/>
      <c r="C9" s="579"/>
      <c r="D9" s="580"/>
      <c r="E9" s="561" t="s">
        <v>1732</v>
      </c>
      <c r="F9" s="579"/>
    </row>
    <row r="10" spans="1:8" x14ac:dyDescent="0.35">
      <c r="A10" s="557" t="s">
        <v>1711</v>
      </c>
      <c r="B10" s="579"/>
      <c r="C10" s="579"/>
      <c r="D10" s="580"/>
      <c r="E10" s="561" t="s">
        <v>1733</v>
      </c>
      <c r="F10" s="579"/>
    </row>
    <row r="11" spans="1:8" x14ac:dyDescent="0.35">
      <c r="A11" s="560" t="s">
        <v>1532</v>
      </c>
      <c r="B11" s="579"/>
      <c r="C11" s="560" t="s">
        <v>1476</v>
      </c>
      <c r="D11" s="580"/>
      <c r="E11" s="561" t="s">
        <v>1734</v>
      </c>
      <c r="F11" s="579"/>
    </row>
    <row r="12" spans="1:8" x14ac:dyDescent="0.35">
      <c r="A12" s="560" t="s">
        <v>1534</v>
      </c>
      <c r="B12" s="617"/>
      <c r="C12" s="562" t="s">
        <v>1477</v>
      </c>
      <c r="D12" s="580"/>
      <c r="E12" s="561" t="s">
        <v>1326</v>
      </c>
      <c r="F12" s="579"/>
    </row>
    <row r="13" spans="1:8" x14ac:dyDescent="0.35">
      <c r="B13" s="579"/>
      <c r="C13" s="560" t="s">
        <v>1478</v>
      </c>
      <c r="D13" s="580"/>
      <c r="E13" s="563" t="s">
        <v>1735</v>
      </c>
      <c r="F13" s="579"/>
    </row>
    <row r="14" spans="1:8" x14ac:dyDescent="0.35">
      <c r="B14" s="579"/>
      <c r="C14" s="560" t="s">
        <v>1479</v>
      </c>
      <c r="D14" s="580"/>
      <c r="E14" s="563" t="s">
        <v>1736</v>
      </c>
      <c r="F14" s="579"/>
    </row>
    <row r="15" spans="1:8" x14ac:dyDescent="0.35">
      <c r="A15" s="560" t="s">
        <v>1533</v>
      </c>
      <c r="B15" s="579"/>
      <c r="D15" s="580"/>
      <c r="E15" s="563" t="s">
        <v>1737</v>
      </c>
      <c r="F15" s="579"/>
    </row>
    <row r="16" spans="1:8" x14ac:dyDescent="0.35">
      <c r="A16" s="557" t="s">
        <v>1274</v>
      </c>
      <c r="B16" s="579"/>
      <c r="D16" s="580"/>
      <c r="E16" s="561" t="s">
        <v>1746</v>
      </c>
      <c r="F16" s="579"/>
      <c r="G16" s="579"/>
      <c r="H16" s="560"/>
    </row>
    <row r="17" spans="1:8" x14ac:dyDescent="0.35">
      <c r="A17" s="560" t="s">
        <v>1273</v>
      </c>
      <c r="B17" s="579"/>
      <c r="D17" s="580"/>
      <c r="E17" s="561" t="s">
        <v>1332</v>
      </c>
      <c r="F17" s="579"/>
    </row>
    <row r="18" spans="1:8" x14ac:dyDescent="0.35">
      <c r="E18" s="561" t="s">
        <v>1638</v>
      </c>
      <c r="F18" s="579"/>
      <c r="G18" s="579"/>
      <c r="H18" s="579"/>
    </row>
    <row r="19" spans="1:8" ht="13.2" x14ac:dyDescent="0.4">
      <c r="A19" s="556" t="s">
        <v>1480</v>
      </c>
      <c r="B19" s="579"/>
      <c r="E19" s="561"/>
    </row>
    <row r="20" spans="1:8" x14ac:dyDescent="0.35">
      <c r="A20" s="560" t="s">
        <v>1709</v>
      </c>
      <c r="B20" s="579"/>
      <c r="D20" s="580"/>
      <c r="E20" s="561"/>
    </row>
    <row r="21" spans="1:8" x14ac:dyDescent="0.35">
      <c r="A21" s="560" t="s">
        <v>64</v>
      </c>
      <c r="B21" s="579"/>
      <c r="D21" s="580"/>
    </row>
    <row r="22" spans="1:8" x14ac:dyDescent="0.35">
      <c r="A22" s="560" t="s">
        <v>1535</v>
      </c>
      <c r="B22" s="579"/>
      <c r="D22" s="580"/>
    </row>
    <row r="23" spans="1:8" x14ac:dyDescent="0.35">
      <c r="A23" s="560" t="s">
        <v>1536</v>
      </c>
      <c r="B23" s="579"/>
      <c r="D23" s="580"/>
    </row>
    <row r="24" spans="1:8" x14ac:dyDescent="0.35">
      <c r="A24" s="557" t="s">
        <v>1738</v>
      </c>
      <c r="B24" s="579"/>
      <c r="D24" s="580"/>
    </row>
    <row r="25" spans="1:8" x14ac:dyDescent="0.35">
      <c r="A25" s="557" t="s">
        <v>1739</v>
      </c>
      <c r="B25" s="579"/>
      <c r="D25" s="580"/>
    </row>
    <row r="26" spans="1:8" ht="13.2" x14ac:dyDescent="0.4">
      <c r="A26" s="556" t="s">
        <v>1723</v>
      </c>
      <c r="B26" s="579"/>
      <c r="D26" s="580"/>
    </row>
    <row r="27" spans="1:8" x14ac:dyDescent="0.35">
      <c r="A27" s="560" t="s">
        <v>1537</v>
      </c>
      <c r="B27" s="579"/>
      <c r="C27" s="557" t="str">
        <f t="shared" ref="C27:C35" si="0">IF(OR(D27=0,D27=1,D27=""),"",INDEX(Aanvullend_ThoraxDrainSub2,D27,0))</f>
        <v/>
      </c>
      <c r="D27" s="579"/>
    </row>
    <row r="28" spans="1:8" x14ac:dyDescent="0.35">
      <c r="B28" s="579"/>
      <c r="C28" s="557" t="str">
        <f>IF(OR(D28=0,D28=1,D28=""),"",INDEX(Aanvullend_ThoraxDrainSub3,D28,0))</f>
        <v/>
      </c>
      <c r="D28" s="579"/>
    </row>
    <row r="29" spans="1:8" x14ac:dyDescent="0.35">
      <c r="B29" s="579"/>
      <c r="C29" s="557" t="str">
        <f>IF(OR(D29=0,D29=1,D29=""),"",INDEX(Aanvullend_ThoraxDrainSub1,D29,0))</f>
        <v/>
      </c>
      <c r="D29" s="579"/>
    </row>
    <row r="30" spans="1:8" x14ac:dyDescent="0.35">
      <c r="A30" s="560" t="s">
        <v>1635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IF(OR(D31=0,D31=1,D31=""),"",INDEX(Aanvullend_ThoraxDrainSub3,D31,0))</f>
        <v/>
      </c>
      <c r="D31" s="579"/>
    </row>
    <row r="32" spans="1:8" x14ac:dyDescent="0.35">
      <c r="B32" s="579"/>
      <c r="C32" s="557" t="str">
        <f>IF(OR(D32=0,D32=1,D32=""),"",INDEX(Aanvullend_ThoraxDrainSub1,D32,0))</f>
        <v/>
      </c>
      <c r="D32" s="579"/>
    </row>
    <row r="33" spans="1:5" x14ac:dyDescent="0.35">
      <c r="A33" s="560" t="s">
        <v>1726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1330</v>
      </c>
      <c r="B36" s="577"/>
      <c r="C36" s="518" t="s">
        <v>1727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1654</v>
      </c>
      <c r="B37" s="577"/>
      <c r="C37" s="518" t="s">
        <v>1727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1329</v>
      </c>
      <c r="B38" s="577"/>
      <c r="C38" s="518" t="s">
        <v>1727</v>
      </c>
      <c r="D38" s="577"/>
      <c r="E38" s="563" t="str">
        <f t="shared" si="1"/>
        <v/>
      </c>
    </row>
    <row r="39" spans="1:5" x14ac:dyDescent="0.35">
      <c r="A39" s="518" t="s">
        <v>1724</v>
      </c>
      <c r="B39" s="577"/>
      <c r="C39" s="517" t="str">
        <f>IF(OR(D39=0,D39=1,D39=""),"",INDEX(Aanvullend_LiquorDrainSub1,D39,0))</f>
        <v/>
      </c>
      <c r="D39" s="578"/>
    </row>
    <row r="40" spans="1:5" x14ac:dyDescent="0.35">
      <c r="A40" s="517"/>
      <c r="B40" s="577"/>
      <c r="C40" s="517" t="s">
        <v>1725</v>
      </c>
      <c r="D40" s="578"/>
    </row>
    <row r="42" spans="1:5" x14ac:dyDescent="0.35">
      <c r="A42" s="557" t="s">
        <v>1748</v>
      </c>
      <c r="B42" s="579"/>
      <c r="C42" s="579"/>
    </row>
    <row r="43" spans="1:5" x14ac:dyDescent="0.35">
      <c r="A43" s="557" t="s">
        <v>1749</v>
      </c>
      <c r="B43" s="579"/>
      <c r="C43" s="579"/>
    </row>
    <row r="44" spans="1:5" x14ac:dyDescent="0.35">
      <c r="A44" s="557" t="s">
        <v>1750</v>
      </c>
      <c r="B44" s="579"/>
    </row>
    <row r="46" spans="1:5" ht="13.2" x14ac:dyDescent="0.4">
      <c r="A46" s="556" t="s">
        <v>1319</v>
      </c>
    </row>
    <row r="47" spans="1:5" x14ac:dyDescent="0.35">
      <c r="A47" s="560" t="s">
        <v>1474</v>
      </c>
      <c r="B47" s="557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1480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1723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1332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1287</v>
      </c>
      <c r="B1" s="3" t="s">
        <v>1322</v>
      </c>
      <c r="C1" s="3" t="s">
        <v>1323</v>
      </c>
      <c r="D1" s="3" t="s">
        <v>1719</v>
      </c>
      <c r="E1" s="3" t="s">
        <v>1475</v>
      </c>
      <c r="F1" s="3" t="s">
        <v>1482</v>
      </c>
      <c r="G1" s="3" t="s">
        <v>1538</v>
      </c>
      <c r="H1" s="552"/>
      <c r="I1" s="3" t="s">
        <v>1710</v>
      </c>
      <c r="J1" s="3" t="s">
        <v>1728</v>
      </c>
    </row>
    <row r="2" spans="1:16" x14ac:dyDescent="0.35">
      <c r="G2">
        <v>1</v>
      </c>
    </row>
    <row r="3" spans="1:16" x14ac:dyDescent="0.35">
      <c r="A3" s="518" t="s">
        <v>1283</v>
      </c>
      <c r="B3" s="525" t="s">
        <v>1712</v>
      </c>
      <c r="C3" s="518" t="s">
        <v>1715</v>
      </c>
      <c r="D3" s="518" t="s">
        <v>1720</v>
      </c>
      <c r="E3" s="518" t="s">
        <v>1476</v>
      </c>
      <c r="F3" s="518" t="s">
        <v>1483</v>
      </c>
      <c r="G3">
        <v>2</v>
      </c>
      <c r="H3" s="517" t="s">
        <v>1539</v>
      </c>
      <c r="I3" s="614" t="s">
        <v>1740</v>
      </c>
      <c r="J3" t="s">
        <v>1729</v>
      </c>
      <c r="N3" s="522"/>
      <c r="O3" s="517"/>
      <c r="P3" s="517"/>
    </row>
    <row r="4" spans="1:16" x14ac:dyDescent="0.35">
      <c r="A4" s="518" t="s">
        <v>1284</v>
      </c>
      <c r="B4" s="525" t="s">
        <v>1320</v>
      </c>
      <c r="C4" s="518" t="s">
        <v>1716</v>
      </c>
      <c r="D4" s="518" t="s">
        <v>1721</v>
      </c>
      <c r="E4" s="518" t="s">
        <v>1477</v>
      </c>
      <c r="F4" s="518" t="s">
        <v>1484</v>
      </c>
      <c r="G4">
        <v>3</v>
      </c>
      <c r="H4" s="517" t="s">
        <v>1540</v>
      </c>
      <c r="I4" s="614" t="s">
        <v>1741</v>
      </c>
      <c r="J4" t="s">
        <v>1730</v>
      </c>
      <c r="N4" s="518"/>
      <c r="O4" s="517"/>
      <c r="P4" s="517"/>
    </row>
    <row r="5" spans="1:16" x14ac:dyDescent="0.35">
      <c r="A5" s="518" t="s">
        <v>1285</v>
      </c>
      <c r="B5" s="525" t="s">
        <v>1321</v>
      </c>
      <c r="C5" s="518" t="s">
        <v>1717</v>
      </c>
      <c r="D5" s="518" t="s">
        <v>1722</v>
      </c>
      <c r="E5" s="518" t="s">
        <v>1478</v>
      </c>
      <c r="F5" s="518" t="s">
        <v>1485</v>
      </c>
      <c r="G5" s="517">
        <v>4</v>
      </c>
      <c r="H5" s="517" t="s">
        <v>1541</v>
      </c>
      <c r="I5" s="614" t="s">
        <v>1742</v>
      </c>
      <c r="J5" t="s">
        <v>1731</v>
      </c>
      <c r="N5" s="518"/>
      <c r="O5" s="517"/>
      <c r="P5" s="517"/>
    </row>
    <row r="6" spans="1:16" x14ac:dyDescent="0.35">
      <c r="A6" s="577"/>
      <c r="B6" s="525" t="s">
        <v>1653</v>
      </c>
      <c r="C6" t="s">
        <v>1718</v>
      </c>
      <c r="E6" s="518" t="s">
        <v>1479</v>
      </c>
      <c r="F6" s="518" t="s">
        <v>1486</v>
      </c>
      <c r="G6" s="517">
        <v>5</v>
      </c>
      <c r="H6" s="517" t="s">
        <v>1542</v>
      </c>
      <c r="I6" s="551"/>
      <c r="N6" s="517"/>
      <c r="O6" s="517"/>
      <c r="P6" s="517"/>
    </row>
    <row r="7" spans="1:16" x14ac:dyDescent="0.35">
      <c r="B7" s="525" t="s">
        <v>1713</v>
      </c>
      <c r="E7" s="518"/>
      <c r="G7" s="517">
        <v>6</v>
      </c>
      <c r="H7" s="517" t="s">
        <v>1543</v>
      </c>
      <c r="I7" s="551"/>
      <c r="N7" s="517"/>
      <c r="O7" s="517"/>
      <c r="P7" s="517"/>
    </row>
    <row r="8" spans="1:16" x14ac:dyDescent="0.35">
      <c r="B8" s="525" t="s">
        <v>1714</v>
      </c>
      <c r="G8" s="517">
        <v>7</v>
      </c>
      <c r="H8" s="517" t="s">
        <v>1544</v>
      </c>
      <c r="I8" s="551"/>
      <c r="N8" s="517"/>
      <c r="O8" s="517"/>
      <c r="P8" s="517"/>
    </row>
    <row r="9" spans="1:16" x14ac:dyDescent="0.35">
      <c r="G9" s="517">
        <v>8</v>
      </c>
      <c r="H9" s="517" t="s">
        <v>1545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1546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1547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1548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1549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1550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1551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1552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1553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1554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1555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1556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1557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1558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1559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1560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1561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1562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1563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1564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1565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1566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1567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1568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1569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1570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1571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1572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1573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1574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1575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1576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1577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1578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1579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1580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1581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1582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1583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1584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1585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1586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1587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1588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1589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1590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1591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1592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1593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1594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1595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1596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1597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1598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1599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1600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1601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1602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1603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1604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1605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1606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1607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1608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1609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1610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1611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1612</v>
      </c>
      <c r="I76" s="551"/>
    </row>
    <row r="77" spans="7:16" x14ac:dyDescent="0.35">
      <c r="G77" s="517">
        <v>76</v>
      </c>
      <c r="H77" s="517" t="s">
        <v>1613</v>
      </c>
      <c r="I77" s="551"/>
    </row>
    <row r="78" spans="7:16" x14ac:dyDescent="0.35">
      <c r="G78" s="517">
        <v>77</v>
      </c>
      <c r="H78" s="517" t="s">
        <v>1614</v>
      </c>
      <c r="I78" s="551"/>
    </row>
    <row r="79" spans="7:16" x14ac:dyDescent="0.35">
      <c r="G79" s="517">
        <v>78</v>
      </c>
      <c r="H79" s="517" t="s">
        <v>1615</v>
      </c>
      <c r="I79" s="551"/>
    </row>
    <row r="80" spans="7:16" x14ac:dyDescent="0.35">
      <c r="G80" s="517">
        <v>79</v>
      </c>
      <c r="H80" s="517" t="s">
        <v>1616</v>
      </c>
      <c r="I80" s="551"/>
    </row>
    <row r="81" spans="7:9" x14ac:dyDescent="0.35">
      <c r="G81" s="517">
        <v>80</v>
      </c>
      <c r="H81" s="517" t="s">
        <v>1617</v>
      </c>
      <c r="I81" s="551"/>
    </row>
    <row r="82" spans="7:9" x14ac:dyDescent="0.35">
      <c r="G82" s="517">
        <v>81</v>
      </c>
      <c r="H82" s="517" t="s">
        <v>1618</v>
      </c>
      <c r="I82" s="551"/>
    </row>
    <row r="83" spans="7:9" x14ac:dyDescent="0.35">
      <c r="G83" s="517">
        <v>82</v>
      </c>
      <c r="H83" s="517" t="s">
        <v>1619</v>
      </c>
      <c r="I83" s="551"/>
    </row>
    <row r="84" spans="7:9" x14ac:dyDescent="0.35">
      <c r="G84" s="517">
        <v>83</v>
      </c>
      <c r="H84" s="517" t="s">
        <v>1620</v>
      </c>
      <c r="I84" s="551"/>
    </row>
    <row r="85" spans="7:9" x14ac:dyDescent="0.35">
      <c r="G85" s="517">
        <v>84</v>
      </c>
      <c r="H85" s="517" t="s">
        <v>1621</v>
      </c>
      <c r="I85" s="551"/>
    </row>
    <row r="86" spans="7:9" x14ac:dyDescent="0.35">
      <c r="G86" s="517">
        <v>85</v>
      </c>
      <c r="H86" s="517" t="s">
        <v>1622</v>
      </c>
      <c r="I86" s="551"/>
    </row>
    <row r="87" spans="7:9" x14ac:dyDescent="0.35">
      <c r="G87" s="517">
        <v>86</v>
      </c>
      <c r="H87" s="517" t="s">
        <v>1623</v>
      </c>
      <c r="I87" s="551"/>
    </row>
    <row r="88" spans="7:9" x14ac:dyDescent="0.35">
      <c r="G88" s="517">
        <v>87</v>
      </c>
      <c r="H88" s="517" t="s">
        <v>1624</v>
      </c>
      <c r="I88" s="551"/>
    </row>
    <row r="89" spans="7:9" x14ac:dyDescent="0.35">
      <c r="G89" s="517">
        <v>88</v>
      </c>
      <c r="H89" s="517" t="s">
        <v>1625</v>
      </c>
      <c r="I89" s="551"/>
    </row>
    <row r="90" spans="7:9" x14ac:dyDescent="0.35">
      <c r="G90" s="517">
        <v>89</v>
      </c>
      <c r="H90" s="517" t="s">
        <v>1626</v>
      </c>
      <c r="I90" s="551"/>
    </row>
    <row r="91" spans="7:9" x14ac:dyDescent="0.35">
      <c r="G91" s="517">
        <v>90</v>
      </c>
      <c r="H91" s="517" t="s">
        <v>1627</v>
      </c>
      <c r="I91" s="551"/>
    </row>
    <row r="92" spans="7:9" x14ac:dyDescent="0.35">
      <c r="G92" s="517">
        <v>91</v>
      </c>
      <c r="H92" s="517" t="s">
        <v>1628</v>
      </c>
      <c r="I92" s="551"/>
    </row>
    <row r="93" spans="7:9" x14ac:dyDescent="0.35">
      <c r="G93" s="517">
        <v>92</v>
      </c>
      <c r="H93" s="517" t="s">
        <v>1629</v>
      </c>
      <c r="I93" s="551"/>
    </row>
    <row r="94" spans="7:9" x14ac:dyDescent="0.35">
      <c r="G94" s="517">
        <v>93</v>
      </c>
      <c r="H94" s="517" t="s">
        <v>1630</v>
      </c>
      <c r="I94" s="551"/>
    </row>
    <row r="95" spans="7:9" x14ac:dyDescent="0.35">
      <c r="G95" s="517">
        <v>94</v>
      </c>
      <c r="H95" s="517" t="s">
        <v>1631</v>
      </c>
      <c r="I95" s="551"/>
    </row>
    <row r="96" spans="7:9" x14ac:dyDescent="0.35">
      <c r="G96" s="517">
        <v>95</v>
      </c>
      <c r="H96" s="517" t="s">
        <v>1632</v>
      </c>
      <c r="I96" s="551"/>
    </row>
    <row r="97" spans="7:9" x14ac:dyDescent="0.35">
      <c r="G97" s="517">
        <v>96</v>
      </c>
      <c r="H97" s="517" t="s">
        <v>1633</v>
      </c>
      <c r="I97" s="551"/>
    </row>
    <row r="98" spans="7:9" x14ac:dyDescent="0.35">
      <c r="G98" s="517">
        <v>97</v>
      </c>
      <c r="H98" s="517" t="s">
        <v>1634</v>
      </c>
      <c r="I98" s="55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71,8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8,8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893</v>
      </c>
      <c r="D4" s="172" t="s">
        <v>894</v>
      </c>
      <c r="E4" s="172" t="s">
        <v>572</v>
      </c>
      <c r="F4" s="172" t="s">
        <v>265</v>
      </c>
      <c r="G4" s="172" t="s">
        <v>97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TRUNC((AfspraakDatum-__4_GebDatum)/365,0)</f>
        <v>0</v>
      </c>
      <c r="D5" s="172">
        <f ca="1">TRUNC(((AfspraakDatum-__4_GebDatum)-365*TRUNC((AfspraakDatum-__4_GebDatum)/365,0))/30,0)</f>
        <v>11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250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425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772</v>
      </c>
      <c r="C14" s="178" t="s">
        <v>653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571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654</v>
      </c>
      <c r="D16" s="47" t="str">
        <f>IF(ROUND(0.02*(E5),1)&lt;0.1,"0,1 mg iv",IF(ROUND(0.02*(E5),1)&gt;0.5,"0,5 mg iv",ROUND(0.02*(E5),1)&amp;" mg iv"))</f>
        <v>0,2 mg iv</v>
      </c>
      <c r="E16" s="876" t="str">
        <f>"= "&amp;IF(ROUND(0.02*(E5),1)&lt;0.1,0.1,IF(ROUND(0.02*(E5),1)&gt;0.5,0.5,ROUND(0.02*(E5),1)))*2&amp;" ml van 0,5 mg/ml (min 0,1 mg)"</f>
        <v>= 0,4 ml van 0,5 mg/ml (min 0,1 mg)</v>
      </c>
      <c r="F16" s="876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7"/>
      <c r="F17" s="877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565</v>
      </c>
      <c r="C19" s="178" t="s">
        <v>195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655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566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645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212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682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213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4" t="s">
        <v>567</v>
      </c>
      <c r="C27" s="178" t="s">
        <v>906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5"/>
      <c r="C28" s="181" t="s">
        <v>640</v>
      </c>
      <c r="D28" s="182" t="str">
        <f>IF(E5/10&gt;10,"10 ml iv",E5/10 &amp;" ml iv")</f>
        <v>1 ml iv</v>
      </c>
      <c r="E28" s="183" t="s">
        <v>496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3" t="s">
        <v>189</v>
      </c>
      <c r="C30" s="178" t="s">
        <v>214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3"/>
      <c r="C31" s="162" t="s">
        <v>570</v>
      </c>
      <c r="D31" s="47" t="str">
        <f>IF((20*E5)&gt;1500,"1500 mg iv",20*E5&amp;" mg iv")</f>
        <v>200 mg iv</v>
      </c>
      <c r="E31" s="876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6"/>
      <c r="G31" s="242" t="s">
        <v>55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6"/>
      <c r="F32" s="876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730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190</v>
      </c>
      <c r="C35" s="178" t="s">
        <v>860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215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216</v>
      </c>
      <c r="C38" s="238" t="s">
        <v>615</v>
      </c>
      <c r="D38" s="179" t="str">
        <f ca="1">"AMV "&amp;ROUND(E5*8*VLOOKUP(C5,L2:M20,2)/1000,1)&amp;" L/min"</f>
        <v>AMV 3,2 L/min</v>
      </c>
      <c r="E38" s="180"/>
      <c r="F38" s="179" t="s">
        <v>217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218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907</v>
      </c>
      <c r="E40" s="46"/>
      <c r="F40" s="47" t="s">
        <v>889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890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182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39</v>
      </c>
      <c r="B1" t="s">
        <v>41</v>
      </c>
      <c r="C1" t="s">
        <v>42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936</v>
      </c>
      <c r="D2" s="715">
        <f ca="1">TODAY()</f>
        <v>42728</v>
      </c>
      <c r="E2" s="714" t="s">
        <v>937</v>
      </c>
      <c r="F2" s="882" t="str">
        <f>__2_AchterNaam&amp;", "&amp;__3_VoorNaam</f>
        <v>Achternaam, Voornaam</v>
      </c>
      <c r="G2" s="882"/>
      <c r="H2" s="716" t="s">
        <v>572</v>
      </c>
      <c r="I2" s="711" t="str">
        <f>Gewicht/10&amp;" kg"</f>
        <v>10 kg</v>
      </c>
      <c r="J2" s="707"/>
      <c r="L2" s="717"/>
    </row>
    <row r="3" spans="1:12" ht="12.65" customHeight="1" x14ac:dyDescent="0.3">
      <c r="B3" s="713"/>
      <c r="C3" s="714" t="s">
        <v>439</v>
      </c>
      <c r="D3" s="718">
        <f ca="1">AfspraakDatum-OpnDatum+1</f>
        <v>359</v>
      </c>
      <c r="E3" s="714" t="s">
        <v>935</v>
      </c>
      <c r="F3" s="719">
        <f>__4_GebDatum</f>
        <v>42370</v>
      </c>
      <c r="G3" s="707"/>
      <c r="H3" s="716" t="s">
        <v>265</v>
      </c>
      <c r="I3" s="711" t="str">
        <f>Lengte&amp;" cm"</f>
        <v>80 cm</v>
      </c>
      <c r="J3" s="707"/>
      <c r="L3" s="717"/>
    </row>
    <row r="4" spans="1:12" ht="12" customHeight="1" x14ac:dyDescent="0.3">
      <c r="B4" s="713"/>
      <c r="C4" s="714" t="s">
        <v>1001</v>
      </c>
      <c r="D4" s="718">
        <f>BedNummer</f>
        <v>0</v>
      </c>
      <c r="F4" s="707"/>
      <c r="H4" s="716" t="s">
        <v>266</v>
      </c>
      <c r="I4" s="711" t="str">
        <f>ROUND(POWER(Gewicht/10,0.425)*POWER(((Lengte/100)*100),0.725)*0.007184,2)&amp;"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507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IF(G7&lt;&gt;"",INDEX(tblVoedingPO,KeuzePO_1,1),)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IF(KeuzePO_2&gt;1,"met "&amp;PedGuiEntTPN!C11&amp;" "&amp;PedGuiEntTPN!D11&amp;" "&amp;INDEX(tblPO_poederlijst,KeuzePO_2,1),"")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IF(KeuzePO_3&gt;1,"met "&amp;PedGuiEntTPN!C12&amp;" "&amp;PedGuiEntTPN!D12&amp;" "&amp;INDEX(tblPO_poederlijst,KeuzePO_3,1),"")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IF(KeuzePO_4&gt;1,"met "&amp;PedGuiEntTPN!C13&amp;" "&amp;PedGuiEntTPN!D13&amp;" "&amp;INDEX(tblPO_poederlijst,KeuzePO_4,1),"")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596</v>
      </c>
      <c r="D12" s="885">
        <f>GlobBerOpm!C15</f>
        <v>0</v>
      </c>
      <c r="E12" s="886"/>
      <c r="F12" s="886"/>
      <c r="G12" s="886"/>
      <c r="H12" s="886"/>
      <c r="I12" s="886"/>
      <c r="J12" s="886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246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770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926</v>
      </c>
      <c r="D16" s="883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4"/>
      <c r="F16" s="884"/>
      <c r="G16" s="884"/>
      <c r="H16" s="884"/>
      <c r="I16" s="884"/>
      <c r="J16" s="884"/>
      <c r="L16" s="717"/>
    </row>
    <row r="17" spans="1:12" ht="12.65" customHeight="1" x14ac:dyDescent="0.3">
      <c r="B17" s="716"/>
      <c r="C17" s="716" t="s">
        <v>927</v>
      </c>
      <c r="D17" s="883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286</v>
      </c>
      <c r="D18" s="883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25</v>
      </c>
      <c r="D19" s="883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596</v>
      </c>
      <c r="D20" s="878">
        <f>GlobBerOpm!C10</f>
        <v>0</v>
      </c>
      <c r="E20" s="879"/>
      <c r="F20" s="879"/>
      <c r="G20" s="879"/>
      <c r="H20" s="879"/>
      <c r="I20" s="879"/>
      <c r="J20" s="879"/>
      <c r="L20" s="717"/>
    </row>
    <row r="21" spans="1:12" ht="12.65" customHeight="1" x14ac:dyDescent="0.3">
      <c r="A21" s="720"/>
      <c r="B21" s="725"/>
      <c r="C21" s="727"/>
      <c r="D21" s="880"/>
      <c r="E21" s="880"/>
      <c r="F21" s="880"/>
      <c r="G21" s="880"/>
      <c r="H21" s="880"/>
      <c r="I21" s="880"/>
      <c r="J21" s="880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131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584</v>
      </c>
      <c r="C24" s="729" t="s">
        <v>1474</v>
      </c>
      <c r="D24" s="729" t="str">
        <f>IFERROR(LEFT(_Aanvullend_Controles_Ped,LEN(_Aanvullend_Controles_Ped)-3),"")</f>
        <v/>
      </c>
      <c r="L24" s="717"/>
    </row>
    <row r="25" spans="1:12" ht="12.65" customHeight="1" x14ac:dyDescent="0.3">
      <c r="B25" s="710" t="s">
        <v>585</v>
      </c>
      <c r="C25" s="729" t="s">
        <v>1480</v>
      </c>
      <c r="D25" s="729" t="str">
        <f>IFERROR(LEFT(_Aanvullend_Onderzoek_Ped,LEN(_Aanvullend_Onderzoek_Ped)-3),"")</f>
        <v/>
      </c>
      <c r="L25" s="717"/>
    </row>
    <row r="26" spans="1:12" ht="12.65" customHeight="1" x14ac:dyDescent="0.3">
      <c r="B26" s="710" t="s">
        <v>586</v>
      </c>
      <c r="C26" s="729" t="s">
        <v>1723</v>
      </c>
      <c r="D26" s="729" t="str">
        <f>IFERROR(LEFT(_Aanvullend_Instellingen_Ped,LEN(_Aanvullend_Instellingen_Ped)-3),"")</f>
        <v/>
      </c>
      <c r="L26" s="717"/>
    </row>
    <row r="27" spans="1:12" ht="12.65" customHeight="1" x14ac:dyDescent="0.3">
      <c r="B27" s="710" t="s">
        <v>587</v>
      </c>
      <c r="C27" s="729" t="s">
        <v>1332</v>
      </c>
      <c r="D27" s="729" t="str">
        <f>IFERROR(LEFT(_Aanvullend_Overig_Ped,LEN(_Aanvullend_Overig_Ped)-3),"")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182</v>
      </c>
      <c r="C32" s="720"/>
      <c r="D32" s="720"/>
      <c r="F32" s="720" t="s">
        <v>925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936</v>
      </c>
      <c r="D34" s="715">
        <f ca="1">TODAY()</f>
        <v>42728</v>
      </c>
      <c r="E34" s="714" t="s">
        <v>937</v>
      </c>
      <c r="F34" s="882" t="str">
        <f>__2_AchterNaam&amp;", "&amp;__3_VoorNaam</f>
        <v>Achternaam, Voornaam</v>
      </c>
      <c r="G34" s="882"/>
      <c r="H34" s="716" t="s">
        <v>572</v>
      </c>
      <c r="I34" s="711" t="str">
        <f>Gewicht/10&amp;" kg"</f>
        <v>10 kg</v>
      </c>
      <c r="J34" s="707"/>
      <c r="L34" s="717"/>
    </row>
    <row r="35" spans="1:12" ht="12.65" customHeight="1" x14ac:dyDescent="0.3">
      <c r="B35" s="713"/>
      <c r="C35" s="714" t="s">
        <v>439</v>
      </c>
      <c r="D35" s="718">
        <f ca="1">AfspraakDatum-OpnDatum+1</f>
        <v>359</v>
      </c>
      <c r="E35" s="714" t="s">
        <v>935</v>
      </c>
      <c r="F35" s="719">
        <f>__4_GebDatum</f>
        <v>42370</v>
      </c>
      <c r="G35" s="707"/>
      <c r="H35" s="716" t="s">
        <v>265</v>
      </c>
      <c r="I35" s="711" t="str">
        <f>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266</v>
      </c>
      <c r="I36" s="711" t="str">
        <f>ROUND(POWER(Gewicht/10,0.425)*POWER(((Lengte/100)*100),0.725)*0.007184,2)&amp;"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47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596</v>
      </c>
      <c r="D46" s="885">
        <f>GlobBerOpm!C3</f>
        <v>0</v>
      </c>
      <c r="E46" s="886"/>
      <c r="F46" s="886"/>
      <c r="G46" s="886"/>
      <c r="H46" s="886"/>
      <c r="I46" s="886"/>
      <c r="J46" s="886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597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617</v>
      </c>
      <c r="D50" s="716"/>
      <c r="E50" s="716" t="s">
        <v>192</v>
      </c>
      <c r="F50" s="716"/>
      <c r="G50" s="716" t="s">
        <v>618</v>
      </c>
      <c r="H50" s="716"/>
      <c r="I50" s="716"/>
      <c r="J50" s="716" t="s">
        <v>420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596</v>
      </c>
      <c r="D67" s="878">
        <f>GlobBerOpm!C4</f>
        <v>0</v>
      </c>
      <c r="E67" s="878"/>
      <c r="F67" s="878"/>
      <c r="G67" s="878"/>
      <c r="H67" s="878"/>
      <c r="I67" s="878"/>
      <c r="J67" s="878"/>
      <c r="L67" s="717"/>
    </row>
    <row r="68" spans="1:12" ht="12.65" customHeight="1" x14ac:dyDescent="0.3">
      <c r="D68" s="881"/>
      <c r="E68" s="881"/>
      <c r="F68" s="881"/>
      <c r="G68" s="881"/>
      <c r="H68" s="881"/>
      <c r="I68" s="881"/>
      <c r="J68" s="881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IF(J71&lt;&gt;"",INDEX(tblSSTGlucose,SSTGlucose_2,1),)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IF(F73&lt;&gt;"",INDEX(tblSSTGlucose,SSTglucose,1),)</f>
        <v>0</v>
      </c>
      <c r="F73" s="711" t="str">
        <f>IF(AND(TPN=2,SSTglucose&lt;11,Gewicht/10&lt;=50),ROUND(PedBerTPN!F6,0)&amp;"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IF(AND(Gewicht/10&gt;50,PedPrtTPN50!A27&lt;&gt;""),PedPrtTPN50!A27,PedPrtTPN2tot6!A29)</f>
        <v/>
      </c>
      <c r="F77" s="720" t="str">
        <f>IF(AND(Gewicht/10&gt;50,PedPrtTPN50!G35&lt;&gt;0),PedPrtTPN50!G35&amp;"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IF(F78&lt;&gt;"",INDEX(tblSSTGlucose,SSTglucose,1),)</f>
        <v>0</v>
      </c>
      <c r="E78" s="740"/>
      <c r="F78" s="711" t="str">
        <f>IF(AND(OR(TPN=1,AND(TPN=2,SSTglucose&gt;10),Gewicht/10&gt;50),ROUND(PedBerTPN!F6,0)&lt;&gt;0,SSTglucose&lt;&gt;2),ROUND(PedBerTPN!F6,0)&amp;"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IF(AND(Gewicht/10&gt;50,PedPrtTPN50!G27&lt;&gt;0),PedPrtTPN50!G27&amp;" ml",IF(OR(AND(PedPrtTPN2tot6!G29&lt;&gt;0,PedBerTPN!$F$4=0),AND(PedPrtTPN2tot6!G29&lt;&gt;0,Gewicht/10&gt;50)),PedPrtTPN2tot6!G29&amp;"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IF(AND(Gewicht/10&gt;51,PedPrtTPN50!G28&lt;&gt;0),PedPrtTPN50!G28&amp;" ml",IF(OR(AND(PedPrtTPN2tot6!G30&lt;&gt;0,PedBerTPN!$F$4=0),AND(PedPrtTPN2tot6!G30&lt;&gt;0,Gewicht/10&gt;50)),PedPrtTPN2tot6!G30&amp;"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IF(AND(Gewicht/10&gt;51,PedPrtTPN50!G31&lt;&gt;0),PedPrtTPN50!G31&amp;" ml",IF(AND(PedPrtTPN2tot6!G33&lt;&gt;0,Gewicht/10&lt;=50),PedPrtTPN2tot6!G33&amp;"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596</v>
      </c>
      <c r="D92" s="885">
        <f>GlobBerOpm!C9</f>
        <v>0</v>
      </c>
      <c r="E92" s="886"/>
      <c r="F92" s="886"/>
      <c r="G92" s="886"/>
      <c r="H92" s="886"/>
      <c r="I92" s="886"/>
      <c r="J92" s="886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728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643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936</v>
      </c>
      <c r="D99" s="715">
        <f ca="1">TODAY()</f>
        <v>42728</v>
      </c>
      <c r="E99" s="714" t="s">
        <v>937</v>
      </c>
      <c r="F99" s="882" t="str">
        <f>__2_AchterNaam&amp;", "&amp;__3_VoorNaam</f>
        <v>Achternaam, Voornaam</v>
      </c>
      <c r="G99" s="882"/>
      <c r="H99" s="716" t="s">
        <v>572</v>
      </c>
      <c r="I99" s="711" t="str">
        <f>Gewicht/10&amp;" kg"</f>
        <v>10 kg</v>
      </c>
      <c r="J99" s="707"/>
      <c r="L99" s="717"/>
    </row>
    <row r="100" spans="1:12" ht="12.65" customHeight="1" x14ac:dyDescent="0.3">
      <c r="B100" s="713"/>
      <c r="C100" s="714" t="s">
        <v>439</v>
      </c>
      <c r="D100" s="718">
        <f ca="1">AfspraakDatum-OpnDatum+1</f>
        <v>359</v>
      </c>
      <c r="E100" s="714" t="s">
        <v>935</v>
      </c>
      <c r="F100" s="719">
        <f>__4_GebDatum</f>
        <v>42370</v>
      </c>
      <c r="G100" s="707"/>
      <c r="H100" s="716" t="s">
        <v>265</v>
      </c>
      <c r="I100" s="711" t="str">
        <f>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266</v>
      </c>
      <c r="I101" s="711" t="str">
        <f>ROUND(POWER(Gewicht/10,0.425)*POWER(((Lengte/100)*100),0.725)*0.007184,2)&amp;"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56</v>
      </c>
      <c r="C105" s="720"/>
      <c r="D105" s="733"/>
      <c r="E105" s="720"/>
      <c r="F105" s="721" t="str">
        <f>IF(Comfort,"Ja","Nee")</f>
        <v>Ja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569</v>
      </c>
      <c r="G107" s="744" t="s">
        <v>260</v>
      </c>
      <c r="L107" s="717"/>
    </row>
    <row r="108" spans="1:12" ht="25" customHeight="1" x14ac:dyDescent="0.3">
      <c r="A108" s="891" t="s">
        <v>258</v>
      </c>
      <c r="B108" s="892"/>
      <c r="C108" s="745" t="s">
        <v>259</v>
      </c>
      <c r="D108" s="745" t="s">
        <v>261</v>
      </c>
      <c r="E108" s="891" t="s">
        <v>263</v>
      </c>
      <c r="F108" s="892"/>
      <c r="G108" s="745" t="s">
        <v>261</v>
      </c>
      <c r="H108" s="891" t="s">
        <v>262</v>
      </c>
      <c r="I108" s="892"/>
      <c r="J108" s="745" t="s">
        <v>511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264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t="s">
        <v>623</v>
      </c>
      <c r="AB1" s="894">
        <f ca="1">TODAY()</f>
        <v>42728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"&amp;GlobBerOpm!C36&amp;" ("&amp;PedBerMedDisc!M22&amp;" "&amp;PedBerMedDisc!F22&amp;"/kg/dag)",TRIM(PedBerMedDisc!C22)&amp;", "&amp;GlobBerOpm!C36),"")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"&amp;GlobBerOpm!C37&amp;" ("&amp;PedBerMedDisc!M23&amp;" "&amp;PedBerMedDisc!F23&amp;"/kg/dag)",TRIM(PedBerMedDisc!C23)&amp;", "&amp;GlobBerOpm!C37),"")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"&amp;GlobBerOpm!C38&amp;" ("&amp;PedBerMedDisc!M24&amp;" "&amp;PedBerMedDisc!F24&amp;"/kg/dag)",TRIM(PedBerMedDisc!C24)&amp;", "&amp;GlobBerOpm!C38),"")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"&amp;GlobBerOpm!C39&amp;" ("&amp;PedBerMedDisc!M25&amp;" "&amp;PedBerMedDisc!F25&amp;"/kg/dag)",TRIM(PedBerMedDisc!C25)&amp;", "&amp;GlobBerOpm!C39),"")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"&amp;GlobBerOpm!C40&amp;" ("&amp;PedBerMedDisc!M26&amp;" "&amp;PedBerMedDisc!F26&amp;"/kg/dag)",TRIM(PedBerMedDisc!C26)&amp;", "&amp;GlobBerOpm!C40),"")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"&amp;GlobBerOpm!C41&amp;" ("&amp;PedBerMedDisc!M27&amp;" "&amp;PedBerMedDisc!F27&amp;"/kg/dag)",TRIM(PedBerMedDisc!C27)&amp;", "&amp;GlobBerOpm!C41),"")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"&amp;GlobBerOpm!C42&amp;" ("&amp;PedBerMedDisc!M28&amp;" "&amp;PedBerMedDisc!F28&amp;"/kg/dag)",TRIM(PedBerMedDisc!C28)&amp;", "&amp;GlobBerOpm!C42),"")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"&amp;GlobBerOpm!C43&amp;" ("&amp;PedBerMedDisc!M29&amp;" "&amp;PedBerMedDisc!F29&amp;"/kg/dag)",TRIM(PedBerMedDisc!C29)&amp;", "&amp;GlobBerOpm!C43),"")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"&amp;GlobBerOpm!C44&amp;" ("&amp;PedBerMedDisc!M30&amp;" "&amp;PedBerMedDisc!F30&amp;"/kg/dag)",TRIM(PedBerMedDisc!C30)&amp;", "&amp;GlobBerOpm!C44),"")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"&amp;GlobBerOpm!C45&amp;" ("&amp;PedBerMedDisc!M31&amp;" "&amp;PedBerMedDisc!F31&amp;"/kg/dag)",TRIM(PedBerMedDisc!C31)&amp;", "&amp;GlobBerOpm!C45),"")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852</v>
      </c>
    </row>
    <row r="2" spans="1:24" x14ac:dyDescent="0.35">
      <c r="A2" t="s">
        <v>805</v>
      </c>
      <c r="B2">
        <v>20</v>
      </c>
    </row>
    <row r="3" spans="1:24" x14ac:dyDescent="0.35">
      <c r="A3" t="s">
        <v>853</v>
      </c>
      <c r="B3">
        <v>10</v>
      </c>
    </row>
    <row r="4" spans="1:24" x14ac:dyDescent="0.35">
      <c r="A4" t="s">
        <v>854</v>
      </c>
      <c r="B4">
        <v>10</v>
      </c>
      <c r="C4">
        <v>22</v>
      </c>
    </row>
    <row r="5" spans="1:24" x14ac:dyDescent="0.35">
      <c r="A5" t="s">
        <v>855</v>
      </c>
      <c r="B5">
        <v>10</v>
      </c>
      <c r="C5">
        <v>18</v>
      </c>
      <c r="D5">
        <v>2</v>
      </c>
    </row>
    <row r="6" spans="1:24" x14ac:dyDescent="0.35">
      <c r="A6" s="577" t="s">
        <v>856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393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394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395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50</v>
      </c>
    </row>
    <row r="12" spans="1:24" x14ac:dyDescent="0.35">
      <c r="A12">
        <v>10</v>
      </c>
      <c r="B12" t="s">
        <v>853</v>
      </c>
      <c r="C12" t="s">
        <v>854</v>
      </c>
      <c r="D12" t="s">
        <v>855</v>
      </c>
      <c r="E12" t="s">
        <v>856</v>
      </c>
      <c r="F12" t="s">
        <v>393</v>
      </c>
      <c r="G12" t="s">
        <v>395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919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766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396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1774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853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854</v>
      </c>
      <c r="B20" s="15" t="s">
        <v>396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396</v>
      </c>
      <c r="O20" s="15"/>
      <c r="P20" s="15"/>
      <c r="Q20" s="15"/>
    </row>
    <row r="21" spans="1:24" x14ac:dyDescent="0.35">
      <c r="A21" t="s">
        <v>855</v>
      </c>
      <c r="B21" s="15" t="s">
        <v>396</v>
      </c>
      <c r="C21" s="15"/>
      <c r="D21" s="15"/>
      <c r="E21" s="15"/>
      <c r="F21" s="15"/>
      <c r="G21" s="15"/>
      <c r="H21" s="15"/>
      <c r="I21" s="15"/>
      <c r="J21" s="15" t="s">
        <v>396</v>
      </c>
      <c r="K21" s="15"/>
      <c r="L21" s="15"/>
      <c r="M21" s="15"/>
      <c r="N21" s="15"/>
      <c r="O21" s="15"/>
      <c r="P21" s="15"/>
      <c r="Q21" s="15"/>
      <c r="R21" t="s">
        <v>396</v>
      </c>
    </row>
    <row r="22" spans="1:24" x14ac:dyDescent="0.35">
      <c r="A22" t="s">
        <v>856</v>
      </c>
      <c r="B22" s="15"/>
      <c r="C22" s="15"/>
      <c r="D22" s="15" t="s">
        <v>396</v>
      </c>
      <c r="E22" s="15"/>
      <c r="F22" s="15"/>
      <c r="G22" s="15"/>
      <c r="H22" s="15"/>
      <c r="I22" s="15"/>
      <c r="J22" s="15" t="s">
        <v>396</v>
      </c>
      <c r="K22" s="15"/>
      <c r="L22" s="15"/>
      <c r="M22" s="15"/>
      <c r="N22" s="15"/>
      <c r="O22" s="15"/>
      <c r="P22" s="15" t="s">
        <v>396</v>
      </c>
      <c r="Q22" s="15"/>
      <c r="V22" t="s">
        <v>396</v>
      </c>
    </row>
    <row r="23" spans="1:24" x14ac:dyDescent="0.35">
      <c r="A23" t="s">
        <v>393</v>
      </c>
      <c r="B23" s="15" t="s">
        <v>396</v>
      </c>
      <c r="C23" s="15"/>
      <c r="D23" s="15"/>
      <c r="E23" s="15"/>
      <c r="F23" s="15" t="s">
        <v>396</v>
      </c>
      <c r="G23" s="15"/>
      <c r="H23" s="15"/>
      <c r="I23" s="15"/>
      <c r="J23" s="15" t="s">
        <v>396</v>
      </c>
      <c r="K23" s="15"/>
      <c r="L23" s="15"/>
      <c r="M23" s="15"/>
      <c r="N23" s="15" t="s">
        <v>396</v>
      </c>
      <c r="O23" s="15"/>
      <c r="P23" s="15"/>
      <c r="Q23" s="15"/>
      <c r="R23" t="s">
        <v>396</v>
      </c>
      <c r="V23" t="s">
        <v>396</v>
      </c>
    </row>
    <row r="24" spans="1:24" x14ac:dyDescent="0.35">
      <c r="A24" t="s">
        <v>394</v>
      </c>
      <c r="B24" s="15"/>
      <c r="C24" s="15" t="s">
        <v>396</v>
      </c>
      <c r="D24" s="15"/>
      <c r="E24" s="15"/>
      <c r="F24" s="15" t="s">
        <v>396</v>
      </c>
      <c r="G24" s="15"/>
      <c r="H24" s="15"/>
      <c r="I24" s="15" t="s">
        <v>396</v>
      </c>
      <c r="J24" s="15"/>
      <c r="K24" s="15"/>
      <c r="L24" s="15" t="s">
        <v>396</v>
      </c>
      <c r="M24" s="15"/>
      <c r="N24" s="15"/>
      <c r="O24" s="15" t="s">
        <v>396</v>
      </c>
      <c r="P24" s="15"/>
      <c r="Q24" s="15"/>
      <c r="R24" t="s">
        <v>396</v>
      </c>
      <c r="U24" t="s">
        <v>396</v>
      </c>
      <c r="X24" t="s">
        <v>396</v>
      </c>
    </row>
    <row r="25" spans="1:24" x14ac:dyDescent="0.35">
      <c r="A25" t="s">
        <v>395</v>
      </c>
      <c r="B25" s="15" t="s">
        <v>396</v>
      </c>
      <c r="C25" s="15"/>
      <c r="D25" s="15" t="s">
        <v>396</v>
      </c>
      <c r="E25" s="15"/>
      <c r="F25" s="15" t="s">
        <v>396</v>
      </c>
      <c r="G25" s="15"/>
      <c r="H25" s="15" t="s">
        <v>396</v>
      </c>
      <c r="I25" s="15"/>
      <c r="J25" s="15" t="s">
        <v>396</v>
      </c>
      <c r="K25" s="15"/>
      <c r="L25" s="15" t="s">
        <v>396</v>
      </c>
      <c r="M25" s="15"/>
      <c r="N25" s="15" t="s">
        <v>396</v>
      </c>
      <c r="O25" s="15"/>
      <c r="P25" s="15" t="s">
        <v>396</v>
      </c>
      <c r="Q25" s="15"/>
      <c r="R25" t="s">
        <v>396</v>
      </c>
      <c r="T25" t="s">
        <v>396</v>
      </c>
      <c r="V25" t="s">
        <v>396</v>
      </c>
      <c r="X25" t="s">
        <v>396</v>
      </c>
    </row>
    <row r="26" spans="1:24" x14ac:dyDescent="0.35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92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IF(TPN&lt;&gt;1,ROUND(G21/24,1)&amp;"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IF(AND(TPN&lt;&gt;1,G16&lt;&gt;0,Gewicht/10&lt;=50),ROUND(PedBerTPN!F7,0),"")</f>
        <v/>
      </c>
      <c r="H14" s="66"/>
    </row>
    <row r="15" spans="1:8" ht="20.100000000000001" customHeight="1" x14ac:dyDescent="0.35">
      <c r="A15" s="902"/>
      <c r="B15" s="76" t="s">
        <v>868</v>
      </c>
      <c r="C15" s="77"/>
      <c r="D15" s="77" t="s">
        <v>88</v>
      </c>
      <c r="E15" s="77" t="s">
        <v>183</v>
      </c>
      <c r="F15" s="78" t="s">
        <v>183</v>
      </c>
      <c r="G15" s="75" t="str">
        <f>IF(AND(TPN&lt;&gt;1,G16&lt;&gt;0,Gewicht/10&lt;=50),ROUND(PedBerTPN!F8,0),"")</f>
        <v/>
      </c>
      <c r="H15" s="66"/>
    </row>
    <row r="16" spans="1:8" ht="20.100000000000001" customHeight="1" x14ac:dyDescent="0.35">
      <c r="A16" s="32"/>
      <c r="B16" s="76" t="s">
        <v>869</v>
      </c>
      <c r="C16" s="77"/>
      <c r="D16" s="77" t="s">
        <v>392</v>
      </c>
      <c r="E16" s="77" t="s">
        <v>89</v>
      </c>
      <c r="F16" s="78" t="s">
        <v>90</v>
      </c>
      <c r="G16" s="79" t="str">
        <f>IF(TPN&lt;&gt;1,PedBerTPN!F4,"")</f>
        <v/>
      </c>
      <c r="H16" s="66"/>
    </row>
    <row r="17" spans="1:8" ht="20.100000000000001" customHeight="1" x14ac:dyDescent="0.35">
      <c r="A17" s="32"/>
      <c r="B17" s="76" t="s">
        <v>621</v>
      </c>
      <c r="C17" s="77"/>
      <c r="D17" s="77" t="s">
        <v>91</v>
      </c>
      <c r="E17" s="77"/>
      <c r="F17" s="78"/>
      <c r="G17" s="79" t="str">
        <f>IF(AND(SSTglucose=2,TPN&lt;&gt;1,Gewicht/10&lt;=50),ROUND(PedBerTPN!F6,0),"")</f>
        <v/>
      </c>
      <c r="H17" s="66"/>
    </row>
    <row r="18" spans="1:8" ht="20.100000000000001" customHeight="1" x14ac:dyDescent="0.35">
      <c r="A18" s="32"/>
      <c r="B18" s="76" t="s">
        <v>870</v>
      </c>
      <c r="C18" s="77"/>
      <c r="D18" s="77"/>
      <c r="E18" s="77" t="s">
        <v>93</v>
      </c>
      <c r="F18" s="78"/>
      <c r="G18" s="79" t="str">
        <f>IF(AND(SSTglucose=3,TPN&lt;&gt;1,Gewicht/10&lt;=50),ROUND(PedBerTPN!F6,0),"")</f>
        <v/>
      </c>
      <c r="H18" s="66"/>
    </row>
    <row r="19" spans="1:8" ht="20.100000000000001" customHeight="1" x14ac:dyDescent="0.35">
      <c r="A19" s="32"/>
      <c r="B19" s="76" t="s">
        <v>186</v>
      </c>
      <c r="C19" s="77"/>
      <c r="D19" s="77"/>
      <c r="E19" s="77"/>
      <c r="F19" s="78" t="s">
        <v>94</v>
      </c>
      <c r="G19" s="79" t="str">
        <f>IF(AND(SSTglucose=5,TPN&lt;&gt;1,Gewicht/10&lt;=50),ROUND(PedBerTPN!F6,0),"")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5" t="s">
        <v>461</v>
      </c>
      <c r="F21" s="905"/>
      <c r="G21" s="67">
        <f>SUM(G14:G20)+IF(AND(Gewicht/10&gt;=16,Gewicht/10&lt;=50),PedBerTPN!F5,0)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9" t="str">
        <f>IF(G26&gt;0,ROUND(G26/24,1)&amp;" ml/u","")</f>
        <v/>
      </c>
      <c r="B23" s="72" t="s">
        <v>433</v>
      </c>
      <c r="C23" s="73"/>
      <c r="D23" s="73" t="s">
        <v>812</v>
      </c>
      <c r="E23" s="73" t="s">
        <v>813</v>
      </c>
      <c r="F23" s="74" t="s">
        <v>392</v>
      </c>
      <c r="G23" s="75">
        <f>ROUND(PedBerTPN!F13,0)</f>
        <v>0</v>
      </c>
      <c r="H23" s="38"/>
    </row>
    <row r="24" spans="1:8" ht="20.100000000000001" customHeight="1" x14ac:dyDescent="0.35">
      <c r="A24" s="900"/>
      <c r="B24" s="76" t="s">
        <v>434</v>
      </c>
      <c r="C24" s="77"/>
      <c r="D24" s="77"/>
      <c r="E24" s="906" t="s">
        <v>595</v>
      </c>
      <c r="F24" s="907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6"/>
      <c r="F25" s="907"/>
      <c r="G25" s="79"/>
      <c r="H25" s="33"/>
    </row>
    <row r="26" spans="1:8" ht="15.95" customHeight="1" x14ac:dyDescent="0.35">
      <c r="A26" s="32"/>
      <c r="B26" s="64"/>
      <c r="C26" s="64"/>
      <c r="D26" s="64"/>
      <c r="E26" s="908" t="s">
        <v>461</v>
      </c>
      <c r="F26" s="908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3" t="s">
        <v>245</v>
      </c>
      <c r="C28" s="904"/>
      <c r="D28" s="904"/>
      <c r="E28" s="904"/>
      <c r="F28" s="904"/>
      <c r="G28" s="60"/>
      <c r="H28" s="40"/>
    </row>
    <row r="29" spans="1:8" ht="20.100000000000001" customHeight="1" x14ac:dyDescent="0.35">
      <c r="A29" s="899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IF(AND(OR(TPN=1,AND(TPN=2,SSTglucose&gt;10),Gewicht/10&gt;50)),ROUND(PedBerTPN!F7,0),0)</f>
        <v>0</v>
      </c>
      <c r="H29" s="33"/>
    </row>
    <row r="30" spans="1:8" ht="20.100000000000001" customHeight="1" x14ac:dyDescent="0.35">
      <c r="A30" s="900"/>
      <c r="B30" s="84" t="s">
        <v>871</v>
      </c>
      <c r="C30" s="87"/>
      <c r="D30" s="87"/>
      <c r="E30" s="87"/>
      <c r="F30" s="88"/>
      <c r="G30" s="79">
        <f>IF(AND(OR(TPN=1,AND(TPN=2,SSTglucose&gt;10),Gewicht/10&gt;50)),ROUND(PedBerTPN!F8,0),0)</f>
        <v>0</v>
      </c>
      <c r="H30" s="33"/>
    </row>
    <row r="31" spans="1:8" ht="20.100000000000001" customHeight="1" x14ac:dyDescent="0.35">
      <c r="A31" s="32"/>
      <c r="B31" s="84" t="s">
        <v>898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899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621</v>
      </c>
      <c r="C33" s="87"/>
      <c r="D33" s="87"/>
      <c r="E33" s="87"/>
      <c r="F33" s="88"/>
      <c r="G33" s="79">
        <f>IF(Gewicht/10&lt;=50,PedBerTPN!F17,0)+IF(AND(SSTglucose=2,TPN=1,Gewicht/10&lt;=50),ROUND(PedBerTPN!F6,0),0)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IF(AND(OR(TPN=1,AND(TPN=2,SSTglucose&gt;10),Gewicht/10&gt;50),SSTglucose&lt;&gt;2,SSTglucose&lt;&gt;11),ROUND(PedBerTPN!F6,0),"")</f>
        <v>0</v>
      </c>
      <c r="H34" s="33"/>
    </row>
    <row r="35" spans="1:8" ht="20.100000000000001" customHeight="1" x14ac:dyDescent="0.35">
      <c r="A35" s="32"/>
      <c r="B35" s="83" t="s">
        <v>872</v>
      </c>
      <c r="C35" s="85"/>
      <c r="D35" s="85"/>
      <c r="E35" s="85"/>
      <c r="F35" s="86"/>
      <c r="G35" s="79" t="str">
        <f>IF(AND(SSTglucose=11),ROUND(PedBerTPN!F6,0),"")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8" t="s">
        <v>463</v>
      </c>
      <c r="F36" s="908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9" t="s">
        <v>516</v>
      </c>
      <c r="C38" s="910"/>
      <c r="D38" s="910"/>
      <c r="E38" s="910"/>
      <c r="F38" s="911"/>
      <c r="G38" s="40" t="s">
        <v>517</v>
      </c>
      <c r="H38" s="40"/>
    </row>
    <row r="39" spans="1:8" ht="15.95" customHeight="1" x14ac:dyDescent="0.35">
      <c r="A39" s="41"/>
      <c r="B39" s="896" t="s">
        <v>518</v>
      </c>
      <c r="C39" s="897"/>
      <c r="D39" s="897"/>
      <c r="E39" s="897"/>
      <c r="F39" s="898"/>
      <c r="G39" s="35" t="s">
        <v>519</v>
      </c>
      <c r="H39" s="33"/>
    </row>
    <row r="40" spans="1:8" ht="15.95" customHeight="1" x14ac:dyDescent="0.35">
      <c r="A40" s="41"/>
      <c r="B40" s="896" t="s">
        <v>520</v>
      </c>
      <c r="C40" s="897"/>
      <c r="D40" s="897"/>
      <c r="E40" s="897"/>
      <c r="F40" s="898"/>
      <c r="G40" s="35" t="s">
        <v>517</v>
      </c>
      <c r="H40" s="36"/>
    </row>
    <row r="42" spans="1:8" x14ac:dyDescent="0.35">
      <c r="A42" s="9" t="s">
        <v>521</v>
      </c>
    </row>
    <row r="43" spans="1:8" x14ac:dyDescent="0.35">
      <c r="A43" s="9" t="s">
        <v>462</v>
      </c>
    </row>
    <row r="45" spans="1:8" x14ac:dyDescent="0.35">
      <c r="A45" s="9" t="s">
        <v>522</v>
      </c>
    </row>
    <row r="47" spans="1:8" x14ac:dyDescent="0.35">
      <c r="A47" s="9" t="s">
        <v>182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219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83" t="s">
        <v>1001</v>
      </c>
      <c r="B6" s="9">
        <f>BedNummer</f>
        <v>0</v>
      </c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tr">
        <f>IF(Gewicht/10&lt;7,"Tot.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ht="15" customHeight="1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874</v>
      </c>
      <c r="C16" s="77"/>
      <c r="D16" s="77" t="s">
        <v>813</v>
      </c>
      <c r="E16" s="77" t="s">
        <v>875</v>
      </c>
      <c r="F16" s="78" t="s">
        <v>89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876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877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878</v>
      </c>
      <c r="C19" s="77"/>
      <c r="D19" s="77"/>
      <c r="E19" s="77"/>
      <c r="F19" s="78" t="s">
        <v>879</v>
      </c>
      <c r="G19" s="79" t="str">
        <f>IF(AND(SSTglucose=8,TPN&lt;&gt;1,Gewicht/10&lt;=10),ROUND(PedBerTPN!F6,0),"")</f>
        <v/>
      </c>
      <c r="H19" s="33"/>
    </row>
    <row r="20" spans="1:8" ht="20.100000000000001" customHeight="1" x14ac:dyDescent="0.35">
      <c r="A20" s="32"/>
      <c r="B20" s="76" t="s">
        <v>880</v>
      </c>
      <c r="C20" s="77"/>
      <c r="D20" s="77"/>
      <c r="E20" s="77"/>
      <c r="F20" s="78" t="s">
        <v>881</v>
      </c>
      <c r="G20" s="79" t="str">
        <f>IF(AND(SSTglucose=8,TPN&lt;&gt;1,Gewicht/10&gt;10),ROUND(PedBerTPN!F6,0),"")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5" t="s">
        <v>461</v>
      </c>
      <c r="F22" s="905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9" t="str">
        <f>IF(G27&gt;0,ROUND(G27/24,1)&amp;"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434</v>
      </c>
      <c r="C25" s="77"/>
      <c r="D25" s="77"/>
      <c r="E25" s="923" t="s">
        <v>762</v>
      </c>
      <c r="F25" s="924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5" t="s">
        <v>461</v>
      </c>
      <c r="F27" s="905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899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IF(AND(OR(TPN=1,AND(TPN=2,SSTglucose&gt;10))),ROUND(PedBerTPN!F7,0),0)</f>
        <v>0</v>
      </c>
      <c r="H30" s="33"/>
    </row>
    <row r="31" spans="1:8" ht="20.100000000000001" customHeight="1" x14ac:dyDescent="0.35">
      <c r="A31" s="900"/>
      <c r="B31" s="84" t="s">
        <v>871</v>
      </c>
      <c r="C31" s="87"/>
      <c r="D31" s="87"/>
      <c r="E31" s="87"/>
      <c r="F31" s="91"/>
      <c r="G31" s="92">
        <f>IF(AND(OR(TPN=1,AND(TPN=2,SSTglucose&gt;10))),ROUND(PedBerTPN!F8,0),0)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IF(AND(OR(TPN=1,AND(TPN=2,SSTglucose&gt;10)),SSTglucose&lt;&gt;2,SSTglucose&lt;&gt;11,SSTglucose&lt;&gt;12,SSTglucose&lt;&gt;13),ROUND(PedBerTPN!F6,0),"")</f>
        <v>0</v>
      </c>
      <c r="H35" s="33"/>
    </row>
    <row r="36" spans="1:8" ht="20.100000000000001" customHeight="1" x14ac:dyDescent="0.35">
      <c r="A36" s="32"/>
      <c r="B36" s="931" t="s">
        <v>872</v>
      </c>
      <c r="C36" s="932"/>
      <c r="D36" s="932"/>
      <c r="E36" s="932"/>
      <c r="F36" s="91"/>
      <c r="G36" s="92" t="str">
        <f>IF(OR(SSTglucose=11),ROUND(PedBerTPN!F6,0),"")</f>
        <v/>
      </c>
      <c r="H36" s="33"/>
    </row>
    <row r="37" spans="1:8" ht="20.100000000000001" customHeight="1" x14ac:dyDescent="0.35">
      <c r="A37" s="32"/>
      <c r="B37" s="931" t="s">
        <v>67</v>
      </c>
      <c r="C37" s="932"/>
      <c r="D37" s="932"/>
      <c r="E37" s="932"/>
      <c r="F37" s="91"/>
      <c r="G37" s="92" t="str">
        <f>IF(AND(SSTglucose=12),ROUND(PedBerTPN!F6,0),"")</f>
        <v/>
      </c>
      <c r="H37" s="33"/>
    </row>
    <row r="38" spans="1:8" ht="20.100000000000001" customHeight="1" x14ac:dyDescent="0.35">
      <c r="A38" s="32"/>
      <c r="B38" s="931" t="s">
        <v>68</v>
      </c>
      <c r="C38" s="932"/>
      <c r="D38" s="932"/>
      <c r="E38" s="932"/>
      <c r="F38" s="89"/>
      <c r="G38" s="92" t="str">
        <f>IF(AND(SSTglucose=13),ROUND(PedBerTPN!F6,0),"")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5" t="s">
        <v>463</v>
      </c>
      <c r="F39" s="905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5" t="s">
        <v>516</v>
      </c>
      <c r="C41" s="926"/>
      <c r="D41" s="926"/>
      <c r="E41" s="926"/>
      <c r="F41" s="927"/>
      <c r="G41" s="40" t="s">
        <v>517</v>
      </c>
      <c r="H41" s="40"/>
    </row>
    <row r="42" spans="1:8" ht="15.95" customHeight="1" x14ac:dyDescent="0.35">
      <c r="A42" s="41"/>
      <c r="B42" s="928" t="s">
        <v>518</v>
      </c>
      <c r="C42" s="929"/>
      <c r="D42" s="929"/>
      <c r="E42" s="929"/>
      <c r="F42" s="930"/>
      <c r="G42" s="35" t="s">
        <v>519</v>
      </c>
      <c r="H42" s="33"/>
    </row>
    <row r="43" spans="1:8" ht="15.95" customHeight="1" x14ac:dyDescent="0.35">
      <c r="A43" s="41"/>
      <c r="B43" s="928" t="s">
        <v>520</v>
      </c>
      <c r="C43" s="929"/>
      <c r="D43" s="929"/>
      <c r="E43" s="929"/>
      <c r="F43" s="930"/>
      <c r="G43" s="35" t="s">
        <v>517</v>
      </c>
      <c r="H43" s="36"/>
    </row>
    <row r="45" spans="1:8" x14ac:dyDescent="0.35">
      <c r="A45" s="9" t="s">
        <v>521</v>
      </c>
    </row>
    <row r="46" spans="1:8" x14ac:dyDescent="0.35">
      <c r="A46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220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10" spans="1:8" ht="13.2" thickBot="1" x14ac:dyDescent="0.4">
      <c r="A10" s="9" t="s">
        <v>735</v>
      </c>
      <c r="C10" s="9">
        <f>PedBerTPN!F24</f>
        <v>0</v>
      </c>
      <c r="D10" s="9" t="s">
        <v>649</v>
      </c>
    </row>
    <row r="11" spans="1:8" ht="13.2" thickTop="1" x14ac:dyDescent="0.35">
      <c r="A11" s="912" t="s">
        <v>23</v>
      </c>
      <c r="B11" s="913"/>
      <c r="C11" s="913"/>
      <c r="D11" s="913"/>
      <c r="E11" s="913"/>
      <c r="F11" s="913"/>
      <c r="G11" s="913"/>
      <c r="H11" s="914"/>
    </row>
    <row r="12" spans="1:8" ht="25.65" x14ac:dyDescent="0.35">
      <c r="A12" s="32" t="s">
        <v>627</v>
      </c>
      <c r="B12" s="915" t="s">
        <v>383</v>
      </c>
      <c r="C12" s="917"/>
      <c r="D12" s="919" t="s">
        <v>384</v>
      </c>
      <c r="E12" s="919" t="s">
        <v>385</v>
      </c>
      <c r="F12" s="919" t="s">
        <v>386</v>
      </c>
      <c r="G12" s="33"/>
      <c r="H12" s="33" t="s">
        <v>387</v>
      </c>
    </row>
    <row r="13" spans="1:8" x14ac:dyDescent="0.35">
      <c r="A13" s="34" t="s">
        <v>388</v>
      </c>
      <c r="B13" s="916"/>
      <c r="C13" s="918"/>
      <c r="D13" s="920"/>
      <c r="E13" s="920"/>
      <c r="F13" s="920"/>
      <c r="G13" s="33" t="s">
        <v>389</v>
      </c>
      <c r="H13" s="35" t="s">
        <v>390</v>
      </c>
    </row>
    <row r="14" spans="1:8" ht="20.100000000000001" customHeight="1" x14ac:dyDescent="0.35">
      <c r="A14" s="901" t="str">
        <f>IF(TPN&lt;&gt;1,ROUND(G22/24,1)&amp;" ml/u","")</f>
        <v/>
      </c>
      <c r="B14" s="72" t="s">
        <v>66</v>
      </c>
      <c r="C14" s="73"/>
      <c r="D14" s="73" t="s">
        <v>391</v>
      </c>
      <c r="E14" s="73" t="s">
        <v>391</v>
      </c>
      <c r="F14" s="74" t="s">
        <v>391</v>
      </c>
      <c r="G14" s="75" t="str">
        <f>IF(AND(TPN&lt;&gt;1,G16&lt;&gt;0),ROUND(PedBerTPN!F7,0),"")</f>
        <v/>
      </c>
      <c r="H14" s="33"/>
    </row>
    <row r="15" spans="1:8" ht="20.100000000000001" customHeight="1" x14ac:dyDescent="0.35">
      <c r="A15" s="902"/>
      <c r="B15" s="76" t="s">
        <v>868</v>
      </c>
      <c r="C15" s="77"/>
      <c r="D15" s="77" t="s">
        <v>873</v>
      </c>
      <c r="E15" s="77" t="s">
        <v>88</v>
      </c>
      <c r="F15" s="78" t="s">
        <v>88</v>
      </c>
      <c r="G15" s="75" t="str">
        <f>IF(AND(TPN&lt;&gt;1,G16&lt;&gt;0),ROUND(PedBerTPN!F8,0),"")</f>
        <v/>
      </c>
      <c r="H15" s="33"/>
    </row>
    <row r="16" spans="1:8" ht="20.100000000000001" customHeight="1" x14ac:dyDescent="0.35">
      <c r="A16" s="32"/>
      <c r="B16" s="76" t="s">
        <v>882</v>
      </c>
      <c r="C16" s="77"/>
      <c r="D16" s="77" t="s">
        <v>813</v>
      </c>
      <c r="E16" s="77" t="s">
        <v>392</v>
      </c>
      <c r="F16" s="78" t="s">
        <v>875</v>
      </c>
      <c r="G16" s="79" t="str">
        <f>IF(TPN&lt;&gt;1,PedBerTPN!F4,"")</f>
        <v/>
      </c>
      <c r="H16" s="33"/>
    </row>
    <row r="17" spans="1:8" ht="20.100000000000001" customHeight="1" x14ac:dyDescent="0.35">
      <c r="A17" s="32"/>
      <c r="B17" s="76" t="s">
        <v>630</v>
      </c>
      <c r="C17" s="77"/>
      <c r="D17" s="77"/>
      <c r="E17" s="923" t="s">
        <v>267</v>
      </c>
      <c r="F17" s="924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 t="s">
        <v>268</v>
      </c>
      <c r="E18" s="77"/>
      <c r="F18" s="78"/>
      <c r="G18" s="79" t="str">
        <f>IF(AND(SSTglucose=2,TPN&lt;&gt;1),ROUND(PedBerTPN!F6,0),"")</f>
        <v/>
      </c>
      <c r="H18" s="33"/>
    </row>
    <row r="19" spans="1:8" ht="20.100000000000001" customHeight="1" x14ac:dyDescent="0.35">
      <c r="A19" s="32"/>
      <c r="B19" s="76" t="s">
        <v>197</v>
      </c>
      <c r="C19" s="77"/>
      <c r="D19" s="77"/>
      <c r="E19" s="77" t="s">
        <v>269</v>
      </c>
      <c r="F19" s="78"/>
      <c r="G19" s="79" t="str">
        <f>IF(AND(SSTglucose=6,TPN&lt;&gt;1),ROUND(PedBerTPN!F6,0),"")</f>
        <v/>
      </c>
      <c r="H19" s="33"/>
    </row>
    <row r="20" spans="1:8" ht="20.100000000000001" customHeight="1" x14ac:dyDescent="0.35">
      <c r="A20" s="32"/>
      <c r="B20" s="76" t="s">
        <v>459</v>
      </c>
      <c r="C20" s="77"/>
      <c r="D20" s="77"/>
      <c r="E20" s="77"/>
      <c r="F20" s="78" t="s">
        <v>270</v>
      </c>
      <c r="G20" s="79" t="str">
        <f>IF(AND(SSTglucose=8,TPN&lt;&gt;1),ROUND(PedBerTPN!F6,0),"")</f>
        <v/>
      </c>
      <c r="H20" s="33"/>
    </row>
    <row r="21" spans="1:8" ht="20.100000000000001" customHeight="1" x14ac:dyDescent="0.35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IF(TPN&lt;&gt;1,ROUND(G27/24,1)&amp;" ml/u","")</f>
        <v/>
      </c>
      <c r="B24" s="72" t="s">
        <v>433</v>
      </c>
      <c r="C24" s="73"/>
      <c r="D24" s="73" t="s">
        <v>812</v>
      </c>
      <c r="E24" s="73" t="s">
        <v>813</v>
      </c>
      <c r="F24" s="74" t="s">
        <v>392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3" t="s">
        <v>245</v>
      </c>
      <c r="C29" s="904"/>
      <c r="D29" s="904"/>
      <c r="E29" s="904"/>
      <c r="F29" s="904"/>
      <c r="G29" s="60"/>
      <c r="H29" s="40"/>
    </row>
    <row r="30" spans="1:8" ht="20.100000000000001" customHeight="1" x14ac:dyDescent="0.35">
      <c r="A30" s="901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88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88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IF(AND(OR(TPN=1,AND(TPN=2,SSTglucose&gt;10)),SSTglucose&lt;&gt;2,SSTglucose&lt;&gt;12,SSTglucose&lt;&gt;13),ROUND(PedBerTPN!F6,0),"")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88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88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8" t="s">
        <v>463</v>
      </c>
      <c r="F38" s="908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6" spans="1:8" x14ac:dyDescent="0.35">
      <c r="A46" s="9" t="s">
        <v>522</v>
      </c>
    </row>
    <row r="48" spans="1:8" x14ac:dyDescent="0.35">
      <c r="A48" s="9" t="s">
        <v>182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221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">
        <v>734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01" t="str">
        <f>IF(G22&lt;&gt;0,ROUND(G22/24,1)&amp;" ml/u","")</f>
        <v/>
      </c>
      <c r="B13" s="72" t="s">
        <v>66</v>
      </c>
      <c r="C13" s="73"/>
      <c r="D13" s="73" t="s">
        <v>391</v>
      </c>
      <c r="E13" s="73" t="s">
        <v>391</v>
      </c>
      <c r="F13" s="74" t="s">
        <v>391</v>
      </c>
      <c r="G13" s="75" t="str">
        <f>IF(AND(TPN&lt;&gt;1,G15&lt;&gt;0),ROUND(PedBerTPN!F7,0),"")</f>
        <v/>
      </c>
      <c r="H13" s="33"/>
    </row>
    <row r="14" spans="1:8" ht="20.100000000000001" customHeight="1" x14ac:dyDescent="0.35">
      <c r="A14" s="902"/>
      <c r="B14" s="76" t="s">
        <v>868</v>
      </c>
      <c r="C14" s="77"/>
      <c r="D14" s="77" t="s">
        <v>873</v>
      </c>
      <c r="E14" s="77" t="s">
        <v>88</v>
      </c>
      <c r="F14" s="78" t="s">
        <v>88</v>
      </c>
      <c r="G14" s="75" t="str">
        <f>IF(AND(TPN&lt;&gt;1,G15&lt;&gt;0),ROUND(PedBerTPN!F8,0),"")</f>
        <v/>
      </c>
      <c r="H14" s="33"/>
    </row>
    <row r="15" spans="1:8" ht="20.100000000000001" customHeight="1" x14ac:dyDescent="0.35">
      <c r="A15" s="32"/>
      <c r="B15" s="76" t="s">
        <v>271</v>
      </c>
      <c r="C15" s="77"/>
      <c r="D15" s="77" t="s">
        <v>812</v>
      </c>
      <c r="E15" s="77" t="s">
        <v>272</v>
      </c>
      <c r="F15" s="78" t="s">
        <v>277</v>
      </c>
      <c r="G15" s="79" t="str">
        <f>IF(TPN&lt;&gt;1,PedBerTPN!F4,"")</f>
        <v/>
      </c>
      <c r="H15" s="33"/>
    </row>
    <row r="16" spans="1:8" ht="20.100000000000001" customHeight="1" x14ac:dyDescent="0.35">
      <c r="A16" s="32"/>
      <c r="B16" s="76" t="s">
        <v>630</v>
      </c>
      <c r="C16" s="77"/>
      <c r="D16" s="77"/>
      <c r="E16" s="923" t="s">
        <v>267</v>
      </c>
      <c r="F16" s="924"/>
      <c r="G16" s="79" t="str">
        <f>IF(AND(SSTglucose&lt;11,TPN&lt;&gt;1),ROUND(PedBerTPN!F5,0),"")</f>
        <v/>
      </c>
      <c r="H16" s="33"/>
    </row>
    <row r="17" spans="1:8" ht="20.100000000000001" customHeight="1" x14ac:dyDescent="0.35">
      <c r="A17" s="32"/>
      <c r="B17" s="76" t="s">
        <v>621</v>
      </c>
      <c r="C17" s="77"/>
      <c r="D17" s="77" t="s">
        <v>273</v>
      </c>
      <c r="E17" s="77"/>
      <c r="F17" s="78"/>
      <c r="G17" s="79" t="str">
        <f>IF(AND(SSTglucose=2,TPN&lt;&gt;1),ROUND(PedBerTPN!F6,0),"")</f>
        <v/>
      </c>
      <c r="H17" s="33"/>
    </row>
    <row r="18" spans="1:8" ht="20.100000000000001" customHeight="1" x14ac:dyDescent="0.35">
      <c r="A18" s="32"/>
      <c r="B18" s="76" t="s">
        <v>197</v>
      </c>
      <c r="C18" s="77"/>
      <c r="D18" s="77"/>
      <c r="E18" s="77" t="s">
        <v>274</v>
      </c>
      <c r="F18" s="78"/>
      <c r="G18" s="79" t="str">
        <f>IF(AND(SSTglucose=6,TPN&lt;&gt;1),ROUND(PedBerTPN!F6,0),"")</f>
        <v/>
      </c>
      <c r="H18" s="33"/>
    </row>
    <row r="19" spans="1:8" ht="20.100000000000001" customHeight="1" x14ac:dyDescent="0.35">
      <c r="A19" s="32"/>
      <c r="B19" s="76" t="s">
        <v>275</v>
      </c>
      <c r="C19" s="77" t="s">
        <v>482</v>
      </c>
      <c r="D19" s="77"/>
      <c r="E19" s="77"/>
      <c r="F19" s="78" t="s">
        <v>881</v>
      </c>
      <c r="G19" s="79" t="str">
        <f>IF(AND(SSTglucose=7,TPN&lt;&gt;1),ROUND(PedBerTPN!F6,0),"")</f>
        <v/>
      </c>
      <c r="H19" s="33"/>
    </row>
    <row r="20" spans="1:8" ht="20.100000000000001" customHeight="1" x14ac:dyDescent="0.35">
      <c r="A20" s="32"/>
      <c r="B20" s="76" t="s">
        <v>276</v>
      </c>
      <c r="C20" s="77"/>
      <c r="D20" s="77"/>
      <c r="E20" s="77"/>
      <c r="F20" s="78" t="s">
        <v>875</v>
      </c>
      <c r="G20" s="79" t="str">
        <f>IF(AND(SSTglucose=9,TPN&lt;&gt;1),ROUND(PedBerTPN!F6,0),"")</f>
        <v/>
      </c>
      <c r="H20" s="33"/>
    </row>
    <row r="21" spans="1:8" ht="20.100000000000001" customHeight="1" x14ac:dyDescent="0.35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8" t="s">
        <v>461</v>
      </c>
      <c r="F22" s="908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1" t="str">
        <f>IF(G27&lt;&gt;0,ROUND(G27/24,1)&amp;" ml/u","")</f>
        <v/>
      </c>
      <c r="B24" s="72" t="s">
        <v>433</v>
      </c>
      <c r="C24" s="73"/>
      <c r="D24" s="73" t="s">
        <v>733</v>
      </c>
      <c r="E24" s="73" t="s">
        <v>391</v>
      </c>
      <c r="F24" s="74" t="s">
        <v>813</v>
      </c>
      <c r="G24" s="75">
        <f>ROUND(PedBerTPN!F13,0)</f>
        <v>0</v>
      </c>
      <c r="H24" s="38"/>
    </row>
    <row r="25" spans="1:8" ht="20.100000000000001" customHeight="1" x14ac:dyDescent="0.35">
      <c r="A25" s="902"/>
      <c r="B25" s="76" t="s">
        <v>434</v>
      </c>
      <c r="C25" s="77"/>
      <c r="D25" s="77"/>
      <c r="E25" s="923" t="s">
        <v>762</v>
      </c>
      <c r="F25" s="924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454</v>
      </c>
      <c r="C26" s="77"/>
      <c r="D26" s="77"/>
      <c r="E26" s="923" t="s">
        <v>762</v>
      </c>
      <c r="F26" s="924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8" t="s">
        <v>461</v>
      </c>
      <c r="F27" s="908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1" t="s">
        <v>245</v>
      </c>
      <c r="C29" s="922"/>
      <c r="D29" s="922"/>
      <c r="E29" s="922"/>
      <c r="F29" s="922"/>
      <c r="G29" s="60"/>
      <c r="H29" s="40"/>
    </row>
    <row r="30" spans="1:8" ht="20.100000000000001" customHeight="1" x14ac:dyDescent="0.35">
      <c r="A30" s="901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IF(AND(OR(TPN=1,AND(TPN=2,SSTglucose&gt;10))),ROUND(PedBerTPN!F7,0),"")</f>
        <v>0</v>
      </c>
      <c r="H30" s="33"/>
    </row>
    <row r="31" spans="1:8" ht="20.100000000000001" customHeight="1" x14ac:dyDescent="0.35">
      <c r="A31" s="902"/>
      <c r="B31" s="84" t="s">
        <v>871</v>
      </c>
      <c r="C31" s="87"/>
      <c r="D31" s="87"/>
      <c r="E31" s="87"/>
      <c r="F31" s="91"/>
      <c r="G31" s="92">
        <f>IF(AND(OR(TPN=1,AND(TPN=2,SSTglucose&gt;10))),ROUND(PedBerTPN!F8,0),"")</f>
        <v>0</v>
      </c>
      <c r="H31" s="33"/>
    </row>
    <row r="32" spans="1:8" ht="20.100000000000001" customHeight="1" x14ac:dyDescent="0.35">
      <c r="A32" s="62"/>
      <c r="B32" s="84" t="s">
        <v>898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899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621</v>
      </c>
      <c r="C34" s="87"/>
      <c r="D34" s="87"/>
      <c r="E34" s="87"/>
      <c r="F34" s="91"/>
      <c r="G34" s="92">
        <f>PedBerTPN!F17+IF(AND(SSTglucose=2,TPN=1),ROUND(PedBerTPN!F6,0),0)</f>
        <v>0</v>
      </c>
      <c r="H34" s="33"/>
    </row>
    <row r="35" spans="1:8" ht="20.100000000000001" customHeight="1" x14ac:dyDescent="0.35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IF(AND(OR(TPN=1,AND(TPN=2,SSTglucose&gt;10)),SSTglucose&lt;&gt;2,SSTglucose&lt;&gt;12,SSTglucose&lt;&gt;13),PedBerTPN!F6,"")</f>
        <v>0</v>
      </c>
      <c r="H35" s="33"/>
    </row>
    <row r="36" spans="1:8" ht="20.100000000000001" customHeight="1" x14ac:dyDescent="0.35">
      <c r="A36" s="62"/>
      <c r="B36" s="931" t="s">
        <v>67</v>
      </c>
      <c r="C36" s="932"/>
      <c r="D36" s="932"/>
      <c r="E36" s="932"/>
      <c r="F36" s="91"/>
      <c r="G36" s="92" t="str">
        <f>IF(AND(SSTglucose=12),ROUND(PedBerTPN!F6,0),"")</f>
        <v/>
      </c>
      <c r="H36" s="33"/>
    </row>
    <row r="37" spans="1:8" ht="20.100000000000001" customHeight="1" x14ac:dyDescent="0.35">
      <c r="A37" s="32"/>
      <c r="B37" s="931" t="s">
        <v>68</v>
      </c>
      <c r="C37" s="932"/>
      <c r="D37" s="932"/>
      <c r="E37" s="932"/>
      <c r="F37" s="91"/>
      <c r="G37" s="92" t="str">
        <f>IF(AND(SSTglucose=13),ROUND(PedBerTPN!F6,0),"")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5" t="s">
        <v>463</v>
      </c>
      <c r="F38" s="905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9" t="s">
        <v>516</v>
      </c>
      <c r="C40" s="910"/>
      <c r="D40" s="910"/>
      <c r="E40" s="910"/>
      <c r="F40" s="911"/>
      <c r="G40" s="40" t="s">
        <v>517</v>
      </c>
      <c r="H40" s="40"/>
    </row>
    <row r="41" spans="1:8" ht="15.95" customHeight="1" x14ac:dyDescent="0.35">
      <c r="A41" s="41"/>
      <c r="B41" s="896" t="s">
        <v>518</v>
      </c>
      <c r="C41" s="897"/>
      <c r="D41" s="897"/>
      <c r="E41" s="897"/>
      <c r="F41" s="898"/>
      <c r="G41" s="35" t="s">
        <v>519</v>
      </c>
      <c r="H41" s="33"/>
    </row>
    <row r="42" spans="1:8" ht="15.95" customHeight="1" x14ac:dyDescent="0.35">
      <c r="A42" s="41"/>
      <c r="B42" s="896" t="s">
        <v>520</v>
      </c>
      <c r="C42" s="897"/>
      <c r="D42" s="897"/>
      <c r="E42" s="897"/>
      <c r="F42" s="898"/>
      <c r="G42" s="35" t="s">
        <v>517</v>
      </c>
      <c r="H42" s="36"/>
    </row>
    <row r="44" spans="1:8" x14ac:dyDescent="0.35">
      <c r="A44" s="9" t="s">
        <v>521</v>
      </c>
    </row>
    <row r="45" spans="1:8" x14ac:dyDescent="0.35">
      <c r="A45" s="9" t="s">
        <v>462</v>
      </c>
    </row>
    <row r="47" spans="1:8" x14ac:dyDescent="0.35">
      <c r="A47" s="9" t="s">
        <v>522</v>
      </c>
    </row>
    <row r="49" spans="1:6" x14ac:dyDescent="0.35">
      <c r="A49" s="9" t="s">
        <v>182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535</v>
      </c>
      <c r="F1" s="3" t="s">
        <v>806</v>
      </c>
    </row>
    <row r="3" spans="1:8" x14ac:dyDescent="0.35">
      <c r="A3" s="9" t="s">
        <v>536</v>
      </c>
      <c r="B3" s="43">
        <f ca="1">TODAY()</f>
        <v>42728</v>
      </c>
      <c r="F3" s="51">
        <f>__0_PatNum</f>
        <v>0</v>
      </c>
      <c r="G3" s="52"/>
      <c r="H3" s="53"/>
    </row>
    <row r="4" spans="1:8" x14ac:dyDescent="0.35">
      <c r="A4" s="248" t="s">
        <v>1001</v>
      </c>
      <c r="B4" s="9">
        <f>BedNummer</f>
        <v>0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537</v>
      </c>
      <c r="B5" s="9" t="s">
        <v>771</v>
      </c>
      <c r="F5" s="57">
        <f>__4_GebDatum</f>
        <v>42370</v>
      </c>
      <c r="G5" s="55"/>
      <c r="H5" s="56"/>
    </row>
    <row r="6" spans="1:8" x14ac:dyDescent="0.35">
      <c r="A6" s="595"/>
      <c r="F6" s="54" t="s">
        <v>572</v>
      </c>
      <c r="G6" s="55" t="str">
        <f>Gewicht/10&amp;" kg"</f>
        <v>10 kg</v>
      </c>
      <c r="H6" s="56"/>
    </row>
    <row r="7" spans="1:8" x14ac:dyDescent="0.35">
      <c r="A7" s="9" t="s">
        <v>648</v>
      </c>
      <c r="B7" s="9" t="s">
        <v>538</v>
      </c>
      <c r="F7" s="58"/>
      <c r="G7" s="50"/>
      <c r="H7" s="59"/>
    </row>
    <row r="8" spans="1:8" x14ac:dyDescent="0.35">
      <c r="A8" s="9" t="s">
        <v>594</v>
      </c>
      <c r="B8" s="9" t="s">
        <v>538</v>
      </c>
    </row>
    <row r="9" spans="1:8" ht="13.2" thickBot="1" x14ac:dyDescent="0.4">
      <c r="A9" s="9" t="str">
        <f>IF(Gewicht/10&lt;7,"Tot.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649</v>
      </c>
    </row>
    <row r="10" spans="1:8" ht="13.2" thickTop="1" x14ac:dyDescent="0.35">
      <c r="A10" s="912" t="s">
        <v>23</v>
      </c>
      <c r="B10" s="913"/>
      <c r="C10" s="913"/>
      <c r="D10" s="913"/>
      <c r="E10" s="913"/>
      <c r="F10" s="913"/>
      <c r="G10" s="913"/>
      <c r="H10" s="914"/>
    </row>
    <row r="11" spans="1:8" ht="25.65" x14ac:dyDescent="0.35">
      <c r="A11" s="32" t="s">
        <v>627</v>
      </c>
      <c r="B11" s="915" t="s">
        <v>383</v>
      </c>
      <c r="C11" s="917"/>
      <c r="D11" s="919" t="s">
        <v>384</v>
      </c>
      <c r="E11" s="919" t="s">
        <v>385</v>
      </c>
      <c r="F11" s="919" t="s">
        <v>386</v>
      </c>
      <c r="G11" s="33"/>
      <c r="H11" s="33" t="s">
        <v>387</v>
      </c>
    </row>
    <row r="12" spans="1:8" x14ac:dyDescent="0.35">
      <c r="A12" s="34" t="s">
        <v>388</v>
      </c>
      <c r="B12" s="916"/>
      <c r="C12" s="918"/>
      <c r="D12" s="920"/>
      <c r="E12" s="920"/>
      <c r="F12" s="920"/>
      <c r="G12" s="33" t="s">
        <v>389</v>
      </c>
      <c r="H12" s="35" t="s">
        <v>390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173</v>
      </c>
      <c r="C13" s="77"/>
      <c r="D13" s="77" t="s">
        <v>174</v>
      </c>
      <c r="E13" s="77" t="s">
        <v>175</v>
      </c>
      <c r="F13" s="78" t="s">
        <v>176</v>
      </c>
      <c r="G13" s="98" t="str">
        <f>IF(TPN&lt;&gt;1,PedBerTPN!F4,"")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463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630</v>
      </c>
      <c r="C17" s="77"/>
      <c r="D17" s="77"/>
      <c r="E17" s="73"/>
      <c r="F17" s="74" t="s">
        <v>392</v>
      </c>
      <c r="G17" s="79">
        <f>IF(AND(OR(SSTglucose&lt;11,Gewicht/10&gt;50),TPN&lt;&gt;1),ROUND(PedBerTPN!F5,0),0)</f>
        <v>0</v>
      </c>
      <c r="H17" s="33"/>
    </row>
    <row r="18" spans="1:8" ht="20.100000000000001" customHeight="1" x14ac:dyDescent="0.35">
      <c r="A18" s="32"/>
      <c r="B18" s="76" t="s">
        <v>621</v>
      </c>
      <c r="C18" s="77"/>
      <c r="D18" s="77"/>
      <c r="E18" s="77"/>
      <c r="F18" s="78" t="s">
        <v>172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8" t="s">
        <v>461</v>
      </c>
      <c r="F19" s="908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433</v>
      </c>
      <c r="C21" s="73"/>
      <c r="D21" s="73" t="s">
        <v>177</v>
      </c>
      <c r="E21" s="73" t="s">
        <v>178</v>
      </c>
      <c r="F21" s="74" t="s">
        <v>179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434</v>
      </c>
      <c r="C22" s="77"/>
      <c r="D22" s="77"/>
      <c r="E22" s="73"/>
      <c r="F22" s="74" t="s">
        <v>180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454</v>
      </c>
      <c r="C23" s="77"/>
      <c r="D23" s="77"/>
      <c r="E23" s="73"/>
      <c r="F23" s="74" t="s">
        <v>180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8" t="s">
        <v>461</v>
      </c>
      <c r="F24" s="908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1" t="s">
        <v>245</v>
      </c>
      <c r="C26" s="922"/>
      <c r="D26" s="922"/>
      <c r="E26" s="922"/>
      <c r="F26" s="922"/>
      <c r="G26" s="60"/>
      <c r="H26" s="40"/>
    </row>
    <row r="27" spans="1:8" ht="20.100000000000001" customHeight="1" x14ac:dyDescent="0.35">
      <c r="A27" s="901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IF(AND(OR(TPN=1,Gewicht/10&gt;50,AND(TPN=2,SSTglucose&gt;10))),ROUND(PedBerTPN!F7,0),"")</f>
        <v>0</v>
      </c>
      <c r="H27" s="33"/>
    </row>
    <row r="28" spans="1:8" ht="20.100000000000001" customHeight="1" x14ac:dyDescent="0.35">
      <c r="A28" s="902"/>
      <c r="B28" s="84" t="s">
        <v>871</v>
      </c>
      <c r="C28" s="87"/>
      <c r="D28" s="87"/>
      <c r="E28" s="87"/>
      <c r="F28" s="91"/>
      <c r="G28" s="92">
        <f>IF(AND(OR(TPN=1,Gewicht/10&gt;50,AND(TPN=2,SSTglucose&gt;10))),ROUND(PedBerTPN!F8,0),"")</f>
        <v>0</v>
      </c>
      <c r="H28" s="33"/>
    </row>
    <row r="29" spans="1:8" ht="15.95" customHeight="1" x14ac:dyDescent="0.35">
      <c r="A29" s="62"/>
      <c r="B29" s="84" t="s">
        <v>898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899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621</v>
      </c>
      <c r="C31" s="87"/>
      <c r="D31" s="87"/>
      <c r="E31" s="87"/>
      <c r="F31" s="91"/>
      <c r="G31" s="92">
        <f>IF(Gewicht/10&lt;=50,PedBerTPN!F17,0)+IF(OR(AND(SSTglucose=2,TPN=1),AND(SSTglucose=2,Gewicht/10&gt;50)),ROUND(PedBerTPN!F6,0),0)</f>
        <v>0</v>
      </c>
      <c r="H31" s="33"/>
    </row>
    <row r="32" spans="1:8" ht="15.95" customHeight="1" x14ac:dyDescent="0.35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IF(AND(SSTglucose&lt;&gt;2,SSTglucose&lt;&gt;12,SSTglucose&lt;&gt;13),PedBerTPN!F6,"")</f>
        <v>0</v>
      </c>
      <c r="H32" s="33"/>
    </row>
    <row r="33" spans="1:8" ht="15.95" customHeight="1" x14ac:dyDescent="0.35">
      <c r="A33" s="62"/>
      <c r="B33" s="931" t="s">
        <v>67</v>
      </c>
      <c r="C33" s="932"/>
      <c r="D33" s="932"/>
      <c r="E33" s="932"/>
      <c r="F33" s="91"/>
      <c r="G33" s="92" t="str">
        <f>IF(AND(SSTglucose=12),ROUND(PedBerTPN!F6,0),"")</f>
        <v/>
      </c>
      <c r="H33" s="33"/>
    </row>
    <row r="34" spans="1:8" ht="20.100000000000001" customHeight="1" x14ac:dyDescent="0.35">
      <c r="A34" s="32"/>
      <c r="B34" s="931" t="s">
        <v>68</v>
      </c>
      <c r="C34" s="932"/>
      <c r="D34" s="932"/>
      <c r="E34" s="932"/>
      <c r="F34" s="91"/>
      <c r="G34" s="92" t="str">
        <f>IF(AND(SSTglucose=13),ROUND(PedBerTPN!F6,0),"")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5" t="s">
        <v>463</v>
      </c>
      <c r="F35" s="905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9" t="s">
        <v>516</v>
      </c>
      <c r="C37" s="910"/>
      <c r="D37" s="910"/>
      <c r="E37" s="910"/>
      <c r="F37" s="911"/>
      <c r="G37" s="40" t="s">
        <v>517</v>
      </c>
      <c r="H37" s="40"/>
    </row>
    <row r="38" spans="1:8" ht="20.100000000000001" customHeight="1" x14ac:dyDescent="0.35">
      <c r="A38" s="41"/>
      <c r="B38" s="896" t="s">
        <v>518</v>
      </c>
      <c r="C38" s="897"/>
      <c r="D38" s="897"/>
      <c r="E38" s="897"/>
      <c r="F38" s="898"/>
      <c r="G38" s="35" t="s">
        <v>519</v>
      </c>
      <c r="H38" s="33"/>
    </row>
    <row r="39" spans="1:8" ht="20.100000000000001" customHeight="1" x14ac:dyDescent="0.35">
      <c r="A39" s="41"/>
      <c r="B39" s="896" t="s">
        <v>520</v>
      </c>
      <c r="C39" s="897"/>
      <c r="D39" s="897"/>
      <c r="E39" s="897"/>
      <c r="F39" s="898"/>
      <c r="G39" s="35" t="s">
        <v>517</v>
      </c>
      <c r="H39" s="36"/>
    </row>
    <row r="40" spans="1:8" ht="20.100000000000001" customHeight="1" x14ac:dyDescent="0.35"/>
    <row r="41" spans="1:8" ht="15.95" customHeight="1" x14ac:dyDescent="0.35">
      <c r="A41" s="9" t="s">
        <v>521</v>
      </c>
    </row>
    <row r="42" spans="1:8" ht="10.5" customHeight="1" x14ac:dyDescent="0.35">
      <c r="A42" s="9" t="s">
        <v>462</v>
      </c>
    </row>
    <row r="43" spans="1:8" ht="15.95" customHeight="1" x14ac:dyDescent="0.35"/>
    <row r="44" spans="1:8" ht="15.95" customHeight="1" x14ac:dyDescent="0.35">
      <c r="A44" s="9" t="s">
        <v>522</v>
      </c>
    </row>
    <row r="45" spans="1:8" ht="15.95" customHeight="1" x14ac:dyDescent="0.35"/>
    <row r="46" spans="1:8" x14ac:dyDescent="0.35">
      <c r="A46" s="9" t="s">
        <v>182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10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508</v>
      </c>
      <c r="C2" t="s">
        <v>244</v>
      </c>
      <c r="D2" s="25" t="s">
        <v>598</v>
      </c>
      <c r="E2" s="25" t="s">
        <v>238</v>
      </c>
      <c r="F2" t="s">
        <v>631</v>
      </c>
      <c r="G2" t="s">
        <v>425</v>
      </c>
      <c r="H2" t="s">
        <v>240</v>
      </c>
      <c r="I2" t="s">
        <v>472</v>
      </c>
      <c r="J2" t="s">
        <v>473</v>
      </c>
      <c r="K2" t="s">
        <v>474</v>
      </c>
      <c r="L2" t="s">
        <v>475</v>
      </c>
      <c r="M2" t="s">
        <v>428</v>
      </c>
      <c r="N2" t="s">
        <v>241</v>
      </c>
      <c r="O2" t="s">
        <v>431</v>
      </c>
    </row>
    <row r="3" spans="1:15" x14ac:dyDescent="0.35">
      <c r="A3" t="s">
        <v>693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478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630</v>
      </c>
      <c r="F5">
        <f>IF(AND(Gewicht/10&gt;=16,TPN&gt;1,OR(SSTglucose&lt;11,Gewicht/10&gt;50)),E5,0)</f>
        <v>0</v>
      </c>
    </row>
    <row r="6" spans="1:15" x14ac:dyDescent="0.35">
      <c r="A6" s="577" t="s">
        <v>599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688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469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689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644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642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432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433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434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435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35">
      <c r="A16" s="518" t="s">
        <v>2417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352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35">
      <c r="A18" t="s">
        <v>239</v>
      </c>
      <c r="F18">
        <f>(ROUND(PedBerTPN!F11*1.5/(Gewicht/10)/24/0.01,1)*24-PedBerTPN!F11)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694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599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688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469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242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470</v>
      </c>
      <c r="C26" s="61" t="s">
        <v>471</v>
      </c>
      <c r="D26" s="61" t="s">
        <v>472</v>
      </c>
      <c r="E26" s="61" t="s">
        <v>473</v>
      </c>
      <c r="F26" s="61" t="s">
        <v>474</v>
      </c>
      <c r="G26" s="61" t="s">
        <v>475</v>
      </c>
      <c r="H26" s="61" t="s">
        <v>476</v>
      </c>
      <c r="I26" s="61" t="s">
        <v>477</v>
      </c>
      <c r="L26" t="s">
        <v>236</v>
      </c>
      <c r="M26" t="s">
        <v>237</v>
      </c>
      <c r="N26" t="s">
        <v>188</v>
      </c>
    </row>
    <row r="27" spans="1:15" x14ac:dyDescent="0.35">
      <c r="J27">
        <v>1</v>
      </c>
      <c r="K27" t="s">
        <v>620</v>
      </c>
      <c r="L27">
        <v>0.05</v>
      </c>
      <c r="M27">
        <v>0</v>
      </c>
    </row>
    <row r="28" spans="1:15" x14ac:dyDescent="0.35">
      <c r="A28" s="61" t="s">
        <v>687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621</v>
      </c>
      <c r="L28">
        <v>0.1</v>
      </c>
      <c r="M28">
        <v>0</v>
      </c>
    </row>
    <row r="29" spans="1:15" x14ac:dyDescent="0.35">
      <c r="A29" s="61" t="s">
        <v>686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187</v>
      </c>
      <c r="L29">
        <v>0.125</v>
      </c>
    </row>
    <row r="30" spans="1:15" x14ac:dyDescent="0.35">
      <c r="A30" s="61" t="s">
        <v>687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199</v>
      </c>
      <c r="L30">
        <v>0.15</v>
      </c>
      <c r="M30">
        <v>0</v>
      </c>
    </row>
    <row r="31" spans="1:15" x14ac:dyDescent="0.35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186</v>
      </c>
      <c r="L31">
        <v>0.17499999999999999</v>
      </c>
    </row>
    <row r="32" spans="1:15" x14ac:dyDescent="0.35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197</v>
      </c>
      <c r="L32">
        <v>0.2</v>
      </c>
      <c r="M32">
        <v>0</v>
      </c>
    </row>
    <row r="33" spans="1:15" x14ac:dyDescent="0.35">
      <c r="A33" s="61" t="s">
        <v>181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460</v>
      </c>
      <c r="L33">
        <v>0.25</v>
      </c>
      <c r="M33">
        <v>0</v>
      </c>
    </row>
    <row r="34" spans="1:15" x14ac:dyDescent="0.35">
      <c r="J34">
        <v>8</v>
      </c>
      <c r="K34" t="s">
        <v>459</v>
      </c>
      <c r="L34">
        <v>0.3</v>
      </c>
      <c r="M34">
        <v>0</v>
      </c>
    </row>
    <row r="35" spans="1:15" x14ac:dyDescent="0.35">
      <c r="J35">
        <v>9</v>
      </c>
      <c r="K35" t="s">
        <v>564</v>
      </c>
      <c r="L35">
        <v>0.4</v>
      </c>
      <c r="M35">
        <v>0</v>
      </c>
      <c r="N35">
        <v>0</v>
      </c>
    </row>
    <row r="36" spans="1:15" x14ac:dyDescent="0.35">
      <c r="A36" s="61" t="s">
        <v>686</v>
      </c>
      <c r="J36">
        <v>10</v>
      </c>
      <c r="K36" t="s">
        <v>198</v>
      </c>
      <c r="L36">
        <v>0.5</v>
      </c>
      <c r="M36">
        <v>0</v>
      </c>
    </row>
    <row r="37" spans="1:15" x14ac:dyDescent="0.35">
      <c r="A37" s="61" t="s">
        <v>687</v>
      </c>
      <c r="J37">
        <v>11</v>
      </c>
      <c r="K37" t="s">
        <v>932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86</v>
      </c>
      <c r="J38">
        <v>12</v>
      </c>
      <c r="K38" t="s">
        <v>933</v>
      </c>
      <c r="L38">
        <v>0.05</v>
      </c>
      <c r="M38">
        <v>0.155</v>
      </c>
      <c r="O38">
        <v>0</v>
      </c>
    </row>
    <row r="39" spans="1:15" x14ac:dyDescent="0.35">
      <c r="A39" s="61" t="s">
        <v>87</v>
      </c>
      <c r="J39">
        <v>13</v>
      </c>
      <c r="K39" t="s">
        <v>629</v>
      </c>
      <c r="L39">
        <v>0</v>
      </c>
      <c r="M39">
        <v>0.155</v>
      </c>
      <c r="O39">
        <v>0</v>
      </c>
    </row>
    <row r="40" spans="1:15" x14ac:dyDescent="0.35">
      <c r="A40" s="61" t="s">
        <v>181</v>
      </c>
      <c r="J40">
        <v>14</v>
      </c>
      <c r="K40" s="9" t="s">
        <v>934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728</v>
      </c>
      <c r="C2" s="423" t="s">
        <v>1042</v>
      </c>
      <c r="D2" s="423" t="s">
        <v>1043</v>
      </c>
      <c r="E2" s="423" t="s">
        <v>242</v>
      </c>
      <c r="G2" s="423"/>
      <c r="H2" s="423" t="s">
        <v>1042</v>
      </c>
      <c r="I2" s="423" t="s">
        <v>1043</v>
      </c>
      <c r="J2" s="423" t="s">
        <v>242</v>
      </c>
    </row>
    <row r="3" spans="1:15" ht="15.95" customHeight="1" x14ac:dyDescent="0.4">
      <c r="B3" s="424" t="s">
        <v>631</v>
      </c>
      <c r="C3" s="425" t="str">
        <f ca="1">ROUND(NeoBerIV!L50/_Gewicht,0)&amp;" ml/kg"</f>
        <v>0 ml/kg</v>
      </c>
      <c r="D3" s="425" t="str">
        <f>ROUND(NeoBerIV!L49/_Gewicht,0)&amp;" ml/kg"</f>
        <v>0 ml/kg</v>
      </c>
      <c r="E3" s="425" t="str">
        <f ca="1">ROUND(NeoBerIV!L47/_Gewicht,0)&amp;" ml/kg  "&amp;"= "&amp;ROUND(NeoBerIV!L47,0)&amp;" ml"</f>
        <v>0 ml/kg  = 0 ml</v>
      </c>
      <c r="G3" s="424" t="s">
        <v>377</v>
      </c>
      <c r="H3" s="425" t="str">
        <f ca="1">ROUND(NeoBerIV!M50/_Gewicht,1)&amp;" mmol/kg"</f>
        <v>0 mmol/kg</v>
      </c>
      <c r="I3" s="425" t="str">
        <f>ROUND(NeoBerIV!M49/_Gewicht,1)&amp;" mmol/kg"</f>
        <v>0 mmol/kg</v>
      </c>
      <c r="J3" s="425" t="str">
        <f ca="1">ROUND(NeoBerIV!M47/_Gewicht,1)&amp;" mmol/kg"</f>
        <v>0 mmol/kg</v>
      </c>
      <c r="K3" s="933" t="s">
        <v>2288</v>
      </c>
      <c r="L3" s="933"/>
      <c r="M3" s="933"/>
      <c r="N3" s="933"/>
    </row>
    <row r="4" spans="1:15" ht="15.95" customHeight="1" x14ac:dyDescent="0.4">
      <c r="B4" s="424" t="s">
        <v>465</v>
      </c>
      <c r="C4" s="425" t="str">
        <f ca="1">ROUND(NeoBerIV!R50/_Gewicht,1)&amp;" g/kg"</f>
        <v>0 g/kg</v>
      </c>
      <c r="D4" s="425" t="str">
        <f>ROUND(NeoBerIV!R49/_Gewicht,1)&amp;" g/kg"</f>
        <v>0 g/kg</v>
      </c>
      <c r="E4" s="425" t="str">
        <f ca="1">ROUND(NeoBerIV!R47/_Gewicht,1)&amp;" g/kg"</f>
        <v>0 g/kg</v>
      </c>
      <c r="G4" s="424" t="s">
        <v>577</v>
      </c>
      <c r="H4" s="425" t="str">
        <f ca="1">ROUND(NeoBerIV!N50/_Gewicht,1)&amp;" mmol/kg"</f>
        <v>0 mmol/kg</v>
      </c>
      <c r="I4" s="425" t="str">
        <f>ROUND(NeoBerIV!N49/_Gewicht,1)&amp;" mmol/kg"</f>
        <v>0 mmol/kg</v>
      </c>
      <c r="J4" s="425" t="str">
        <f ca="1">ROUND(NeoBerIV!N47/_Gewicht,1)&amp;" mmol/kg"</f>
        <v>0 mmol/kg</v>
      </c>
      <c r="K4" s="933"/>
      <c r="L4" s="933"/>
      <c r="M4" s="933"/>
      <c r="N4" s="933"/>
    </row>
    <row r="5" spans="1:15" ht="15.95" customHeight="1" x14ac:dyDescent="0.4">
      <c r="B5" s="424" t="s">
        <v>466</v>
      </c>
      <c r="C5" s="425" t="str">
        <f ca="1">ROUND(NeoBerIV!T50/_Gewicht,1)&amp;" g/kg"</f>
        <v>0 g/kg</v>
      </c>
      <c r="D5" s="425" t="str">
        <f>ROUND(NeoBerIV!T49/_Gewicht,1)&amp;" g/kg"</f>
        <v>0 g/kg</v>
      </c>
      <c r="E5" s="425" t="str">
        <f ca="1">ROUND(NeoBerIV!T47/_Gewicht,1)&amp;" g/kg"</f>
        <v>0 g/kg</v>
      </c>
      <c r="G5" s="424" t="s">
        <v>467</v>
      </c>
      <c r="H5" s="425" t="str">
        <f ca="1">ROUND(NeoBerIV!O50/_Gewicht,1)&amp;" mmol/kg"</f>
        <v>0 mmol/kg</v>
      </c>
      <c r="I5" s="425" t="str">
        <f>ROUND(NeoBerIV!O49/_Gewicht,1)&amp;" mmol/kg"</f>
        <v>0 mmol/kg</v>
      </c>
      <c r="J5" s="425" t="str">
        <f ca="1">ROUND(NeoBerIV!O47/_Gewicht,1)&amp;" mmol/kg"</f>
        <v>0 mmol/kg</v>
      </c>
      <c r="K5" s="933"/>
      <c r="L5" s="933"/>
      <c r="M5" s="933"/>
      <c r="N5" s="933"/>
    </row>
    <row r="6" spans="1:15" ht="15.95" customHeight="1" x14ac:dyDescent="0.4">
      <c r="A6" s="597"/>
      <c r="B6" s="424" t="s">
        <v>1044</v>
      </c>
      <c r="C6" s="425" t="str">
        <f>ROUND(1000*NeoBerIV!S50/_Gewicht/1440,1)&amp;" mg/kg/min"</f>
        <v>0 mg/kg/min</v>
      </c>
      <c r="D6" s="425" t="str">
        <f>ROUND(1000*NeoBerIV!S49/_Gewicht/1440,1)&amp;" mg/kg/min"</f>
        <v>0 mg/kg/min</v>
      </c>
      <c r="E6" s="425" t="str">
        <f>ROUND(1000*NeoBerIV!S47/_Gewicht/1440,1)&amp;" mg/kg/min"</f>
        <v>0 mg/kg/min</v>
      </c>
      <c r="G6" s="424" t="s">
        <v>643</v>
      </c>
      <c r="H6" s="425" t="str">
        <f ca="1">ROUND(NeoBerIV!P50/_Gewicht,1)&amp;" mmol/kg"</f>
        <v>0 mmol/kg</v>
      </c>
      <c r="I6" s="425" t="str">
        <f>ROUND(NeoBerIV!P49/_Gewicht,1)&amp;" mmol/kg"</f>
        <v>0 mmol/kg</v>
      </c>
      <c r="J6" s="425" t="str">
        <f ca="1">ROUND(NeoBerIV!P47/_Gewicht,1)&amp;" mmol/kg"</f>
        <v>0 mmol/kg</v>
      </c>
      <c r="K6" s="933"/>
      <c r="L6" s="933"/>
      <c r="M6" s="933"/>
      <c r="N6" s="933"/>
    </row>
    <row r="7" spans="1:15" ht="15.95" customHeight="1" x14ac:dyDescent="0.4">
      <c r="B7" s="424" t="s">
        <v>1037</v>
      </c>
      <c r="C7" s="425" t="str">
        <f ca="1">ROUND(NeoBerIV!U50/_Gewicht,1)&amp; " kcal/kg"</f>
        <v>0 kcal/kg</v>
      </c>
      <c r="D7" s="425" t="str">
        <f>ROUND(NeoBerIV!U49/_Gewicht,1)&amp; " kcal/kg"</f>
        <v>0 kcal/kg</v>
      </c>
      <c r="E7" s="425" t="str">
        <f ca="1">ROUND(NeoBerIV!U47/_Gewicht,1)&amp; " kcal/kg"</f>
        <v>0 kcal/kg</v>
      </c>
      <c r="G7" s="424" t="s">
        <v>1045</v>
      </c>
      <c r="H7" s="425" t="str">
        <f ca="1">ROUND(NeoBerIV!V50/_Gewicht,1)&amp;" mmol/kg"</f>
        <v>0 mmol/kg</v>
      </c>
      <c r="I7" s="425" t="str">
        <f>ROUND(NeoBerIV!V49/_Gewicht,1)&amp;" mmol/kg"</f>
        <v>0 mmol/kg</v>
      </c>
      <c r="J7" s="425" t="str">
        <f ca="1">ROUND(NeoBerIV!V47/_Gewicht,1)&amp;" mmol/kg"</f>
        <v>0 mmol/kg</v>
      </c>
    </row>
    <row r="8" spans="1:15" ht="15.95" customHeight="1" thickBot="1" x14ac:dyDescent="0.45">
      <c r="A8" s="426"/>
      <c r="B8" s="427" t="s">
        <v>1046</v>
      </c>
      <c r="C8" s="428" t="str">
        <f ca="1">ROUND(NeoBerIV!W50,0)&amp; " IE"</f>
        <v>0 IE</v>
      </c>
      <c r="D8" s="428" t="str">
        <f>ROUND(NeoBerIV!W49,0)&amp; " IE"</f>
        <v>0 IE</v>
      </c>
      <c r="E8" s="428" t="str">
        <f ca="1">ROUND(NeoBerIV!W47,0)&amp; " IE"</f>
        <v>0 IE</v>
      </c>
      <c r="F8" s="426"/>
      <c r="G8" s="427" t="s">
        <v>468</v>
      </c>
      <c r="H8" s="428" t="str">
        <f>ROUND(NeoBerIV!Q50/_Gewicht,1)&amp;" mmol/kg"</f>
        <v>0 mmol/kg</v>
      </c>
      <c r="I8" s="428" t="str">
        <f>ROUND(NeoBerIV!Q49/_Gewicht,1)&amp;" mmol/kg"</f>
        <v>0 mmol/kg</v>
      </c>
      <c r="J8" s="428" t="str">
        <f>ROUND(NeoBerIV!Q47/_Gewicht,1)&amp;"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NeoBerIV!B3-NeoBerIV!C3</f>
        <v>42370</v>
      </c>
      <c r="J12" s="504" t="str">
        <f ca="1">"=dag "&amp;NeoBerIV!B6</f>
        <v>=dag 359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TRUNC((H13*7+J13+NeoBerIV!B6-1)/7)&amp;" weken en "&amp; H13*7+J13+NeoBerIV!B6-1-TRUNC((H13*7+J13+NeoBerIV!B6-1)/7)*7&amp;" dag(-en)"</f>
        <v>81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1053</v>
      </c>
      <c r="L17" s="435"/>
    </row>
    <row r="18" spans="1:15" ht="15.95" customHeight="1" x14ac:dyDescent="0.4">
      <c r="B18" s="424" t="s">
        <v>1054</v>
      </c>
      <c r="E18" s="436">
        <f ca="1">IF(NeoBerIV!B17,NeoBerIV!C16,ROUND(NeoBerIV!L47/_Gewicht,1))</f>
        <v>0</v>
      </c>
      <c r="F18" s="437" t="s">
        <v>1055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1056</v>
      </c>
      <c r="F19" s="437"/>
      <c r="K19" s="440"/>
      <c r="L19" s="440"/>
      <c r="M19" s="429"/>
    </row>
    <row r="21" spans="1:15" ht="15.95" customHeight="1" x14ac:dyDescent="0.4">
      <c r="D21" s="441" t="s">
        <v>1057</v>
      </c>
      <c r="E21" s="442" t="str">
        <f>IF(_Voeding&gt;1,NeoBerIV!D10,"")</f>
        <v/>
      </c>
      <c r="F21" s="443" t="s">
        <v>1058</v>
      </c>
      <c r="G21" s="444" t="str">
        <f>IF(_Voeding&gt;1,NeoBerIV!D11/10&amp;" ml","")</f>
        <v/>
      </c>
      <c r="H21" s="445" t="s">
        <v>1059</v>
      </c>
    </row>
    <row r="22" spans="1:15" ht="15.95" customHeight="1" x14ac:dyDescent="0.4">
      <c r="D22" s="441" t="s">
        <v>1060</v>
      </c>
      <c r="E22" s="442" t="str">
        <f>IF(_Voeding&gt;1,NeoBerIV!D12,"")</f>
        <v/>
      </c>
      <c r="F22" s="443" t="s">
        <v>1058</v>
      </c>
      <c r="G22" s="444" t="str">
        <f>IF(_Voeding&gt;1,NeoBerIV!D13/10&amp;" ml","")</f>
        <v/>
      </c>
      <c r="I22" s="441" t="s">
        <v>1657</v>
      </c>
      <c r="M22" s="441" t="s">
        <v>1658</v>
      </c>
    </row>
    <row r="23" spans="1:15" ht="15.95" customHeight="1" x14ac:dyDescent="0.4">
      <c r="H23" s="441"/>
      <c r="I23" s="609" t="s">
        <v>1675</v>
      </c>
      <c r="K23" s="446" t="e">
        <f>INDEX(_VoedingBMFWaarden,NeoBerIV!L52)&amp;" %"</f>
        <v>#VALUE!</v>
      </c>
    </row>
    <row r="24" spans="1:15" ht="15.95" customHeight="1" x14ac:dyDescent="0.4">
      <c r="H24" s="441"/>
      <c r="K24" s="446" t="e">
        <f>INDEX(_VoedingToevoegingenWaarden,NeoBerIV!L53)&amp;" %"</f>
        <v>#VALUE!</v>
      </c>
      <c r="O24" s="446" t="e">
        <f>INDEX(_VoedingToevoegingenWaarden,NeoBerIV!L58)&amp;" %"</f>
        <v>#VALUE!</v>
      </c>
    </row>
    <row r="25" spans="1:15" ht="15.95" customHeight="1" x14ac:dyDescent="0.4">
      <c r="H25" s="441"/>
      <c r="K25" s="446" t="e">
        <f>INDEX(_VoedingToevoegingenWaarden,NeoBerIV!L54)&amp;" %"</f>
        <v>#VALUE!</v>
      </c>
      <c r="O25" s="446" t="e">
        <f>INDEX(_VoedingToevoegingenWaarden,NeoBerIV!L59)&amp;" %"</f>
        <v>#VALUE!</v>
      </c>
    </row>
    <row r="26" spans="1:15" ht="15.95" customHeight="1" x14ac:dyDescent="0.4">
      <c r="H26" s="441"/>
      <c r="K26" s="446" t="e">
        <f>INDEX(_VoedingToevoegingenWaarden,NeoBerIV!L55)&amp;" %"</f>
        <v>#VALUE!</v>
      </c>
      <c r="O26" s="446" t="e">
        <f>INDEX(_VoedingToevoegingenWaarden,NeoBerIV!L60)&amp;"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INDEX(_VoedingToevoegingenWaarden,NeoBerIV!L56)&amp;" %"</f>
        <v>#VALUE!</v>
      </c>
      <c r="L27" s="447"/>
      <c r="M27" s="447"/>
      <c r="N27" s="447"/>
      <c r="O27" s="446" t="e">
        <f>INDEX(_VoedingToevoegingenWaarden,NeoBerIV!L61)&amp;" %"</f>
        <v>#VALUE!</v>
      </c>
    </row>
    <row r="28" spans="1:15" ht="15.95" customHeight="1" x14ac:dyDescent="0.4">
      <c r="B28" s="424" t="s">
        <v>1061</v>
      </c>
      <c r="E28" s="449">
        <f ca="1">IF(NeoBerIV!B17,NeoBerIV!C17,NeoBerIV!L50)</f>
        <v>0</v>
      </c>
      <c r="F28" s="437" t="s">
        <v>1062</v>
      </c>
    </row>
    <row r="29" spans="1:15" ht="15.95" customHeight="1" x14ac:dyDescent="0.35">
      <c r="H29" s="435" t="s">
        <v>1063</v>
      </c>
      <c r="I29" s="435"/>
      <c r="J29" s="450" t="s">
        <v>1011</v>
      </c>
      <c r="K29" s="435" t="s">
        <v>1064</v>
      </c>
      <c r="L29" s="435"/>
      <c r="N29" s="435" t="s">
        <v>1065</v>
      </c>
    </row>
    <row r="30" spans="1:15" ht="15.95" customHeight="1" x14ac:dyDescent="0.4">
      <c r="A30" s="451"/>
      <c r="B30" s="430" t="s">
        <v>1452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IF(AND(NeoBerIV!I20&gt;0),ROUND(NeoBerIV!I20,2),"")</f>
        <v/>
      </c>
      <c r="I32" s="456">
        <f>IF(_Medicament_1&gt;0,INDEX(Medicamenten,NeoBerIV!B20,6),"")</f>
        <v>0</v>
      </c>
      <c r="J32" s="439"/>
      <c r="K32" s="438">
        <f>INDEX(Medicamenten,NeoBerIV!B20,2)</f>
        <v>0</v>
      </c>
      <c r="L32" s="438"/>
      <c r="M32" s="459"/>
      <c r="N32" s="460" t="str">
        <f>IF(NeoBerIV!I20&gt;0,IF(NeoBerIV!Y20*10&gt;1,NeoBerIV!X20&amp;" uren",NeoBerIV!X20&amp;"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IF(AND(NeoBerIV!I21&gt;0),ROUND(NeoBerIV!I21,2),"")</f>
        <v/>
      </c>
      <c r="I33" s="456">
        <f>IF(_Medicament_1&gt;0,INDEX(Medicamenten,NeoBerIV!B21,6),"")</f>
        <v>0</v>
      </c>
      <c r="J33" s="465"/>
      <c r="K33" s="466">
        <f>INDEX(Medicamenten,NeoBerIV!B21,2)</f>
        <v>0</v>
      </c>
      <c r="L33" s="466"/>
      <c r="M33" s="467"/>
      <c r="N33" s="468" t="str">
        <f>IF(NeoBerIV!I21&gt;0,IF(NeoBerIV!Y21*10&gt;1,NeoBerIV!X21&amp;" uren",NeoBerIV!X21&amp;"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IF(AND(NeoBerIV!I22&gt;0),ROUND(NeoBerIV!I22,2),"")</f>
        <v/>
      </c>
      <c r="I34" s="456">
        <f>IF(_Medicament_1&gt;0,INDEX(Medicamenten,NeoBerIV!B22,6),"")</f>
        <v>0</v>
      </c>
      <c r="J34" s="465"/>
      <c r="K34" s="466">
        <f>INDEX(Medicamenten,NeoBerIV!B22,2)</f>
        <v>0</v>
      </c>
      <c r="L34" s="466"/>
      <c r="M34" s="467"/>
      <c r="N34" s="468" t="str">
        <f>IF(NeoBerIV!I22&gt;0,IF(NeoBerIV!Y22*10&gt;1,NeoBerIV!X22&amp;" uren",NeoBerIV!X22&amp;"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IF(AND(NeoBerIV!I23&gt;0),ROUND(NeoBerIV!I23,2),"")</f>
        <v/>
      </c>
      <c r="I35" s="456">
        <f>IF(_Medicament_1&gt;0,INDEX(Medicamenten,NeoBerIV!B23,6),"")</f>
        <v>0</v>
      </c>
      <c r="J35" s="465"/>
      <c r="K35" s="466">
        <f>INDEX(Medicamenten,NeoBerIV!B23,2)</f>
        <v>0</v>
      </c>
      <c r="L35" s="466"/>
      <c r="M35" s="467"/>
      <c r="N35" s="468" t="str">
        <f>IF(NeoBerIV!I23&gt;0,IF(NeoBerIV!Y23*10&gt;1,NeoBerIV!X23&amp;" uren",NeoBerIV!X23&amp;"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IF(AND(NeoBerIV!I24&gt;0),ROUND(NeoBerIV!I24,2),"")</f>
        <v/>
      </c>
      <c r="I36" s="456">
        <f>IF(_Medicament_1&gt;0,INDEX(Medicamenten,NeoBerIV!B24,6),"")</f>
        <v>0</v>
      </c>
      <c r="J36" s="465"/>
      <c r="K36" s="466">
        <f>INDEX(Medicamenten,NeoBerIV!B24,2)</f>
        <v>0</v>
      </c>
      <c r="L36" s="466"/>
      <c r="M36" s="467"/>
      <c r="N36" s="468" t="str">
        <f>IF(NeoBerIV!I24&gt;0,IF(NeoBerIV!Y24*10&gt;1,NeoBerIV!X24&amp;" uren",NeoBerIV!X24&amp;"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IF(AND(NeoBerIV!I25&gt;0),ROUND(NeoBerIV!I25,2),"")</f>
        <v/>
      </c>
      <c r="I37" s="456">
        <f>IF(_Medicament_1&gt;0,INDEX(Medicamenten,NeoBerIV!B25,6),"")</f>
        <v>0</v>
      </c>
      <c r="J37" s="465"/>
      <c r="K37" s="466">
        <f>INDEX(Medicamenten,NeoBerIV!B25,2)</f>
        <v>0</v>
      </c>
      <c r="L37" s="466"/>
      <c r="M37" s="467"/>
      <c r="N37" s="468" t="str">
        <f>IF(NeoBerIV!I25&gt;0,IF(NeoBerIV!Y25*10&gt;1,NeoBerIV!X25&amp;" uren",NeoBerIV!X25&amp;"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IF(AND(NeoBerIV!I26&gt;0),ROUND(NeoBerIV!I26,2),"")</f>
        <v/>
      </c>
      <c r="I38" s="456">
        <f>IF(_Medicament_1&gt;0,INDEX(Medicamenten,NeoBerIV!B26,6),"")</f>
        <v>0</v>
      </c>
      <c r="J38" s="465"/>
      <c r="K38" s="466">
        <f>INDEX(Medicamenten,NeoBerIV!B26,2)</f>
        <v>0</v>
      </c>
      <c r="L38" s="466"/>
      <c r="M38" s="467"/>
      <c r="N38" s="468" t="str">
        <f>IF(NeoBerIV!I26&gt;0,IF(NeoBerIV!Y26*10&gt;1,NeoBerIV!X26&amp;" uren",NeoBerIV!X26&amp;"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IF(AND(NeoBerIV!I27&gt;0),ROUND(NeoBerIV!I27,2),"")</f>
        <v/>
      </c>
      <c r="I39" s="456">
        <f>IF(_Medicament_1&gt;0,INDEX(Medicamenten,NeoBerIV!B27,6),"")</f>
        <v>0</v>
      </c>
      <c r="J39" s="465"/>
      <c r="K39" s="466">
        <f>INDEX(Medicamenten,NeoBerIV!B27,2)</f>
        <v>0</v>
      </c>
      <c r="L39" s="466"/>
      <c r="M39" s="467"/>
      <c r="N39" s="468" t="str">
        <f>IF(NeoBerIV!I27&gt;0,IF(NeoBerIV!Y27*10&gt;1,NeoBerIV!X27&amp;" uren",NeoBerIV!X27&amp;"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IF(AND(NeoBerIV!I28&gt;0),ROUND(NeoBerIV!I28,2),"")</f>
        <v/>
      </c>
      <c r="I40" s="456">
        <f>IF(_Medicament_1&gt;0,INDEX(Medicamenten,NeoBerIV!B28,6),"")</f>
        <v>0</v>
      </c>
      <c r="J40" s="439"/>
      <c r="K40" s="466">
        <f>INDEX(Medicamenten,NeoBerIV!B28,2)</f>
        <v>0</v>
      </c>
      <c r="L40" s="466"/>
      <c r="M40" s="467"/>
      <c r="N40" s="468" t="str">
        <f>IF(NeoBerIV!I28&gt;0,IF(NeoBerIV!Y28*10&gt;1,NeoBerIV!X28&amp;" uren",NeoBerIV!X28&amp;"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1066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IF(NeoBerIV!I32&gt;0,"= "&amp;ROUND(NeoBerIV!I32,2),"")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1067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IF(NeoBerIV!I33&gt;0,"= "&amp;ROUND(NeoBerIV!I33,2),"")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1068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IF(NeoBerIV!I34&gt;0,"= "&amp;ROUND(NeoBerIV!I34,2),"")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1053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1070</v>
      </c>
    </row>
    <row r="52" spans="1:13" ht="15.75" customHeight="1" x14ac:dyDescent="0.4">
      <c r="B52" s="483" t="s">
        <v>688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1071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1072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1073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435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1028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1029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686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IF(NeoBerIV!D36=1,NeoBerIV!L45,"")</f>
        <v>0</v>
      </c>
      <c r="F60" s="465" t="str">
        <f>IF(E60&lt;&gt;"","ml","")</f>
        <v>ml</v>
      </c>
      <c r="G60" s="488" t="str">
        <f>IF(NeoBerIV!D36=2,NeoBerIV!L45,"")</f>
        <v/>
      </c>
      <c r="H60" s="465" t="str">
        <f>IF(G60&lt;&gt;"","ml","")</f>
        <v/>
      </c>
      <c r="I60" s="488" t="str">
        <f>IF(NeoBerIV!D36=3,NeoBerIV!L45,"")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246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770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1340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1341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1342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286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1343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2430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2432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2431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596</v>
      </c>
      <c r="D74" s="934" t="str">
        <f>IF(LabNeoOpmerkingen=0,"",LabNeoOpmerkingen)</f>
        <v/>
      </c>
      <c r="E74" s="934"/>
      <c r="F74" s="934"/>
      <c r="G74" s="934"/>
      <c r="H74" s="934"/>
      <c r="I74" s="934"/>
      <c r="J74" s="934"/>
    </row>
    <row r="75" spans="1:10" ht="15.95" customHeight="1" x14ac:dyDescent="0.35">
      <c r="A75" s="540"/>
      <c r="B75" s="540"/>
      <c r="C75" s="543"/>
      <c r="D75" s="935"/>
      <c r="E75" s="935"/>
      <c r="F75" s="935"/>
      <c r="G75" s="935"/>
      <c r="H75" s="935"/>
      <c r="I75" s="935"/>
      <c r="J75" s="935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IF(NeoBerIV!B20&gt;1,IF(AND(H32&lt;&gt;"",H32&gt;=INDEX(Medicamenten,NeoBerIV!B20,9)),TRUE,FALSE),FALSE)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IF(AND(C32&lt;&gt;0,G32&lt;&gt;""),IF(AND(H32&gt;=INDEX(Medicamenten,NeoBerIV!$B20,7),H32&lt;=INDEX(Medicamenten,NeoBerIV!$B20,8)),TRUE,FALSE),TRUE)=FALSE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2" sqref="B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9.1328125" style="271"/>
    <col min="8" max="8" width="10.73046875" style="271" bestFit="1" customWidth="1"/>
    <col min="9" max="9" width="12.3984375" style="271" bestFit="1" customWidth="1"/>
    <col min="10" max="12" width="9.1328125" style="271"/>
    <col min="13" max="13" width="13.265625" style="271" bestFit="1" customWidth="1"/>
    <col min="14" max="16384" width="9.1328125" style="271"/>
  </cols>
  <sheetData>
    <row r="1" spans="1:25" x14ac:dyDescent="0.35">
      <c r="A1" s="576" t="s">
        <v>54</v>
      </c>
      <c r="B1" s="271" t="s">
        <v>606</v>
      </c>
      <c r="C1" s="271" t="s">
        <v>1218</v>
      </c>
      <c r="E1" s="271" t="s">
        <v>397</v>
      </c>
      <c r="K1" s="271" t="s">
        <v>1011</v>
      </c>
      <c r="L1" s="271" t="s">
        <v>631</v>
      </c>
      <c r="M1" s="271" t="s">
        <v>472</v>
      </c>
      <c r="N1" s="271" t="s">
        <v>473</v>
      </c>
      <c r="O1" s="271" t="s">
        <v>474</v>
      </c>
      <c r="P1" s="271" t="s">
        <v>475</v>
      </c>
      <c r="Q1" s="271" t="s">
        <v>1034</v>
      </c>
      <c r="R1" s="271" t="s">
        <v>470</v>
      </c>
      <c r="S1" s="271" t="s">
        <v>1035</v>
      </c>
      <c r="T1" s="271" t="s">
        <v>1036</v>
      </c>
      <c r="U1" s="271" t="s">
        <v>1037</v>
      </c>
      <c r="V1" s="271" t="s">
        <v>1088</v>
      </c>
      <c r="W1" s="271" t="s">
        <v>1046</v>
      </c>
      <c r="X1" s="271" t="s">
        <v>1065</v>
      </c>
      <c r="Y1" s="271" t="s">
        <v>1233</v>
      </c>
    </row>
    <row r="2" spans="1:25" x14ac:dyDescent="0.35">
      <c r="A2" s="271" t="s">
        <v>1001</v>
      </c>
      <c r="B2" s="271">
        <v>0</v>
      </c>
    </row>
    <row r="3" spans="1:25" x14ac:dyDescent="0.35">
      <c r="A3" s="271" t="s">
        <v>1050</v>
      </c>
      <c r="B3" s="497">
        <v>42370</v>
      </c>
      <c r="C3" s="492">
        <v>0</v>
      </c>
      <c r="E3" s="271" t="s">
        <v>1234</v>
      </c>
    </row>
    <row r="4" spans="1:25" x14ac:dyDescent="0.35">
      <c r="A4" s="271" t="s">
        <v>1021</v>
      </c>
      <c r="B4" s="515">
        <v>10</v>
      </c>
      <c r="C4" s="288" t="s">
        <v>1235</v>
      </c>
      <c r="D4" s="496">
        <v>30</v>
      </c>
    </row>
    <row r="5" spans="1:25" x14ac:dyDescent="0.35">
      <c r="A5" s="271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359</v>
      </c>
      <c r="C6" s="271">
        <f ca="1">IF(B6&lt;7,B6,6)</f>
        <v>6</v>
      </c>
    </row>
    <row r="7" spans="1:25" x14ac:dyDescent="0.35">
      <c r="A7" s="271" t="s">
        <v>397</v>
      </c>
    </row>
    <row r="8" spans="1:25" x14ac:dyDescent="0.35">
      <c r="A8" s="271" t="s">
        <v>1054</v>
      </c>
    </row>
    <row r="9" spans="1:25" x14ac:dyDescent="0.35">
      <c r="A9" s="271" t="s">
        <v>1238</v>
      </c>
    </row>
    <row r="10" spans="1:25" x14ac:dyDescent="0.35">
      <c r="A10" s="271" t="s">
        <v>602</v>
      </c>
      <c r="D10" s="271">
        <v>0</v>
      </c>
    </row>
    <row r="11" spans="1:25" x14ac:dyDescent="0.35">
      <c r="A11" s="271" t="s">
        <v>1057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35">
      <c r="A12" s="271" t="s">
        <v>602</v>
      </c>
      <c r="D12" s="271">
        <v>0</v>
      </c>
    </row>
    <row r="13" spans="1:25" x14ac:dyDescent="0.35">
      <c r="A13" s="271" t="s">
        <v>1057</v>
      </c>
      <c r="D13" s="271">
        <v>0</v>
      </c>
    </row>
    <row r="14" spans="1:25" x14ac:dyDescent="0.35">
      <c r="A14" s="271" t="s">
        <v>582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35">
      <c r="A15" s="271" t="s">
        <v>1056</v>
      </c>
      <c r="B15" s="271">
        <v>2</v>
      </c>
    </row>
    <row r="16" spans="1:25" x14ac:dyDescent="0.35">
      <c r="A16" s="271" t="s">
        <v>1239</v>
      </c>
      <c r="B16" s="271">
        <f ca="1">IF(AND(D4&lt;37,_Gewicht&gt;=1),INDEX(NeoBerAdvies!B4:G4,1,NeoBerIV!C6),IF(_Gewicht&lt;1,INDEX(NeoBerAdvies!B5:G5,1,NeoBerIV!C6),INDEX(NeoBerAdvies!B6:G6,1,NeoBerIV!C6)))+IF(B15=1,20,0)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5" x14ac:dyDescent="0.35">
      <c r="A17" s="271" t="s">
        <v>1240</v>
      </c>
      <c r="B17" s="271" t="b">
        <v>0</v>
      </c>
      <c r="C17" s="271">
        <f ca="1">ROUND(C16*_Gewicht-L14,0)</f>
        <v>1500</v>
      </c>
    </row>
    <row r="18" spans="1:25" x14ac:dyDescent="0.35">
      <c r="A18" s="271" t="s">
        <v>1452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35">
      <c r="B19" s="271" t="s">
        <v>1085</v>
      </c>
      <c r="C19" s="271" t="s">
        <v>1241</v>
      </c>
      <c r="D19" s="271" t="s">
        <v>1242</v>
      </c>
      <c r="E19" s="271" t="s">
        <v>329</v>
      </c>
      <c r="F19" s="271" t="s">
        <v>96</v>
      </c>
      <c r="G19" s="271" t="s">
        <v>685</v>
      </c>
      <c r="H19" s="271" t="s">
        <v>1243</v>
      </c>
      <c r="I19" s="271" t="s">
        <v>1244</v>
      </c>
      <c r="J19" s="271" t="s">
        <v>1087</v>
      </c>
    </row>
    <row r="20" spans="1:25" x14ac:dyDescent="0.35">
      <c r="A20" s="271" t="s">
        <v>1245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IF(INDEX(Medicamenten,NeoBerIV!B20,5)=0,1,INDEX(Medicamenten,NeoBerIV!B20,5))</f>
        <v>1</v>
      </c>
      <c r="I20" s="271">
        <f t="shared" ref="I20:I28" si="1">IF(D20&gt;0,(F20*IF(Y20*10&gt;=24,2.4,2.4)*((C20/10)/D20))/($B$4)/J20,0)</f>
        <v>0</v>
      </c>
      <c r="J20" s="271">
        <f>IF(NeoBerIV!H20&gt;1,INDEX(NeoTblLijst!$K$3:$K$11,NeoBerIV!H20),1)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35">
      <c r="A21" s="271" t="s">
        <v>1246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IF(INDEX(Medicamenten,NeoBerIV!B21,5)=0,1,INDEX(Medicamenten,NeoBerIV!B21,5))</f>
        <v>1</v>
      </c>
      <c r="I21" s="271">
        <f t="shared" si="1"/>
        <v>0</v>
      </c>
      <c r="J21" s="821">
        <f>IF(NeoBerIV!H21&gt;1,INDEX(NeoTblLijst!$K$3:$K$11,NeoBerIV!H21),1)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35">
      <c r="A22" s="271" t="s">
        <v>1247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IF(INDEX(Medicamenten,NeoBerIV!B22,5)=0,1,INDEX(Medicamenten,NeoBerIV!B22,5))</f>
        <v>1</v>
      </c>
      <c r="I22" s="271">
        <f t="shared" si="1"/>
        <v>0</v>
      </c>
      <c r="J22" s="821">
        <f>IF(NeoBerIV!H22&gt;1,INDEX(NeoTblLijst!$K$3:$K$11,NeoBerIV!H22),1)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35">
      <c r="A23" s="271" t="s">
        <v>1248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IF(INDEX(Medicamenten,NeoBerIV!B23,5)=0,1,INDEX(Medicamenten,NeoBerIV!B23,5))</f>
        <v>1</v>
      </c>
      <c r="I23" s="271">
        <f t="shared" si="1"/>
        <v>0</v>
      </c>
      <c r="J23" s="821">
        <f>IF(NeoBerIV!H23&gt;1,INDEX(NeoTblLijst!$K$3:$K$11,NeoBerIV!H23),1)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35">
      <c r="A24" s="271" t="s">
        <v>1249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IF(INDEX(Medicamenten,NeoBerIV!B24,5)=0,1,INDEX(Medicamenten,NeoBerIV!B24,5))</f>
        <v>1</v>
      </c>
      <c r="I24" s="271">
        <f t="shared" si="1"/>
        <v>0</v>
      </c>
      <c r="J24" s="821">
        <f>IF(NeoBerIV!H24&gt;1,INDEX(NeoTblLijst!$K$3:$K$11,NeoBerIV!H24),1)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35">
      <c r="A25" s="271" t="s">
        <v>1250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IF(INDEX(Medicamenten,NeoBerIV!B25,5)=0,1,INDEX(Medicamenten,NeoBerIV!B25,5))</f>
        <v>1</v>
      </c>
      <c r="I25" s="271">
        <f t="shared" si="1"/>
        <v>0</v>
      </c>
      <c r="J25" s="821">
        <f>IF(NeoBerIV!H25&gt;1,INDEX(NeoTblLijst!$K$3:$K$11,NeoBerIV!H25),1)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35">
      <c r="A26" s="271" t="s">
        <v>1251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IF(INDEX(Medicamenten,NeoBerIV!B26,5)=0,1,INDEX(Medicamenten,NeoBerIV!B26,5))</f>
        <v>1</v>
      </c>
      <c r="I26" s="271">
        <f t="shared" si="1"/>
        <v>0</v>
      </c>
      <c r="J26" s="821">
        <f>IF(NeoBerIV!H26&gt;1,INDEX(NeoTblLijst!$K$3:$K$11,NeoBerIV!H26),1)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35">
      <c r="A27" s="271" t="s">
        <v>1252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IF(INDEX(Medicamenten,NeoBerIV!B27,5)=0,1,INDEX(Medicamenten,NeoBerIV!B27,5))</f>
        <v>1</v>
      </c>
      <c r="I27" s="271">
        <f t="shared" si="1"/>
        <v>0</v>
      </c>
      <c r="J27" s="821">
        <f>IF(NeoBerIV!H27&gt;1,INDEX(NeoTblLijst!$K$3:$K$11,NeoBerIV!H27),1)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35">
      <c r="A28" s="271" t="s">
        <v>1253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IF(INDEX(Medicamenten,NeoBerIV!B28,5)=0,1,INDEX(Medicamenten,NeoBerIV!B28,5))</f>
        <v>1</v>
      </c>
      <c r="I28" s="271">
        <f t="shared" si="1"/>
        <v>0</v>
      </c>
      <c r="J28" s="821">
        <f>IF(NeoBerIV!H28&gt;1,INDEX(NeoTblLijst!$K$3:$K$11,NeoBerIV!H28),1)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35">
      <c r="A29" s="271" t="s">
        <v>1066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35">
      <c r="A30" s="271" t="s">
        <v>1067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35">
      <c r="A31" s="271" t="s">
        <v>1068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271" t="s">
        <v>1254</v>
      </c>
      <c r="C34" s="271" t="s">
        <v>1255</v>
      </c>
      <c r="D34" s="271" t="s">
        <v>1256</v>
      </c>
      <c r="F34" s="271" t="s">
        <v>2423</v>
      </c>
    </row>
    <row r="35" spans="1:23" x14ac:dyDescent="0.35">
      <c r="A35" s="271" t="str">
        <f>INDEX(lijstIntralipidSmof,SelectedIntralipidSmof)</f>
        <v>Intralipid 20% (incl vitintra)</v>
      </c>
      <c r="B35" s="492">
        <f ca="1">ROUND(_Gewicht*INDEX(NeoBerAdvies!$B$9:$G$16,8,NeoBerIV!$C$6),0)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35">
      <c r="A36" s="271" t="s">
        <v>1070</v>
      </c>
      <c r="B36" s="492"/>
      <c r="D36" s="271">
        <v>1</v>
      </c>
    </row>
    <row r="37" spans="1:23" x14ac:dyDescent="0.35">
      <c r="A37" s="271" t="s">
        <v>688</v>
      </c>
      <c r="B37" s="492">
        <f ca="1">ROUND(_Gewicht*INDEX(NeoBerAdvies!$B$9:$G$16,2,NeoBerIV!$C$6),0)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35">
      <c r="A38" s="271" t="s">
        <v>1071</v>
      </c>
      <c r="B38" s="492">
        <f ca="1">ROUND(_Gewicht*INDEX(NeoBerAdvies!$B$9:$G$16,3,NeoBerIV!$C$6),0)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35">
      <c r="A39" s="271" t="s">
        <v>1072</v>
      </c>
      <c r="B39" s="492">
        <f ca="1">ROUND(_Gewicht*INDEX(NeoBerAdvies!$B$9:$G$16,4,NeoBerIV!$C$6),0)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35">
      <c r="A40" s="271" t="s">
        <v>1073</v>
      </c>
      <c r="B40" s="492">
        <f ca="1">ROUND(_Gewicht*INDEX(NeoBerAdvies!$B$9:$G$16,5,NeoBerIV!$C$6),1)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35">
      <c r="A41" s="271" t="s">
        <v>435</v>
      </c>
      <c r="B41" s="492">
        <f ca="1">ROUND(_Gewicht*INDEX(NeoBerAdvies!$B$9:$G$16,6,NeoBerIV!$C$6),1)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35">
      <c r="A42" s="271" t="s">
        <v>1028</v>
      </c>
      <c r="B42" s="492">
        <f ca="1">ROUND(_Gewicht*INDEX(NeoBerAdvies!$B$9:$G$16,7,NeoBerIV!$C$6),0)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35">
      <c r="A43" s="271" t="s">
        <v>1029</v>
      </c>
      <c r="B43" s="492">
        <f ca="1">ROUND(_Gewicht*INDEX(NeoBerAdvies!$B$9:$G$16,1,NeoBerIV!$C$6),1)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35">
      <c r="A44" s="271" t="s">
        <v>686</v>
      </c>
      <c r="B44" s="492">
        <f ca="1">ROUND(_Gewicht*INDEX(NeoBerAdvies!$B$9:$G$16,1,NeoBerIV!$C$6),1)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35">
      <c r="A45" s="271" t="s">
        <v>1257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35">
      <c r="A47" s="271" t="s">
        <v>242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35">
      <c r="A49" s="271" t="s">
        <v>438</v>
      </c>
      <c r="L49" s="271">
        <f>L14</f>
        <v>0</v>
      </c>
      <c r="M49" s="271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271" t="s">
        <v>436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35">
      <c r="A52" s="271" t="s">
        <v>1676</v>
      </c>
      <c r="B52" s="271">
        <v>2</v>
      </c>
      <c r="K52" s="271">
        <v>1</v>
      </c>
      <c r="L52" s="821">
        <f>INDEX(_VoedingBMFWaarden,NeoBerIV!K52)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271" t="s">
        <v>1667</v>
      </c>
      <c r="B53" s="271">
        <v>1</v>
      </c>
      <c r="C53" s="271">
        <f>_Toevoeging_1+1</f>
        <v>2</v>
      </c>
      <c r="K53" s="271">
        <v>1</v>
      </c>
      <c r="L53" s="821">
        <f>INDEX(_VoedingToevoegingenWaarden,NeoBerIV!K53)</f>
        <v>0</v>
      </c>
      <c r="M53" s="651">
        <f>IF($B53&gt;1,($L53)*$L$49*HLOOKUP(NeoBerIV!M$1,LijstenOpzoektabelMM,$C53,FALSE)/100,0)</f>
        <v>0</v>
      </c>
      <c r="N53" s="651">
        <f>IF($B53&gt;1,($L53)*$L$49*HLOOKUP(NeoBerIV!N$1,LijstenOpzoektabelMM,$C53,FALSE)/100,0)</f>
        <v>0</v>
      </c>
      <c r="O53" s="651">
        <f>IF($B53&gt;1,($L53)*$L$49*HLOOKUP(NeoBerIV!O$1,LijstenOpzoektabelMM,$C53,FALSE)/100,0)</f>
        <v>0</v>
      </c>
      <c r="P53" s="651">
        <f>IF($B53&gt;1,($L53)*$L$49*HLOOKUP(NeoBerIV!P$1,LijstenOpzoektabelMM,$C53,FALSE)/100,0)</f>
        <v>0</v>
      </c>
      <c r="Q53" s="651">
        <f>IF($B53&gt;1,($L53)*$L$49*HLOOKUP(NeoBerIV!Q$1,LijstenOpzoektabelMM,$C53,FALSE)/100,0)</f>
        <v>0</v>
      </c>
      <c r="R53" s="651">
        <f>IF($B53&gt;1,($L53)*$L$49*HLOOKUP(NeoBerIV!R$1,LijstenOpzoektabelMM,$C53,FALSE)/100,0)</f>
        <v>0</v>
      </c>
      <c r="S53" s="651">
        <f>IF($B53&gt;1,($L53)*$L$49*HLOOKUP(NeoBerIV!S$1,LijstenOpzoektabelMM,$C53,FALSE)/100,0)</f>
        <v>0</v>
      </c>
      <c r="T53" s="651">
        <f>IF($B53&gt;1,($L53)*$L$49*HLOOKUP(NeoBerIV!T$1,LijstenOpzoektabelMM,$C53,FALSE)/100,0)</f>
        <v>0</v>
      </c>
      <c r="U53" s="651">
        <f>IF($B53&gt;1,($L53)*$L$49*HLOOKUP(NeoBerIV!U$1,LijstenOpzoektabelMM,$C53,FALSE)/100,0)</f>
        <v>0</v>
      </c>
      <c r="V53" s="651">
        <f>IF($B53&gt;1,($L53)*$L$49*HLOOKUP(NeoBerIV!V$1,LijstenOpzoektabelMM,$C53,FALSE)/100,0)</f>
        <v>0</v>
      </c>
      <c r="W53" s="651">
        <f>IF($B53&gt;1,($L53)*$L$49*HLOOKUP(NeoBerIV!W$1,LijstenOpzoektabelMM,$C53,FALSE)/100,0)</f>
        <v>0</v>
      </c>
    </row>
    <row r="54" spans="1:23" x14ac:dyDescent="0.35">
      <c r="A54" s="271" t="s">
        <v>1668</v>
      </c>
      <c r="B54" s="271">
        <v>1</v>
      </c>
      <c r="C54" s="638">
        <f>_Toevoeging_2+1</f>
        <v>2</v>
      </c>
      <c r="K54" s="271">
        <v>1</v>
      </c>
      <c r="L54" s="821">
        <f>INDEX(_VoedingToevoegingenWaarden,NeoBerIV!K54)</f>
        <v>0</v>
      </c>
      <c r="M54" s="651">
        <f>IF($B54&gt;1,($L54)*$L$49*HLOOKUP(NeoBerIV!M$1,LijstenOpzoektabelMM,$C54,FALSE)/100,0)</f>
        <v>0</v>
      </c>
      <c r="N54" s="651">
        <f>IF($B54&gt;1,($L54)*$L$49*HLOOKUP(NeoBerIV!N$1,LijstenOpzoektabelMM,$C54,FALSE)/100,0)</f>
        <v>0</v>
      </c>
      <c r="O54" s="651">
        <f>IF($B54&gt;1,($L54)*$L$49*HLOOKUP(NeoBerIV!O$1,LijstenOpzoektabelMM,$C54,FALSE)/100,0)</f>
        <v>0</v>
      </c>
      <c r="P54" s="651">
        <f>IF($B54&gt;1,($L54)*$L$49*HLOOKUP(NeoBerIV!P$1,LijstenOpzoektabelMM,$C54,FALSE)/100,0)</f>
        <v>0</v>
      </c>
      <c r="Q54" s="651">
        <f>IF($B54&gt;1,($L54)*$L$49*HLOOKUP(NeoBerIV!Q$1,LijstenOpzoektabelMM,$C54,FALSE)/100,0)</f>
        <v>0</v>
      </c>
      <c r="R54" s="651">
        <f>IF($B54&gt;1,($L54)*$L$49*HLOOKUP(NeoBerIV!R$1,LijstenOpzoektabelMM,$C54,FALSE)/100,0)</f>
        <v>0</v>
      </c>
      <c r="S54" s="651">
        <f>IF($B54&gt;1,($L54)*$L$49*HLOOKUP(NeoBerIV!S$1,LijstenOpzoektabelMM,$C54,FALSE)/100,0)</f>
        <v>0</v>
      </c>
      <c r="T54" s="651">
        <f>IF($B54&gt;1,($L54)*$L$49*HLOOKUP(NeoBerIV!T$1,LijstenOpzoektabelMM,$C54,FALSE)/100,0)</f>
        <v>0</v>
      </c>
      <c r="U54" s="651">
        <f>IF($B54&gt;1,($L54)*$L$49*HLOOKUP(NeoBerIV!U$1,LijstenOpzoektabelMM,$C54,FALSE)/100,0)</f>
        <v>0</v>
      </c>
      <c r="V54" s="651">
        <f>IF($B54&gt;1,($L54)*$L$49*HLOOKUP(NeoBerIV!V$1,LijstenOpzoektabelMM,$C54,FALSE)/100,0)</f>
        <v>0</v>
      </c>
      <c r="W54" s="651">
        <f>IF($B54&gt;1,($L54)*$L$49*HLOOKUP(NeoBerIV!W$1,LijstenOpzoektabelMM,$C54,FALSE)/100,0)</f>
        <v>0</v>
      </c>
    </row>
    <row r="55" spans="1:23" x14ac:dyDescent="0.35">
      <c r="A55" s="271" t="s">
        <v>1669</v>
      </c>
      <c r="B55" s="271">
        <v>1</v>
      </c>
      <c r="C55" s="638">
        <f>_Toevoeging_3+1</f>
        <v>2</v>
      </c>
      <c r="K55" s="271">
        <v>1</v>
      </c>
      <c r="L55" s="821">
        <f>INDEX(_VoedingToevoegingenWaarden,NeoBerIV!K55)</f>
        <v>0</v>
      </c>
      <c r="M55" s="651">
        <f>IF($B55&gt;1,($L55)*$L$49*HLOOKUP(NeoBerIV!M$1,LijstenOpzoektabelMM,$C55,FALSE)/100,0)</f>
        <v>0</v>
      </c>
      <c r="N55" s="651">
        <f>IF($B55&gt;1,($L55)*$L$49*HLOOKUP(NeoBerIV!N$1,LijstenOpzoektabelMM,$C55,FALSE)/100,0)</f>
        <v>0</v>
      </c>
      <c r="O55" s="651">
        <f>IF($B55&gt;1,($L55)*$L$49*HLOOKUP(NeoBerIV!O$1,LijstenOpzoektabelMM,$C55,FALSE)/100,0)</f>
        <v>0</v>
      </c>
      <c r="P55" s="651">
        <f>IF($B55&gt;1,($L55)*$L$49*HLOOKUP(NeoBerIV!P$1,LijstenOpzoektabelMM,$C55,FALSE)/100,0)</f>
        <v>0</v>
      </c>
      <c r="Q55" s="651">
        <f>IF($B55&gt;1,($L55)*$L$49*HLOOKUP(NeoBerIV!Q$1,LijstenOpzoektabelMM,$C55,FALSE)/100,0)</f>
        <v>0</v>
      </c>
      <c r="R55" s="651">
        <f>IF($B55&gt;1,($L55)*$L$49*HLOOKUP(NeoBerIV!R$1,LijstenOpzoektabelMM,$C55,FALSE)/100,0)</f>
        <v>0</v>
      </c>
      <c r="S55" s="651">
        <f>IF($B55&gt;1,($L55)*$L$49*HLOOKUP(NeoBerIV!S$1,LijstenOpzoektabelMM,$C55,FALSE)/100,0)</f>
        <v>0</v>
      </c>
      <c r="T55" s="651">
        <f>IF($B55&gt;1,($L55)*$L$49*HLOOKUP(NeoBerIV!T$1,LijstenOpzoektabelMM,$C55,FALSE)/100,0)</f>
        <v>0</v>
      </c>
      <c r="U55" s="651">
        <f>IF($B55&gt;1,($L55)*$L$49*HLOOKUP(NeoBerIV!U$1,LijstenOpzoektabelMM,$C55,FALSE)/100,0)</f>
        <v>0</v>
      </c>
      <c r="V55" s="651">
        <f>IF($B55&gt;1,($L55)*$L$49*HLOOKUP(NeoBerIV!V$1,LijstenOpzoektabelMM,$C55,FALSE)/100,0)</f>
        <v>0</v>
      </c>
      <c r="W55" s="651">
        <f>IF($B55&gt;1,($L55)*$L$49*HLOOKUP(NeoBerIV!W$1,LijstenOpzoektabelMM,$C55,FALSE)/100,0)</f>
        <v>0</v>
      </c>
    </row>
    <row r="56" spans="1:23" x14ac:dyDescent="0.35">
      <c r="A56" s="271" t="s">
        <v>1670</v>
      </c>
      <c r="B56" s="271">
        <v>1</v>
      </c>
      <c r="C56" s="638">
        <f>_Toevoeging_4+1</f>
        <v>2</v>
      </c>
      <c r="K56" s="271">
        <v>1</v>
      </c>
      <c r="L56" s="821">
        <f>INDEX(_VoedingToevoegingenWaarden,NeoBerIV!K56)</f>
        <v>0</v>
      </c>
      <c r="M56" s="651">
        <f>IF($B56&gt;1,($L56)*$L$49*HLOOKUP(NeoBerIV!M$1,LijstenOpzoektabelMM,$C56,FALSE)/100,0)</f>
        <v>0</v>
      </c>
      <c r="N56" s="651">
        <f>IF($B56&gt;1,($L56)*$L$49*HLOOKUP(NeoBerIV!N$1,LijstenOpzoektabelMM,$C56,FALSE)/100,0)</f>
        <v>0</v>
      </c>
      <c r="O56" s="651">
        <f>IF($B56&gt;1,($L56)*$L$49*HLOOKUP(NeoBerIV!O$1,LijstenOpzoektabelMM,$C56,FALSE)/100,0)</f>
        <v>0</v>
      </c>
      <c r="P56" s="651">
        <f>IF($B56&gt;1,($L56)*$L$49*HLOOKUP(NeoBerIV!P$1,LijstenOpzoektabelMM,$C56,FALSE)/100,0)</f>
        <v>0</v>
      </c>
      <c r="Q56" s="651">
        <f>IF($B56&gt;1,($L56)*$L$49*HLOOKUP(NeoBerIV!Q$1,LijstenOpzoektabelMM,$C56,FALSE)/100,0)</f>
        <v>0</v>
      </c>
      <c r="R56" s="651">
        <f>IF($B56&gt;1,($L56)*$L$49*HLOOKUP(NeoBerIV!R$1,LijstenOpzoektabelMM,$C56,FALSE)/100,0)</f>
        <v>0</v>
      </c>
      <c r="S56" s="651">
        <f>IF($B56&gt;1,($L56)*$L$49*HLOOKUP(NeoBerIV!S$1,LijstenOpzoektabelMM,$C56,FALSE)/100,0)</f>
        <v>0</v>
      </c>
      <c r="T56" s="651">
        <f>IF($B56&gt;1,($L56)*$L$49*HLOOKUP(NeoBerIV!T$1,LijstenOpzoektabelMM,$C56,FALSE)/100,0)</f>
        <v>0</v>
      </c>
      <c r="U56" s="651">
        <f>IF($B56&gt;1,($L56)*$L$49*HLOOKUP(NeoBerIV!U$1,LijstenOpzoektabelMM,$C56,FALSE)/100,0)</f>
        <v>0</v>
      </c>
      <c r="V56" s="651">
        <f>IF($B56&gt;1,($L56)*$L$49*HLOOKUP(NeoBerIV!V$1,LijstenOpzoektabelMM,$C56,FALSE)/100,0)</f>
        <v>0</v>
      </c>
      <c r="W56" s="651">
        <f>IF($B56&gt;1,($L56)*$L$49*HLOOKUP(NeoBerIV!W$1,LijstenOpzoektabelMM,$C56,FALSE)/100,0)</f>
        <v>0</v>
      </c>
    </row>
    <row r="57" spans="1:23" x14ac:dyDescent="0.35">
      <c r="A57" s="271" t="s">
        <v>1770</v>
      </c>
      <c r="C57" s="638"/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271" t="s">
        <v>1671</v>
      </c>
      <c r="B58" s="271">
        <v>1</v>
      </c>
      <c r="C58" s="638">
        <f>_Toevoeging_5+1</f>
        <v>2</v>
      </c>
      <c r="K58" s="271">
        <v>1</v>
      </c>
      <c r="L58" s="821">
        <f>INDEX(_VoedingToevoegingenWaarden,NeoBerIV!K58)</f>
        <v>0</v>
      </c>
      <c r="M58" s="651">
        <f>IF($B58&gt;1,($L58)*$L$49*HLOOKUP(NeoBerIV!M$1,LijstenOpzoektabelKV,$C58,FALSE)/100,0)</f>
        <v>0</v>
      </c>
      <c r="N58" s="651">
        <f>IF($B58&gt;1,($L58)*$L$49*HLOOKUP(NeoBerIV!N$1,LijstenOpzoektabelKV,$C58,FALSE)/100,0)</f>
        <v>0</v>
      </c>
      <c r="O58" s="651">
        <f>IF($B58&gt;1,($L58)*$L$49*HLOOKUP(NeoBerIV!O$1,LijstenOpzoektabelKV,$C58,FALSE)/100,0)</f>
        <v>0</v>
      </c>
      <c r="P58" s="651">
        <f>IF($B58&gt;1,($L58)*$L$49*HLOOKUP(NeoBerIV!P$1,LijstenOpzoektabelKV,$C58,FALSE)/100,0)</f>
        <v>0</v>
      </c>
      <c r="Q58" s="651">
        <f>IF($B58&gt;1,($L58)*$L$49*HLOOKUP(NeoBerIV!Q$1,LijstenOpzoektabelKV,$C58,FALSE)/100,0)</f>
        <v>0</v>
      </c>
      <c r="R58" s="651">
        <f>IF($B58&gt;1,($L58)*$L$49*HLOOKUP(NeoBerIV!R$1,LijstenOpzoektabelKV,$C58,FALSE)/100,0)</f>
        <v>0</v>
      </c>
      <c r="S58" s="651">
        <f>IF($B58&gt;1,($L58)*$L$49*HLOOKUP(NeoBerIV!S$1,LijstenOpzoektabelKV,$C58,FALSE)/100,0)</f>
        <v>0</v>
      </c>
      <c r="T58" s="651">
        <f>IF($B58&gt;1,($L58)*$L$49*HLOOKUP(NeoBerIV!T$1,LijstenOpzoektabelKV,$C58,FALSE)/100,0)</f>
        <v>0</v>
      </c>
      <c r="U58" s="651">
        <f>IF($B58&gt;1,($L58)*$L$49*HLOOKUP(NeoBerIV!U$1,LijstenOpzoektabelKV,$C58,FALSE)/100,0)</f>
        <v>0</v>
      </c>
      <c r="V58" s="651">
        <f>IF($B58&gt;1,($L58)*$L$49*HLOOKUP(NeoBerIV!V$1,LijstenOpzoektabelKV,$C58,FALSE)/100,0)</f>
        <v>0</v>
      </c>
      <c r="W58" s="651">
        <f>IF($B58&gt;1,($L58)*$L$49*HLOOKUP(NeoBerIV!W$1,LijstenOpzoektabelKV,$C58,FALSE)/100,0)</f>
        <v>0</v>
      </c>
    </row>
    <row r="59" spans="1:23" x14ac:dyDescent="0.35">
      <c r="A59" s="271" t="s">
        <v>1672</v>
      </c>
      <c r="B59" s="271">
        <v>1</v>
      </c>
      <c r="C59" s="638">
        <f>_Toevoeging_6+1</f>
        <v>2</v>
      </c>
      <c r="K59" s="271">
        <v>1</v>
      </c>
      <c r="L59" s="821">
        <f>INDEX(_VoedingToevoegingenWaarden,NeoBerIV!K59)</f>
        <v>0</v>
      </c>
      <c r="M59" s="651">
        <f>IF($B59&gt;1,($L59)*$L$49*HLOOKUP(NeoBerIV!M$1,LijstenOpzoektabelKV,$C59,FALSE)/100,0)</f>
        <v>0</v>
      </c>
      <c r="N59" s="651">
        <f>IF($B59&gt;1,($L59)*$L$49*HLOOKUP(NeoBerIV!N$1,LijstenOpzoektabelKV,$C59,FALSE)/100,0)</f>
        <v>0</v>
      </c>
      <c r="O59" s="651">
        <f>IF($B59&gt;1,($L59)*$L$49*HLOOKUP(NeoBerIV!O$1,LijstenOpzoektabelKV,$C59,FALSE)/100,0)</f>
        <v>0</v>
      </c>
      <c r="P59" s="651">
        <f>IF($B59&gt;1,($L59)*$L$49*HLOOKUP(NeoBerIV!P$1,LijstenOpzoektabelKV,$C59,FALSE)/100,0)</f>
        <v>0</v>
      </c>
      <c r="Q59" s="651">
        <f>IF($B59&gt;1,($L59)*$L$49*HLOOKUP(NeoBerIV!Q$1,LijstenOpzoektabelKV,$C59,FALSE)/100,0)</f>
        <v>0</v>
      </c>
      <c r="R59" s="651">
        <f>IF($B59&gt;1,($L59)*$L$49*HLOOKUP(NeoBerIV!R$1,LijstenOpzoektabelKV,$C59,FALSE)/100,0)</f>
        <v>0</v>
      </c>
      <c r="S59" s="651">
        <f>IF($B59&gt;1,($L59)*$L$49*HLOOKUP(NeoBerIV!S$1,LijstenOpzoektabelKV,$C59,FALSE)/100,0)</f>
        <v>0</v>
      </c>
      <c r="T59" s="651">
        <f>IF($B59&gt;1,($L59)*$L$49*HLOOKUP(NeoBerIV!T$1,LijstenOpzoektabelKV,$C59,FALSE)/100,0)</f>
        <v>0</v>
      </c>
      <c r="U59" s="651">
        <f>IF($B59&gt;1,($L59)*$L$49*HLOOKUP(NeoBerIV!U$1,LijstenOpzoektabelKV,$C59,FALSE)/100,0)</f>
        <v>0</v>
      </c>
      <c r="V59" s="651">
        <f>IF($B59&gt;1,($L59)*$L$49*HLOOKUP(NeoBerIV!V$1,LijstenOpzoektabelKV,$C59,FALSE)/100,0)</f>
        <v>0</v>
      </c>
      <c r="W59" s="651">
        <f>IF($B59&gt;1,($L59)*$L$49*HLOOKUP(NeoBerIV!W$1,LijstenOpzoektabelKV,$C59,FALSE)/100,0)</f>
        <v>0</v>
      </c>
    </row>
    <row r="60" spans="1:23" x14ac:dyDescent="0.35">
      <c r="A60" s="271" t="s">
        <v>1673</v>
      </c>
      <c r="B60" s="271">
        <v>1</v>
      </c>
      <c r="C60" s="638">
        <f>_Toevoeging_7+1</f>
        <v>2</v>
      </c>
      <c r="K60" s="271">
        <v>1</v>
      </c>
      <c r="L60" s="821">
        <f>INDEX(_VoedingToevoegingenWaarden,NeoBerIV!K60)</f>
        <v>0</v>
      </c>
      <c r="M60" s="651">
        <f>IF($B60&gt;1,($L60)*$L$49*HLOOKUP(NeoBerIV!M$1,LijstenOpzoektabelKV,$C60,FALSE)/100,0)</f>
        <v>0</v>
      </c>
      <c r="N60" s="651">
        <f>IF($B60&gt;1,($L60)*$L$49*HLOOKUP(NeoBerIV!N$1,LijstenOpzoektabelKV,$C60,FALSE)/100,0)</f>
        <v>0</v>
      </c>
      <c r="O60" s="651">
        <f>IF($B60&gt;1,($L60)*$L$49*HLOOKUP(NeoBerIV!O$1,LijstenOpzoektabelKV,$C60,FALSE)/100,0)</f>
        <v>0</v>
      </c>
      <c r="P60" s="651">
        <f>IF($B60&gt;1,($L60)*$L$49*HLOOKUP(NeoBerIV!P$1,LijstenOpzoektabelKV,$C60,FALSE)/100,0)</f>
        <v>0</v>
      </c>
      <c r="Q60" s="651">
        <f>IF($B60&gt;1,($L60)*$L$49*HLOOKUP(NeoBerIV!Q$1,LijstenOpzoektabelKV,$C60,FALSE)/100,0)</f>
        <v>0</v>
      </c>
      <c r="R60" s="651">
        <f>IF($B60&gt;1,($L60)*$L$49*HLOOKUP(NeoBerIV!R$1,LijstenOpzoektabelKV,$C60,FALSE)/100,0)</f>
        <v>0</v>
      </c>
      <c r="S60" s="651">
        <f>IF($B60&gt;1,($L60)*$L$49*HLOOKUP(NeoBerIV!S$1,LijstenOpzoektabelKV,$C60,FALSE)/100,0)</f>
        <v>0</v>
      </c>
      <c r="T60" s="651">
        <f>IF($B60&gt;1,($L60)*$L$49*HLOOKUP(NeoBerIV!T$1,LijstenOpzoektabelKV,$C60,FALSE)/100,0)</f>
        <v>0</v>
      </c>
      <c r="U60" s="651">
        <f>IF($B60&gt;1,($L60)*$L$49*HLOOKUP(NeoBerIV!U$1,LijstenOpzoektabelKV,$C60,FALSE)/100,0)</f>
        <v>0</v>
      </c>
      <c r="V60" s="651">
        <f>IF($B60&gt;1,($L60)*$L$49*HLOOKUP(NeoBerIV!V$1,LijstenOpzoektabelKV,$C60,FALSE)/100,0)</f>
        <v>0</v>
      </c>
      <c r="W60" s="651">
        <f>IF($B60&gt;1,($L60)*$L$49*HLOOKUP(NeoBerIV!W$1,LijstenOpzoektabelKV,$C60,FALSE)/100,0)</f>
        <v>0</v>
      </c>
    </row>
    <row r="61" spans="1:23" x14ac:dyDescent="0.35">
      <c r="A61" s="271" t="s">
        <v>1674</v>
      </c>
      <c r="B61" s="271">
        <v>1</v>
      </c>
      <c r="C61" s="638">
        <f>_Toevoeging_8+1</f>
        <v>2</v>
      </c>
      <c r="K61" s="271">
        <v>1</v>
      </c>
      <c r="L61" s="821">
        <f>INDEX(_VoedingToevoegingenWaarden,NeoBerIV!K61)</f>
        <v>0</v>
      </c>
      <c r="M61" s="651">
        <f>IF($B61&gt;1,($L61)*$L$49*HLOOKUP(NeoBerIV!M$1,LijstenOpzoektabelKV,$C61,FALSE)/100,0)</f>
        <v>0</v>
      </c>
      <c r="N61" s="651">
        <f>IF($B61&gt;1,($L61)*$L$49*HLOOKUP(NeoBerIV!N$1,LijstenOpzoektabelKV,$C61,FALSE)/100,0)</f>
        <v>0</v>
      </c>
      <c r="O61" s="651">
        <f>IF($B61&gt;1,($L61)*$L$49*HLOOKUP(NeoBerIV!O$1,LijstenOpzoektabelKV,$C61,FALSE)/100,0)</f>
        <v>0</v>
      </c>
      <c r="P61" s="651">
        <f>IF($B61&gt;1,($L61)*$L$49*HLOOKUP(NeoBerIV!P$1,LijstenOpzoektabelKV,$C61,FALSE)/100,0)</f>
        <v>0</v>
      </c>
      <c r="Q61" s="651">
        <f>IF($B61&gt;1,($L61)*$L$49*HLOOKUP(NeoBerIV!Q$1,LijstenOpzoektabelKV,$C61,FALSE)/100,0)</f>
        <v>0</v>
      </c>
      <c r="R61" s="651">
        <f>IF($B61&gt;1,($L61)*$L$49*HLOOKUP(NeoBerIV!R$1,LijstenOpzoektabelKV,$C61,FALSE)/100,0)</f>
        <v>0</v>
      </c>
      <c r="S61" s="651">
        <f>IF($B61&gt;1,($L61)*$L$49*HLOOKUP(NeoBerIV!S$1,LijstenOpzoektabelKV,$C61,FALSE)/100,0)</f>
        <v>0</v>
      </c>
      <c r="T61" s="651">
        <f>IF($B61&gt;1,($L61)*$L$49*HLOOKUP(NeoBerIV!T$1,LijstenOpzoektabelKV,$C61,FALSE)/100,0)</f>
        <v>0</v>
      </c>
      <c r="U61" s="651">
        <f>IF($B61&gt;1,($L61)*$L$49*HLOOKUP(NeoBerIV!U$1,LijstenOpzoektabelKV,$C61,FALSE)/100,0)</f>
        <v>0</v>
      </c>
      <c r="V61" s="651">
        <f>IF($B61&gt;1,($L61)*$L$49*HLOOKUP(NeoBerIV!V$1,LijstenOpzoektabelKV,$C61,FALSE)/100,0)</f>
        <v>0</v>
      </c>
      <c r="W61" s="651">
        <f>IF($B61&gt;1,($L61)*$L$49*HLOOKUP(NeoBerIV!W$1,LijstenOpzoektabelKV,$C61,FALSE)/100,0)</f>
        <v>0</v>
      </c>
    </row>
    <row r="62" spans="1:23" x14ac:dyDescent="0.35">
      <c r="A62" s="271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3" spans="1:23" x14ac:dyDescent="0.35">
      <c r="A63" s="271" t="s">
        <v>1258</v>
      </c>
      <c r="B63" s="271">
        <v>1</v>
      </c>
    </row>
    <row r="65" spans="1:13" x14ac:dyDescent="0.35">
      <c r="A65" s="271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271" t="s">
        <v>1642</v>
      </c>
      <c r="B73" s="271" t="str">
        <f ca="1">IF(NeoGuiAfspraken!E18=0,"",CONCATENATE(NeoGuiAfspraken!B18,": ",NeoGuiAfspraken!E18," ",NeoGuiAfspraken!F18," = "&amp;NeoBerIV!L47&amp;" ml"))</f>
        <v/>
      </c>
    </row>
    <row r="74" spans="1:13" x14ac:dyDescent="0.35">
      <c r="A74" s="271" t="s">
        <v>1643</v>
      </c>
      <c r="B74" s="271" t="str">
        <f>IF(INDEX(Pos,NeoBerIV!D14,1)=0,"",CONCATENATE(NeoGuiAfspraken!H21," ",INDEX(Pos,NeoBerIV!D14,1)))</f>
        <v/>
      </c>
    </row>
    <row r="75" spans="1:13" x14ac:dyDescent="0.35">
      <c r="A75" s="271" t="s">
        <v>1644</v>
      </c>
      <c r="B75" s="660" t="str">
        <f>IF(INDEX(Pos,NeoBerIV!D14,1)=0,"",CONCATENATE("Hoeveelheid 1:  ",NeoGuiAfspraken!E21," ",NeoGuiAfspraken!F21," ",NeoGuiAfspraken!G21))</f>
        <v/>
      </c>
    </row>
    <row r="76" spans="1:13" x14ac:dyDescent="0.35">
      <c r="A76" s="271" t="s">
        <v>1645</v>
      </c>
      <c r="B76" s="271" t="str">
        <f>IF(INDEX(Pos,NeoBerIV!D14,1)=0,"",CONCATENATE("Hoeveelheid 2:  ",NeoGuiAfspraken!E22," ",NeoGuiAfspraken!F22," ",NeoGuiAfspraken!G22))</f>
        <v/>
      </c>
    </row>
    <row r="77" spans="1:13" x14ac:dyDescent="0.35">
      <c r="A77" s="271" t="s">
        <v>1646</v>
      </c>
      <c r="B77" s="660" t="str">
        <f>IF(AND(INDEX(LijstenLijstVoeding,_Voeding,14)="MM",_Percentage_0 &gt; 0), CONCATENATE("Toev MM: BMF ",_Percentage_0," %"),"")</f>
        <v/>
      </c>
    </row>
    <row r="78" spans="1:13" x14ac:dyDescent="0.35">
      <c r="A78" s="271" t="s">
        <v>1647</v>
      </c>
      <c r="B78" s="660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35">
      <c r="A79" s="271" t="s">
        <v>1648</v>
      </c>
      <c r="B79" s="660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35">
      <c r="A80" s="271" t="s">
        <v>1649</v>
      </c>
      <c r="B80" s="660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35">
      <c r="A81" s="271" t="s">
        <v>1650</v>
      </c>
      <c r="B81" s="660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35">
      <c r="A82" s="271" t="s">
        <v>1651</v>
      </c>
      <c r="B82" s="660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35">
      <c r="A83" s="660" t="s">
        <v>1991</v>
      </c>
      <c r="B83" s="660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35">
      <c r="A84" s="660" t="s">
        <v>1992</v>
      </c>
      <c r="B84" s="660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35">
      <c r="A85" s="660" t="s">
        <v>1993</v>
      </c>
      <c r="B85" s="660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35">
      <c r="A86" s="660" t="s">
        <v>1994</v>
      </c>
      <c r="B86" s="271" t="str">
        <f ca="1">IF(NeoGuiAfspraken!E28&gt;0,CONCATENATE(NeoGuiAfspraken!B28," ",NeoGuiAfspraken!E28," ",NeoGuiAfspraken!F28),"")</f>
        <v/>
      </c>
    </row>
    <row r="87" spans="1:7" x14ac:dyDescent="0.35">
      <c r="A87" s="660" t="s">
        <v>1995</v>
      </c>
      <c r="B87" s="271" t="str">
        <f>CONCATENATE(NeoGuiAfspraken!B19,": ",IF(NeoBerIV!B15=1,"Ja","Nee"))</f>
        <v>Fototherapie: Nee</v>
      </c>
    </row>
    <row r="90" spans="1:7" x14ac:dyDescent="0.35">
      <c r="A90" s="518" t="s">
        <v>2283</v>
      </c>
      <c r="B90" s="271" t="str">
        <f>IF(NeoBerIV!B20&gt;1,INDEX(Medicamenten,NeoBerIV!B20, 1)&amp;" "&amp;NeoGuiAfspraken!C32&amp;" "&amp;NeoGuiAfspraken!D32&amp;" "&amp; INDEX(Opl,NeoBerIV!E20,1)&amp;" " &amp; NeoGuiAfspraken!G32&amp;" (="&amp;NeoGuiAfspraken!H32&amp;" "&amp;NeoGuiAfspraken!I32&amp;"), inlooptijd: "&amp;NeoGuiAfspraken!N32,"")</f>
        <v/>
      </c>
    </row>
    <row r="91" spans="1:7" x14ac:dyDescent="0.35">
      <c r="A91" s="518" t="s">
        <v>2283</v>
      </c>
      <c r="B91" s="821" t="str">
        <f>IF(NeoBerIV!B21&gt;1,INDEX(Medicamenten,NeoBerIV!B21, 1)&amp;" "&amp;NeoGuiAfspraken!C33&amp;" "&amp;NeoGuiAfspraken!D33&amp;" "&amp; INDEX(Opl,NeoBerIV!E21,1)&amp;" " &amp; NeoGuiAfspraken!G33&amp;" (="&amp;NeoGuiAfspraken!H33&amp;" "&amp;NeoGuiAfspraken!I33&amp;"), inlooptijd: "&amp;NeoGuiAfspraken!N33,"")</f>
        <v/>
      </c>
    </row>
    <row r="92" spans="1:7" x14ac:dyDescent="0.35">
      <c r="A92" s="518" t="s">
        <v>2283</v>
      </c>
      <c r="B92" s="821" t="str">
        <f>IF(NeoBerIV!B22&gt;1,INDEX(Medicamenten,NeoBerIV!B22, 1)&amp;" "&amp;NeoGuiAfspraken!C34&amp;" "&amp;NeoGuiAfspraken!D34&amp;" "&amp; INDEX(Opl,NeoBerIV!E22,1)&amp;" " &amp; NeoGuiAfspraken!G34&amp;" (="&amp;NeoGuiAfspraken!H34&amp;" "&amp;NeoGuiAfspraken!I34&amp;"), inlooptijd: "&amp;NeoGuiAfspraken!N34,"")</f>
        <v/>
      </c>
      <c r="G92" s="821"/>
    </row>
    <row r="93" spans="1:7" x14ac:dyDescent="0.35">
      <c r="A93" s="518" t="s">
        <v>2283</v>
      </c>
      <c r="B93" s="821" t="str">
        <f>IF(NeoBerIV!B23&gt;1,INDEX(Medicamenten,NeoBerIV!B23, 1)&amp;" "&amp;NeoGuiAfspraken!C35&amp;" "&amp;NeoGuiAfspraken!D35&amp;" "&amp; INDEX(Opl,NeoBerIV!E23,1)&amp;" " &amp; NeoGuiAfspraken!G35&amp;" (="&amp;NeoGuiAfspraken!H35&amp;" "&amp;NeoGuiAfspraken!I35&amp;"), inlooptijd: "&amp;NeoGuiAfspraken!N35,"")</f>
        <v/>
      </c>
      <c r="G93" s="821"/>
    </row>
    <row r="94" spans="1:7" x14ac:dyDescent="0.35">
      <c r="A94" s="518" t="s">
        <v>2283</v>
      </c>
      <c r="B94" s="821" t="str">
        <f>IF(NeoBerIV!B24&gt;1,INDEX(Medicamenten,NeoBerIV!B24, 1)&amp;" "&amp;NeoGuiAfspraken!C36&amp;" "&amp;NeoGuiAfspraken!D36&amp;" "&amp; INDEX(Opl,NeoBerIV!E24,1)&amp;" " &amp; NeoGuiAfspraken!G36&amp;" (="&amp;NeoGuiAfspraken!H36&amp;" "&amp;NeoGuiAfspraken!I36&amp;"), inlooptijd: "&amp;NeoGuiAfspraken!N36,"")</f>
        <v/>
      </c>
      <c r="G94" s="821"/>
    </row>
    <row r="95" spans="1:7" x14ac:dyDescent="0.35">
      <c r="A95" s="518" t="s">
        <v>2283</v>
      </c>
      <c r="B95" s="821" t="str">
        <f>IF(NeoBerIV!B25&gt;1,INDEX(Medicamenten,NeoBerIV!B25, 1)&amp;" "&amp;NeoGuiAfspraken!C37&amp;" "&amp;NeoGuiAfspraken!D37&amp;" "&amp; INDEX(Opl,NeoBerIV!E25,1)&amp;" " &amp; NeoGuiAfspraken!G37&amp;" (="&amp;NeoGuiAfspraken!H37&amp;" "&amp;NeoGuiAfspraken!I37&amp;"), inlooptijd: "&amp;NeoGuiAfspraken!N37,"")</f>
        <v/>
      </c>
      <c r="G95" s="821"/>
    </row>
    <row r="96" spans="1:7" x14ac:dyDescent="0.35">
      <c r="A96" s="518" t="s">
        <v>2283</v>
      </c>
      <c r="B96" s="821" t="str">
        <f>IF(NeoBerIV!B26&gt;1,INDEX(Medicamenten,NeoBerIV!B26, 1)&amp;" "&amp;NeoGuiAfspraken!C38&amp;" "&amp;NeoGuiAfspraken!D38&amp;" "&amp; INDEX(Opl,NeoBerIV!E26,1)&amp;" " &amp; NeoGuiAfspraken!G38&amp;" (="&amp;NeoGuiAfspraken!H38&amp;" "&amp;NeoGuiAfspraken!I38&amp;"), inlooptijd: "&amp;NeoGuiAfspraken!N38,"")</f>
        <v/>
      </c>
      <c r="G96" s="821"/>
    </row>
    <row r="97" spans="1:7" x14ac:dyDescent="0.35">
      <c r="A97" s="518" t="s">
        <v>2283</v>
      </c>
      <c r="B97" s="821" t="str">
        <f>IF(NeoBerIV!B27&gt;1,INDEX(Medicamenten,NeoBerIV!B27, 1)&amp;" "&amp;NeoGuiAfspraken!C39&amp;" "&amp;NeoGuiAfspraken!D39&amp;" "&amp; INDEX(Opl,NeoBerIV!E27,1)&amp;" " &amp; NeoGuiAfspraken!G39&amp;" (="&amp;NeoGuiAfspraken!H39&amp;" "&amp;NeoGuiAfspraken!I39&amp;"), inlooptijd: "&amp;NeoGuiAfspraken!N39,"")</f>
        <v/>
      </c>
      <c r="G97" s="821"/>
    </row>
    <row r="98" spans="1:7" x14ac:dyDescent="0.35">
      <c r="A98" s="518" t="s">
        <v>2283</v>
      </c>
      <c r="B98" s="821" t="str">
        <f>IF(NeoBerIV!B28&gt;1,INDEX(Medicamenten,NeoBerIV!B28, 1)&amp;" "&amp;NeoGuiAfspraken!C40&amp;" "&amp;NeoGuiAfspraken!D40&amp;" "&amp; INDEX(Opl,NeoBerIV!E28,1)&amp;" " &amp; NeoGuiAfspraken!G40&amp;" (="&amp;NeoGuiAfspraken!H40&amp;" "&amp;NeoGuiAfspraken!I40&amp;"), inlooptijd: "&amp;NeoGuiAfspraken!N40,"")</f>
        <v/>
      </c>
      <c r="G98" s="821"/>
    </row>
    <row r="99" spans="1:7" x14ac:dyDescent="0.35">
      <c r="A99" s="518" t="s">
        <v>2283</v>
      </c>
      <c r="B99" s="821" t="str">
        <f>IF(NeoBerIV!E29&lt;&gt;0, NeoGuiAfspraken!B42&amp;": "&amp; INDEX(Opl,NeoBerIV!$E29,1)&amp;" " &amp; NeoGuiAfspraken!G42,"")</f>
        <v/>
      </c>
      <c r="G99" s="821"/>
    </row>
    <row r="100" spans="1:7" x14ac:dyDescent="0.35">
      <c r="A100" s="518" t="s">
        <v>2283</v>
      </c>
      <c r="B100" s="821" t="str">
        <f>IF(NeoBerIV!E30&lt;&gt;0, NeoGuiAfspraken!B43&amp;": "&amp; INDEX(Opl,NeoBerIV!$E30,1)&amp;" " &amp; NeoGuiAfspraken!G43,"")</f>
        <v/>
      </c>
      <c r="G100" s="821"/>
    </row>
    <row r="101" spans="1:7" x14ac:dyDescent="0.35">
      <c r="A101" s="518" t="s">
        <v>2283</v>
      </c>
      <c r="B101" s="821" t="str">
        <f>IF(NeoBerIV!E31&lt;&gt;0, NeoGuiAfspraken!B44&amp;": "&amp; INDEX(Opl,NeoBerIV!$E31,1)&amp;" " &amp; NeoGuiAfspraken!G44,"")</f>
        <v/>
      </c>
      <c r="G101" s="821"/>
    </row>
    <row r="102" spans="1:7" x14ac:dyDescent="0.35">
      <c r="A102" s="518" t="s">
        <v>2283</v>
      </c>
      <c r="B102" s="271" t="str">
        <f>IF(NeoBerIV!B32="","",NeoBerIV!B32)</f>
        <v/>
      </c>
      <c r="G102" s="821"/>
    </row>
    <row r="103" spans="1:7" x14ac:dyDescent="0.35">
      <c r="A103" s="518" t="s">
        <v>2283</v>
      </c>
      <c r="B103" s="821" t="str">
        <f>IF(NeoBerIV!B33="","",NeoBerIV!B33)</f>
        <v/>
      </c>
      <c r="G103" s="821"/>
    </row>
    <row r="104" spans="1:7" x14ac:dyDescent="0.35">
      <c r="A104" s="518" t="s">
        <v>2283</v>
      </c>
      <c r="B104" s="271" t="str">
        <f ca="1">IF(NeoBerIV!C35&lt;&gt;0,CONCATENATE("Intralipid 20% (incl.vitintra) ",ROUNDUP(NeoBerIV!C35/24,1)," ml/uur"),"")</f>
        <v/>
      </c>
      <c r="G104" s="821"/>
    </row>
    <row r="105" spans="1:7" x14ac:dyDescent="0.35">
      <c r="A105" s="518" t="s">
        <v>2283</v>
      </c>
      <c r="B105" s="271" t="str">
        <f ca="1">IF(_WerkbriefActueelTPNStand&lt;&gt;"",CONCATENATE("TPN: ",_WerkbriefActueelTPNStand, " ml/uur"),"")</f>
        <v/>
      </c>
      <c r="G105" s="821"/>
    </row>
    <row r="106" spans="1:7" x14ac:dyDescent="0.35">
      <c r="A106" s="518" t="s">
        <v>2283</v>
      </c>
      <c r="B106" s="271" t="str">
        <f ca="1">IF(_WerkbriefActueelTPNStand&lt;&gt;"",CONCATENATE("TPN Totaal: ",_WerkbriefActueelTPNTotaalGeheel,",",  ROUND(_WerkbriefActueelTPNTotaalBreuk,0), " ml"),"")</f>
        <v/>
      </c>
      <c r="G106" s="821"/>
    </row>
    <row r="107" spans="1:7" x14ac:dyDescent="0.35">
      <c r="A107" s="518" t="s">
        <v>2283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1"/>
    </row>
    <row r="108" spans="1:7" x14ac:dyDescent="0.35">
      <c r="A108" s="518" t="s">
        <v>2283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1"/>
    </row>
    <row r="109" spans="1:7" x14ac:dyDescent="0.35">
      <c r="A109" s="518" t="s">
        <v>2283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1"/>
    </row>
    <row r="110" spans="1:7" x14ac:dyDescent="0.35">
      <c r="A110" s="518" t="s">
        <v>2283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1"/>
    </row>
    <row r="111" spans="1:7" x14ac:dyDescent="0.35">
      <c r="A111" s="518" t="s">
        <v>2283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1"/>
    </row>
    <row r="112" spans="1:7" x14ac:dyDescent="0.35">
      <c r="A112" s="518" t="s">
        <v>2283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1"/>
    </row>
    <row r="113" spans="1:7" x14ac:dyDescent="0.35">
      <c r="A113" s="518" t="s">
        <v>2283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1"/>
    </row>
    <row r="114" spans="1:7" x14ac:dyDescent="0.35">
      <c r="A114" s="518" t="s">
        <v>2283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1"/>
    </row>
    <row r="115" spans="1:7" x14ac:dyDescent="0.35">
      <c r="A115" s="518" t="s">
        <v>2283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1"/>
    </row>
    <row r="116" spans="1:7" x14ac:dyDescent="0.35">
      <c r="A116" s="518" t="s">
        <v>2283</v>
      </c>
      <c r="B116" s="271" t="str">
        <f>IF(_WerkbriefIntravasaleToegangStand&lt;&gt;"",CONCATENATE(_WerkbriefIntravasaleToegangTekst," ",_WerkbriefIntravasaleToegangStand, " ml/uur"),"")</f>
        <v/>
      </c>
      <c r="G116" s="8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42728</v>
      </c>
      <c r="J2" s="936"/>
      <c r="K2" s="936"/>
      <c r="L2" s="321" t="s">
        <v>1020</v>
      </c>
      <c r="M2" s="937">
        <f ca="1">NOW()</f>
        <v>42728.838322569442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824"/>
      <c r="J3" s="824"/>
      <c r="K3" s="8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13.2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NeoGuiAfspraken!E28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IF(NeoBerIV!$L$37&gt;0,IF(_DagKeuze&lt;&gt;2,TRUNC(NeoBerIV!$C$37),0),"")</f>
        <v/>
      </c>
      <c r="N8" s="342" t="str">
        <f ca="1">IF(NeoBerIV!$L$37&gt;0,IF(_DagKeuze1700&lt;&gt;2,(NeoBerIV!$C$37-M8)*100,0),"")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IF(NeoBerIV!$L$38&gt;0,IF(_DagKeuze1700&lt;&gt;2,TRUNC(NeoBerIV!$C$38),0),"")</f>
        <v/>
      </c>
      <c r="N9" s="335" t="str">
        <f ca="1">IF(NeoBerIV!$L$38&gt;0,IF(_DagKeuze1700&lt;&gt;2,(NeoBerIV!$C$38-M9)*100,0),"")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IF(NeoBerIV!$L$39&gt;0,TRUNC(NeoBerIV!$C$39),"")</f>
        <v/>
      </c>
      <c r="N10" s="342" t="str">
        <f ca="1">IF(NeoBerIV!$L$39&gt;0,IF(_DagKeuze1700=1,NeoBerIV!$C$39-M10,0),"")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IF(NeoBerIV!$L$40&gt;0,TRUNC(NeoBerIV!$C$40),"")</f>
        <v/>
      </c>
      <c r="N11" s="335" t="str">
        <f ca="1">IF(NeoBerIV!$L$40&gt;0,IF(_DagKeuze1700=1,(NeoBerIV!$C$40-M11)*100,0),"")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IF(NeoBerIV!$L$41&gt;0,TRUNC(NeoBerIV!$C$41),"")</f>
        <v/>
      </c>
      <c r="N12" s="342" t="str">
        <f ca="1">IF(NeoBerIV!$L$41&gt;0,IF(_DagKeuze1700=1,(NeoBerIV!$C$41-M12)*100,0),"")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IF(NeoBerIV!$L$42&gt;0,TRUNC(NeoBerIV!$C$42),"")</f>
        <v/>
      </c>
      <c r="N13" s="335" t="str">
        <f ca="1">IF(NeoBerIV!$L$42&gt;0,IF(_DagKeuze1700&lt;&gt;1,(NeoBerIV!$C$42-M13)*100,0),"")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IF(_DagKeuze=2,TRUNC(NeoBerIV!$C$43),"")</f>
        <v/>
      </c>
      <c r="N14" s="342" t="str">
        <f>IF(_DagKeuze=2,(NeoBerIV!$C$43-M14)*100,"")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IF(_DagKeuze=3,TRUNC(NeoBerIV!$C$44),"")</f>
        <v/>
      </c>
      <c r="N15" s="335" t="str">
        <f>IF(_DagKeuze=3,(NeoBerIV!$C$44-M15)*100,"")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INDEX(Opl,NeoBerIV!D45+1,1)</f>
        <v>glucose 10%</v>
      </c>
      <c r="I16" s="339"/>
      <c r="J16" s="339"/>
      <c r="K16" s="339"/>
      <c r="L16" s="340"/>
      <c r="M16" s="341" t="str">
        <f>IF(NeoBerIV!$L$45&gt;0,TRUNC(NeoBerIV!$L$45),"")</f>
        <v/>
      </c>
      <c r="N16" s="342" t="str">
        <f>IF(NeoBerIV!$L$45&gt;0,(NeoBerIV!$L$45-M16)*100,"")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IF(A26&lt;&gt;"",IF(NeoBerIV!B20&gt;1,INDEX(Medicamenten,NeoBerIV!B20,1),""),"")</f>
        <v/>
      </c>
      <c r="D26" s="329"/>
      <c r="E26" s="330" t="str">
        <f>IF(A26&lt;&gt;"",IF(NeoBerIV!B20&gt;1,NeoBerIV!C20/10,""),"")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IF(A26&lt;&gt;"",IF(NeoBerIV!B20&gt;1,INDEX(Medicamenten,NeoBerIV!B20,3),""),"")</f>
        <v/>
      </c>
      <c r="I26" s="329" t="s">
        <v>1031</v>
      </c>
      <c r="J26" s="329" t="str">
        <f>IF(A26&lt;&gt;"",IF(NeoBerIV!B20&gt;1,INDEX(Medicamenten,NeoBerIV!B20,4),""),"")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IF(A29&lt;&gt;"",IF(NeoBerIV!B21&gt;1,INDEX(Medicamenten,NeoBerIV!B21,1),""),"")</f>
        <v/>
      </c>
      <c r="D29" s="329"/>
      <c r="E29" s="330" t="str">
        <f>IF(A29&lt;&gt;"",IF(NeoBerIV!B21&gt;1,NeoBerIV!C21/10,""),"")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IF(A29&lt;&gt;"",IF(NeoBerIV!B21&gt;1,INDEX(Medicamenten,NeoBerIV!B21,3),""),"")</f>
        <v/>
      </c>
      <c r="I29" s="329" t="s">
        <v>1031</v>
      </c>
      <c r="J29" s="329" t="str">
        <f>IF(A29&lt;&gt;"",IF(NeoBerIV!B21&gt;1,INDEX(Medicamenten,NeoBerIV!B21,4),""),"")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IF(A32&lt;&gt;"",IF(NeoBerIV!B22&gt;1,INDEX(Medicamenten,NeoBerIV!B22,1),""),"")</f>
        <v/>
      </c>
      <c r="D32" s="329"/>
      <c r="E32" s="330" t="str">
        <f>IF(A32&lt;&gt;"",IF(NeoBerIV!B22&gt;1,NeoBerIV!C22/10,""),"")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IF(A32&lt;&gt;"",IF(NeoBerIV!B22&gt;1,INDEX(Medicamenten,NeoBerIV!B22,3),""),"")</f>
        <v/>
      </c>
      <c r="I32" s="329" t="s">
        <v>1031</v>
      </c>
      <c r="J32" s="329" t="str">
        <f>IF(A32&lt;&gt;"",IF(NeoBerIV!B22&gt;1,INDEX(Medicamenten,NeoBerIV!B22,4),""),"")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IF(A35&lt;&gt;"",IF(NeoBerIV!B23&gt;1,INDEX(Medicamenten,NeoBerIV!B23,1),""),"")</f>
        <v/>
      </c>
      <c r="D35" s="329"/>
      <c r="E35" s="330" t="str">
        <f>IF(A35&lt;&gt;"",IF(NeoBerIV!B23&gt;1,NeoBerIV!C23/10,""),"")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IF(A35&lt;&gt;"",IF(NeoBerIV!B23&gt;1,INDEX(Medicamenten,NeoBerIV!B23,3),""),"")</f>
        <v/>
      </c>
      <c r="I35" s="329" t="s">
        <v>1031</v>
      </c>
      <c r="J35" s="329" t="str">
        <f>IF(A35&lt;&gt;"",IF(NeoBerIV!B23&gt;1,INDEX(Medicamenten,NeoBerIV!B23,4),""),"")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IF(A38&lt;&gt;"",IF(NeoBerIV!B24&gt;1,INDEX(Medicamenten,NeoBerIV!B24,1),""),"")</f>
        <v/>
      </c>
      <c r="D38" s="329"/>
      <c r="E38" s="330" t="str">
        <f>IF(A38&lt;&gt;"",IF(NeoBerIV!B24&gt;1,NeoBerIV!C24/10,""),"")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IF(A38&lt;&gt;"",IF(NeoBerIV!B24&gt;1,INDEX(Medicamenten,NeoBerIV!B24,3),""),"")</f>
        <v/>
      </c>
      <c r="I38" s="329" t="s">
        <v>1031</v>
      </c>
      <c r="J38" s="329" t="str">
        <f>IF(A38&lt;&gt;"",IF(NeoBerIV!B24&gt;1,INDEX(Medicamenten,NeoBerIV!B24,4),""),"")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IF(A41&lt;&gt;"",IF(NeoBerIV!B25&gt;1,INDEX(Medicamenten,NeoBerIV!B25,1),""),"")</f>
        <v/>
      </c>
      <c r="D41" s="329"/>
      <c r="E41" s="330" t="str">
        <f>IF(A41&lt;&gt;"",IF(NeoBerIV!B25&gt;1,NeoBerIV!C25/10,""),"")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IF(A41&lt;&gt;"",IF(NeoBerIV!B25&gt;1,INDEX(Medicamenten,NeoBerIV!B25,3),""),"")</f>
        <v/>
      </c>
      <c r="I41" s="329" t="s">
        <v>1031</v>
      </c>
      <c r="J41" s="329" t="str">
        <f>IF(A41&lt;&gt;"",IF(NeoBerIV!B25&gt;1,INDEX(Medicamenten,NeoBerIV!B25,4),""),"")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IF(A44&lt;&gt;"",IF(NeoBerIV!B26&gt;1,INDEX(Medicamenten,NeoBerIV!B26,1),""),"")</f>
        <v/>
      </c>
      <c r="D44" s="329"/>
      <c r="E44" s="330" t="str">
        <f>IF(A44&lt;&gt;"",IF(NeoBerIV!B26&gt;1,NeoBerIV!C26/10,""),"")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IF(A44&lt;&gt;"",IF(NeoBerIV!B26&gt;1,INDEX(Medicamenten,NeoBerIV!B26,3),""),"")</f>
        <v/>
      </c>
      <c r="I44" s="329" t="s">
        <v>1031</v>
      </c>
      <c r="J44" s="329" t="str">
        <f>IF(A44&lt;&gt;"",IF(NeoBerIV!B26&gt;1,INDEX(Medicamenten,NeoBerIV!B26,4),""),"")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IF(A47&lt;&gt;"",IF(NeoBerIV!B27&gt;1,INDEX(Medicamenten,NeoBerIV!B27,1),""),"")</f>
        <v/>
      </c>
      <c r="D47" s="329"/>
      <c r="E47" s="330" t="str">
        <f>IF(A47&lt;&gt;"",IF(NeoBerIV!B27&gt;1,NeoBerIV!C27/10,""),"")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IF(A47&lt;&gt;"",IF(NeoBerIV!B27&gt;1,INDEX(Medicamenten,NeoBerIV!B27,3),""),"")</f>
        <v/>
      </c>
      <c r="I47" s="329" t="s">
        <v>1031</v>
      </c>
      <c r="J47" s="329" t="str">
        <f>IF(A47&lt;&gt;"",IF(NeoBerIV!B27&gt;1,INDEX(Medicamenten,NeoBerIV!B27,4),""),"")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IF(A50&lt;&gt;"",IF(NeoBerIV!B28&gt;1,INDEX(Medicamenten,NeoBerIV!B28,1),""),"")</f>
        <v/>
      </c>
      <c r="D50" s="329"/>
      <c r="E50" s="330" t="str">
        <f>IF(A50&lt;&gt;"",IF(NeoBerIV!B28&gt;1,NeoBerIV!C28/10,""),"")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IF(A50&lt;&gt;"",IF(NeoBerIV!B28&gt;1,INDEX(Medicamenten,NeoBerIV!B28,3),""),"")</f>
        <v/>
      </c>
      <c r="I50" s="329" t="s">
        <v>1031</v>
      </c>
      <c r="J50" s="329" t="str">
        <f>IF(A50&lt;&gt;"",IF(NeoBerIV!B28&gt;1,INDEX(Medicamenten,NeoBerIV!B28,4),""),"")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728</v>
      </c>
      <c r="C2" s="757" t="s">
        <v>1042</v>
      </c>
      <c r="D2" s="757" t="s">
        <v>1043</v>
      </c>
      <c r="E2" s="757" t="s">
        <v>242</v>
      </c>
      <c r="G2" s="757"/>
      <c r="H2" s="757" t="s">
        <v>1042</v>
      </c>
      <c r="I2" s="757" t="s">
        <v>1043</v>
      </c>
      <c r="J2" s="757" t="s">
        <v>242</v>
      </c>
      <c r="K2" s="940" t="s">
        <v>2287</v>
      </c>
      <c r="L2" s="940"/>
      <c r="M2" s="940"/>
      <c r="N2" s="940"/>
    </row>
    <row r="3" spans="1:15" ht="15.95" customHeight="1" x14ac:dyDescent="0.4">
      <c r="B3" s="758" t="s">
        <v>631</v>
      </c>
      <c r="C3" s="759" t="str">
        <f ca="1">ROUND(NeoBer1700!L50/_Gewicht,0)&amp;" ml/kg"</f>
        <v>0 ml/kg</v>
      </c>
      <c r="D3" s="759" t="str">
        <f>ROUND(NeoBer1700!L49/_Gewicht,0)&amp;" ml/kg"</f>
        <v>0 ml/kg</v>
      </c>
      <c r="E3" s="759" t="str">
        <f ca="1">ROUND(NeoBer1700!L47/_Gewicht,0)&amp;" ml/kg  "&amp;"= "&amp;ROUND(NeoBer1700!L47,0)&amp;" ml"</f>
        <v>0 ml/kg  = 0 ml</v>
      </c>
      <c r="G3" s="758" t="s">
        <v>377</v>
      </c>
      <c r="H3" s="759" t="str">
        <f ca="1">ROUND(NeoBer1700!M50/_Gewicht,1)&amp;" mmol/kg"</f>
        <v>0 mmol/kg</v>
      </c>
      <c r="I3" s="759" t="str">
        <f>ROUND(NeoBer1700!M49/_Gewicht,1)&amp;" mmol/kg"</f>
        <v>0 mmol/kg</v>
      </c>
      <c r="J3" s="759" t="str">
        <f ca="1">ROUND(NeoBer1700!M47/_Gewicht,1)&amp;" mmol/kg"</f>
        <v>0 mmol/kg</v>
      </c>
      <c r="K3" s="940"/>
      <c r="L3" s="940"/>
      <c r="M3" s="940"/>
      <c r="N3" s="940"/>
    </row>
    <row r="4" spans="1:15" ht="15.95" customHeight="1" x14ac:dyDescent="0.4">
      <c r="B4" s="758" t="s">
        <v>465</v>
      </c>
      <c r="C4" s="759" t="str">
        <f ca="1">ROUND(NeoBer1700!R50/_Gewicht,1)&amp;" g/kg"</f>
        <v>0 g/kg</v>
      </c>
      <c r="D4" s="759" t="str">
        <f>ROUND(NeoBer1700!R49/_Gewicht,1)&amp;" g/kg"</f>
        <v>0 g/kg</v>
      </c>
      <c r="E4" s="759" t="str">
        <f ca="1">ROUND(NeoBer1700!R47/_Gewicht,1)&amp;" g/kg"</f>
        <v>0 g/kg</v>
      </c>
      <c r="G4" s="758" t="s">
        <v>577</v>
      </c>
      <c r="H4" s="759" t="str">
        <f ca="1">ROUND(NeoBer1700!N50/_Gewicht,1)&amp;" mmol/kg"</f>
        <v>0 mmol/kg</v>
      </c>
      <c r="I4" s="759" t="str">
        <f>ROUND(NeoBer1700!N49/_Gewicht,1)&amp;" mmol/kg"</f>
        <v>0 mmol/kg</v>
      </c>
      <c r="J4" s="759" t="str">
        <f ca="1">ROUND(NeoBer1700!N47/_Gewicht,1)&amp;" mmol/kg"</f>
        <v>0 mmol/kg</v>
      </c>
      <c r="K4" s="940"/>
      <c r="L4" s="940"/>
      <c r="M4" s="940"/>
      <c r="N4" s="940"/>
    </row>
    <row r="5" spans="1:15" ht="15.95" customHeight="1" x14ac:dyDescent="0.4">
      <c r="B5" s="758" t="s">
        <v>466</v>
      </c>
      <c r="C5" s="759" t="str">
        <f ca="1">ROUND(NeoBer1700!T50/_Gewicht,1)&amp;" g/kg"</f>
        <v>0 g/kg</v>
      </c>
      <c r="D5" s="759" t="str">
        <f>ROUND(NeoBer1700!T49/_Gewicht,1)&amp;" g/kg"</f>
        <v>0 g/kg</v>
      </c>
      <c r="E5" s="759" t="str">
        <f ca="1">ROUND(NeoBer1700!T47/_Gewicht,1)&amp;" g/kg"</f>
        <v>0 g/kg</v>
      </c>
      <c r="G5" s="758" t="s">
        <v>467</v>
      </c>
      <c r="H5" s="759" t="str">
        <f ca="1">ROUND(NeoBer1700!O50/_Gewicht,1)&amp;" mmol/kg"</f>
        <v>0 mmol/kg</v>
      </c>
      <c r="I5" s="759" t="str">
        <f>ROUND(NeoBer1700!O49/_Gewicht,1)&amp;" mmol/kg"</f>
        <v>0 mmol/kg</v>
      </c>
      <c r="J5" s="759" t="str">
        <f ca="1">ROUND(NeoBer1700!O47/_Gewicht,1)&amp;" mmol/kg"</f>
        <v>0 mmol/kg</v>
      </c>
      <c r="K5" s="940"/>
      <c r="L5" s="940"/>
      <c r="M5" s="940"/>
      <c r="N5" s="940"/>
    </row>
    <row r="6" spans="1:15" ht="15.95" customHeight="1" x14ac:dyDescent="0.4">
      <c r="A6" s="754"/>
      <c r="B6" s="758" t="s">
        <v>1044</v>
      </c>
      <c r="C6" s="759" t="str">
        <f>ROUND(1000*NeoBer1700!S50/_Gewicht/1440,1)&amp;" mg/kg/min"</f>
        <v>0 mg/kg/min</v>
      </c>
      <c r="D6" s="759" t="str">
        <f>ROUND(1000*NeoBer1700!S49/_Gewicht/1440,1)&amp;" mg/kg/min"</f>
        <v>0 mg/kg/min</v>
      </c>
      <c r="E6" s="759" t="str">
        <f>ROUND(1000*NeoBer1700!S47/_Gewicht/1440,1)&amp;" mg/kg/min"</f>
        <v>0 mg/kg/min</v>
      </c>
      <c r="G6" s="758" t="s">
        <v>643</v>
      </c>
      <c r="H6" s="759" t="str">
        <f ca="1">ROUND(NeoBer1700!P50/_Gewicht,1)&amp;" mmol/kg"</f>
        <v>0 mmol/kg</v>
      </c>
      <c r="I6" s="759" t="str">
        <f>ROUND(NeoBer1700!P49/_Gewicht,1)&amp;" mmol/kg"</f>
        <v>0 mmol/kg</v>
      </c>
      <c r="J6" s="759" t="str">
        <f ca="1">ROUND(NeoBer1700!P47/_Gewicht,1)&amp;" mmol/kg"</f>
        <v>0 mmol/kg</v>
      </c>
    </row>
    <row r="7" spans="1:15" ht="15.95" customHeight="1" x14ac:dyDescent="0.4">
      <c r="B7" s="758" t="s">
        <v>1037</v>
      </c>
      <c r="C7" s="759" t="str">
        <f ca="1">ROUND(NeoBer1700!U50/_Gewicht,1)&amp; " kcal/kg"</f>
        <v>0 kcal/kg</v>
      </c>
      <c r="D7" s="759" t="str">
        <f>ROUND(NeoBer1700!U49/_Gewicht,1)&amp; " kcal/kg"</f>
        <v>0 kcal/kg</v>
      </c>
      <c r="E7" s="759" t="str">
        <f ca="1">ROUND(NeoBer1700!U47/_Gewicht,1)&amp; " kcal/kg"</f>
        <v>0 kcal/kg</v>
      </c>
      <c r="G7" s="758" t="s">
        <v>1045</v>
      </c>
      <c r="H7" s="759" t="str">
        <f ca="1">ROUND(NeoBer1700!V50/_Gewicht,1)&amp;" mmol/kg"</f>
        <v>0 mmol/kg</v>
      </c>
      <c r="I7" s="759" t="str">
        <f>ROUND(NeoBer1700!V49/_Gewicht,1)&amp;" mmol/kg"</f>
        <v>0 mmol/kg</v>
      </c>
      <c r="J7" s="759" t="str">
        <f ca="1">ROUND(NeoBer1700!V47/_Gewicht,1)&amp;" mmol/kg"</f>
        <v>0 mmol/kg</v>
      </c>
    </row>
    <row r="8" spans="1:15" ht="15.95" customHeight="1" thickBot="1" x14ac:dyDescent="0.45">
      <c r="A8" s="760"/>
      <c r="B8" s="761" t="s">
        <v>1046</v>
      </c>
      <c r="C8" s="762" t="str">
        <f ca="1">ROUND(NeoBer1700!W50,0)&amp; " IE/ml"</f>
        <v>0 IE/ml</v>
      </c>
      <c r="D8" s="762" t="str">
        <f>ROUND(NeoBer1700!W49,0)&amp; " IE/ml"</f>
        <v>0 IE/ml</v>
      </c>
      <c r="E8" s="762" t="str">
        <f ca="1">ROUND(NeoBer1700!W47,0)&amp; " IE/ml"</f>
        <v>0 IE/ml</v>
      </c>
      <c r="F8" s="760"/>
      <c r="G8" s="761" t="s">
        <v>468</v>
      </c>
      <c r="H8" s="762" t="str">
        <f>ROUND(NeoBer1700!Q50/_Gewicht,1)&amp;" mmol/kg"</f>
        <v>0 mmol/kg</v>
      </c>
      <c r="I8" s="762" t="str">
        <f>ROUND(NeoBer1700!Q49/_Gewicht,1)&amp;" mmol/kg"</f>
        <v>0 mmol/kg</v>
      </c>
      <c r="J8" s="762" t="str">
        <f>ROUND(NeoBer1700!Q47/_Gewicht,1)&amp;"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1047</v>
      </c>
      <c r="C10" s="499"/>
      <c r="D10" s="499"/>
      <c r="E10" s="499"/>
      <c r="F10" s="499"/>
      <c r="G10" s="500" t="s">
        <v>707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1048</v>
      </c>
      <c r="C11" s="499"/>
      <c r="D11" s="499"/>
      <c r="E11" s="499"/>
      <c r="F11" s="499"/>
      <c r="G11" s="500" t="s">
        <v>54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1049</v>
      </c>
      <c r="C12" s="499"/>
      <c r="D12" s="499"/>
      <c r="E12" s="499"/>
      <c r="F12" s="499"/>
      <c r="G12" s="500" t="s">
        <v>1050</v>
      </c>
      <c r="H12" s="499"/>
      <c r="I12" s="503">
        <f>NeoBer1700!B3-NeoBer1700!C3</f>
        <v>42370</v>
      </c>
      <c r="J12" s="504" t="str">
        <f ca="1">"=dag "&amp;NeoBer1700!B6</f>
        <v>=dag 359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1007</v>
      </c>
      <c r="H13" s="505">
        <f>NeoBerIV!D4</f>
        <v>30</v>
      </c>
      <c r="I13" s="506" t="s">
        <v>1051</v>
      </c>
      <c r="J13" s="505">
        <f>NeoBerIV!D5</f>
        <v>0</v>
      </c>
      <c r="K13" s="506" t="s">
        <v>1052</v>
      </c>
      <c r="L13" s="506"/>
      <c r="M13" s="499"/>
    </row>
    <row r="14" spans="1:15" ht="15.95" customHeight="1" x14ac:dyDescent="0.4">
      <c r="B14" s="500" t="s">
        <v>623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1002</v>
      </c>
      <c r="C15" s="508">
        <f>BedNummer</f>
        <v>0</v>
      </c>
      <c r="D15" s="509"/>
      <c r="E15" s="499"/>
      <c r="F15" s="499"/>
      <c r="G15" s="500" t="s">
        <v>573</v>
      </c>
      <c r="H15" s="510" t="str">
        <f ca="1">TRUNC((H13*7+J13+NeoBer1700!B6-1)/7)&amp;" weken en "&amp; H13*7+J13+NeoBer1700!B6-1-TRUNC((H13*7+J13+NeoBer1700!B6-1)/7)*7&amp;" dag(-en)"</f>
        <v>81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1021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1053</v>
      </c>
      <c r="L17" s="772"/>
    </row>
    <row r="18" spans="1:15" ht="15.95" customHeight="1" x14ac:dyDescent="0.4">
      <c r="B18" s="758" t="s">
        <v>1054</v>
      </c>
      <c r="E18" s="773">
        <f ca="1">IF(NeoBer1700!B17,NeoBer1700!C16,ROUND(NeoBer1700!L47/_Gewicht,1))</f>
        <v>0</v>
      </c>
      <c r="F18" s="774" t="s">
        <v>1055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1056</v>
      </c>
      <c r="F19" s="774"/>
      <c r="K19" s="777"/>
      <c r="L19" s="777"/>
      <c r="M19" s="766"/>
    </row>
    <row r="21" spans="1:15" ht="15.95" customHeight="1" x14ac:dyDescent="0.4">
      <c r="D21" s="778" t="s">
        <v>1057</v>
      </c>
      <c r="E21" s="768" t="str">
        <f>IF(_Voeding1700&gt;1,NeoBer1700!D10,"")</f>
        <v/>
      </c>
      <c r="F21" s="768" t="s">
        <v>1058</v>
      </c>
      <c r="G21" s="769" t="str">
        <f>IF(_Voeding1700&gt;1,NeoBer1700!D11/10&amp;" ml","")</f>
        <v/>
      </c>
      <c r="H21" s="779" t="s">
        <v>1059</v>
      </c>
    </row>
    <row r="22" spans="1:15" ht="15.95" customHeight="1" x14ac:dyDescent="0.4">
      <c r="D22" s="778" t="s">
        <v>1060</v>
      </c>
      <c r="E22" s="768" t="str">
        <f>IF(_Voeding1700&gt;1,NeoBer1700!D12,"")</f>
        <v/>
      </c>
      <c r="F22" s="768" t="s">
        <v>1058</v>
      </c>
      <c r="G22" s="769" t="str">
        <f>IF(_Voeding1700&gt;1,NeoBer1700!D13/10&amp;" ml","")</f>
        <v/>
      </c>
      <c r="I22" s="778" t="s">
        <v>1657</v>
      </c>
      <c r="M22" s="778" t="s">
        <v>1658</v>
      </c>
    </row>
    <row r="23" spans="1:15" ht="15.95" customHeight="1" x14ac:dyDescent="0.4">
      <c r="H23" s="778"/>
      <c r="I23" s="780" t="s">
        <v>1675</v>
      </c>
      <c r="K23" s="776" t="e">
        <f>INDEX(_VoedingBMFWaarden,NeoBer1700!L52)&amp;" %"</f>
        <v>#VALUE!</v>
      </c>
    </row>
    <row r="24" spans="1:15" ht="15.95" customHeight="1" x14ac:dyDescent="0.4">
      <c r="H24" s="778"/>
      <c r="K24" s="776" t="e">
        <f>INDEX(_VoedingToevoegingenWaarden,NeoBer1700!L53)&amp;" %"</f>
        <v>#VALUE!</v>
      </c>
      <c r="O24" s="776" t="e">
        <f>INDEX(_VoedingToevoegingenWaarden,NeoBer1700!L58)&amp;" %"</f>
        <v>#VALUE!</v>
      </c>
    </row>
    <row r="25" spans="1:15" ht="15.95" customHeight="1" x14ac:dyDescent="0.4">
      <c r="H25" s="778"/>
      <c r="K25" s="776" t="e">
        <f>INDEX(_VoedingToevoegingenWaarden,NeoBer1700!L54)&amp;" %"</f>
        <v>#VALUE!</v>
      </c>
      <c r="O25" s="776" t="e">
        <f>INDEX(_VoedingToevoegingenWaarden,NeoBer1700!L59)&amp;" %"</f>
        <v>#VALUE!</v>
      </c>
    </row>
    <row r="26" spans="1:15" ht="15.95" customHeight="1" x14ac:dyDescent="0.4">
      <c r="H26" s="778"/>
      <c r="K26" s="776" t="e">
        <f>INDEX(_VoedingToevoegingenWaarden,NeoBer1700!L55)&amp;" %"</f>
        <v>#VALUE!</v>
      </c>
      <c r="O26" s="776" t="e">
        <f>INDEX(_VoedingToevoegingenWaarden,NeoBer1700!L60)&amp;"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INDEX(_VoedingToevoegingenWaarden,NeoBer1700!L56)&amp;" %"</f>
        <v>#VALUE!</v>
      </c>
      <c r="L27" s="781"/>
      <c r="M27" s="781"/>
      <c r="N27" s="781"/>
      <c r="O27" s="776" t="e">
        <f>INDEX(_VoedingToevoegingenWaarden,NeoBer1700!L61)&amp;" %"</f>
        <v>#VALUE!</v>
      </c>
    </row>
    <row r="28" spans="1:15" ht="15.95" customHeight="1" x14ac:dyDescent="0.4">
      <c r="B28" s="758" t="s">
        <v>1061</v>
      </c>
      <c r="E28" s="773">
        <f ca="1">IF(NeoBer1700!B17,NeoBer1700!C17,NeoBer1700!L50)</f>
        <v>0</v>
      </c>
      <c r="F28" s="774" t="s">
        <v>1062</v>
      </c>
    </row>
    <row r="29" spans="1:15" ht="15.95" customHeight="1" x14ac:dyDescent="0.35">
      <c r="H29" s="772" t="s">
        <v>1063</v>
      </c>
      <c r="I29" s="772"/>
      <c r="J29" s="783" t="s">
        <v>1011</v>
      </c>
      <c r="K29" s="772" t="s">
        <v>1064</v>
      </c>
      <c r="L29" s="772"/>
      <c r="N29" s="772" t="s">
        <v>1065</v>
      </c>
    </row>
    <row r="30" spans="1:15" ht="15.95" customHeight="1" x14ac:dyDescent="0.4">
      <c r="A30" s="784"/>
      <c r="B30" s="764" t="s">
        <v>1452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IF(AND(NeoBer1700!I20&gt;0),ROUND(NeoBer1700!I20,2),"")</f>
        <v/>
      </c>
      <c r="I32" s="788" t="str">
        <f>IF(_Medicament1700_1&gt;1,INDEX(Medicamenten,NeoBer1700!B20,6),"")</f>
        <v/>
      </c>
      <c r="J32" s="776"/>
      <c r="K32" s="775">
        <f>INDEX(Medicamenten,NeoBer1700!B20,2)</f>
        <v>0</v>
      </c>
      <c r="L32" s="775"/>
      <c r="M32" s="790"/>
      <c r="N32" s="791" t="str">
        <f>IF(NeoBer1700!I20&gt;0,IF(NeoBer1700!Y20*10&gt;1,NeoBer1700!X20&amp;" uren",NeoBer1700!X20&amp;"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IF(AND(NeoBer1700!I21&gt;0),ROUND(NeoBer1700!I21,2),"")</f>
        <v/>
      </c>
      <c r="I33" s="788" t="str">
        <f>IF(_Medicament1700_2&gt;1,INDEX(Medicamenten,NeoBer1700!B21,6),"")</f>
        <v/>
      </c>
      <c r="J33" s="795"/>
      <c r="K33" s="796">
        <f>INDEX(Medicamenten,NeoBer1700!B21,2)</f>
        <v>0</v>
      </c>
      <c r="L33" s="796"/>
      <c r="M33" s="797"/>
      <c r="N33" s="798" t="str">
        <f>IF(NeoBer1700!I21&gt;0,IF(NeoBer1700!Y21*10&gt;1,NeoBer1700!X21&amp;" uren",NeoBer1700!X21&amp;"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IF(AND(NeoBer1700!I22&gt;0),ROUND(NeoBer1700!I22,2),"")</f>
        <v/>
      </c>
      <c r="I34" s="788" t="str">
        <f>IF(_Medicament1700_3&gt;1,INDEX(Medicamenten,NeoBer1700!B22,6),"")</f>
        <v/>
      </c>
      <c r="J34" s="795"/>
      <c r="K34" s="796">
        <f>INDEX(Medicamenten,NeoBer1700!B22,2)</f>
        <v>0</v>
      </c>
      <c r="L34" s="796"/>
      <c r="M34" s="797"/>
      <c r="N34" s="798" t="str">
        <f>IF(NeoBer1700!I22&gt;0,IF(NeoBer1700!Y22*10&gt;1,NeoBer1700!X22&amp;" uren",NeoBer1700!X22&amp;"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IF(AND(NeoBer1700!I23&gt;0),ROUND(NeoBer1700!I23,2),"")</f>
        <v/>
      </c>
      <c r="I35" s="788" t="str">
        <f>IF(_Medicament1700_4&gt;1,INDEX(Medicamenten,NeoBer1700!B23,6),"")</f>
        <v/>
      </c>
      <c r="J35" s="795"/>
      <c r="K35" s="796">
        <f>INDEX(Medicamenten,NeoBer1700!B23,2)</f>
        <v>0</v>
      </c>
      <c r="L35" s="796"/>
      <c r="M35" s="797"/>
      <c r="N35" s="798" t="str">
        <f>IF(NeoBer1700!I23&gt;0,IF(NeoBer1700!Y23*10&gt;1,NeoBer1700!X23&amp;" uren",NeoBer1700!X23&amp;"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IF(AND(NeoBer1700!I24&gt;0),ROUND(NeoBer1700!I24,2),"")</f>
        <v/>
      </c>
      <c r="I36" s="788" t="str">
        <f>IF(_Medicament1700_5&gt;1,INDEX(Medicamenten,NeoBer1700!B24,6),"")</f>
        <v/>
      </c>
      <c r="J36" s="795"/>
      <c r="K36" s="796">
        <f>INDEX(Medicamenten,NeoBer1700!B24,2)</f>
        <v>0</v>
      </c>
      <c r="L36" s="796"/>
      <c r="M36" s="797"/>
      <c r="N36" s="798" t="str">
        <f>IF(NeoBer1700!I24&gt;0,IF(NeoBer1700!Y24*10&gt;1,NeoBer1700!X24&amp;" uren",NeoBer1700!X24&amp;"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IF(AND(NeoBer1700!I25&gt;0),ROUND(NeoBer1700!I25,2),"")</f>
        <v/>
      </c>
      <c r="I37" s="788" t="str">
        <f>IF(_Medicament1700_6&gt;1,INDEX(Medicamenten,NeoBer1700!B25,6),"")</f>
        <v/>
      </c>
      <c r="J37" s="795"/>
      <c r="K37" s="796">
        <f>INDEX(Medicamenten,NeoBer1700!B25,2)</f>
        <v>0</v>
      </c>
      <c r="L37" s="796"/>
      <c r="M37" s="797"/>
      <c r="N37" s="798" t="str">
        <f>IF(NeoBer1700!I25&gt;0,IF(NeoBer1700!Y25*10&gt;1,NeoBer1700!X25&amp;" uren",NeoBer1700!X25&amp;"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IF(AND(NeoBer1700!I26&gt;0),ROUND(NeoBer1700!I26,2),"")</f>
        <v/>
      </c>
      <c r="I38" s="788" t="str">
        <f>IF(_Medicament1700_7&gt;1,INDEX(Medicamenten,NeoBer1700!B26,6),"")</f>
        <v/>
      </c>
      <c r="J38" s="795"/>
      <c r="K38" s="796">
        <f>INDEX(Medicamenten,NeoBer1700!B26,2)</f>
        <v>0</v>
      </c>
      <c r="L38" s="796"/>
      <c r="M38" s="797"/>
      <c r="N38" s="798" t="str">
        <f>IF(NeoBer1700!I26&gt;0,IF(NeoBer1700!Y26*10&gt;1,NeoBer1700!X26&amp;" uren",NeoBer1700!X26&amp;"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IF(AND(NeoBer1700!I27&gt;0),ROUND(NeoBer1700!I27,2),"")</f>
        <v/>
      </c>
      <c r="I39" s="788" t="str">
        <f>IF(_Medicament1700_8&gt;1,INDEX(Medicamenten,NeoBer1700!B27,6),"")</f>
        <v/>
      </c>
      <c r="J39" s="795"/>
      <c r="K39" s="796">
        <f>INDEX(Medicamenten,NeoBer1700!B27,2)</f>
        <v>0</v>
      </c>
      <c r="L39" s="796"/>
      <c r="M39" s="797"/>
      <c r="N39" s="798" t="str">
        <f>IF(NeoBer1700!I27&gt;0,IF(NeoBer1700!Y27*10&gt;1,NeoBer1700!X27&amp;" uren",NeoBer1700!X27&amp;"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IF(AND(NeoBer1700!I28&gt;0),ROUND(NeoBer1700!I28,2),"")</f>
        <v/>
      </c>
      <c r="I40" s="788" t="str">
        <f>IF(_Medicament1700_9&gt;1,INDEX(Medicamenten,NeoBer1700!B28,6),"")</f>
        <v/>
      </c>
      <c r="J40" s="776"/>
      <c r="K40" s="796">
        <f>INDEX(Medicamenten,NeoBer1700!B28,2)</f>
        <v>0</v>
      </c>
      <c r="L40" s="796"/>
      <c r="M40" s="797"/>
      <c r="N40" s="798" t="str">
        <f>IF(NeoBer1700!I28&gt;0,IF(NeoBer1700!Y28*10&gt;1,NeoBer1700!X28&amp;" uren",NeoBer1700!X28&amp;"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1066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IF(NeoBer1700!I32&gt;0,"= "&amp;ROUND(NeoBer1700!I32,2),"")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1067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IF(NeoBer1700!I33&gt;0,"= "&amp;ROUND(NeoBer1700!I33,2),"")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1068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IF(NeoBer1700!I34&gt;0,"= "&amp;ROUND(NeoBer1700!I34,2),"")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IF(_MedTekst1700_1="","",_MedTekst1700_1)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IF(_MedTekst1700_2="","",_MedTekst1700_2)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1053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1070</v>
      </c>
    </row>
    <row r="52" spans="2:13" ht="15.75" customHeight="1" x14ac:dyDescent="0.4">
      <c r="B52" s="811" t="s">
        <v>688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1071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1072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1073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435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1028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1029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686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IF(NeoBer1700!D36=1,NeoBer1700!L45,"")</f>
        <v>0</v>
      </c>
      <c r="F60" s="795" t="str">
        <f>IF(E60&lt;&gt;"","ml","")</f>
        <v>ml</v>
      </c>
      <c r="G60" s="814" t="str">
        <f>IF(NeoBer1700!D36=2,NeoBer1700!L45,"")</f>
        <v/>
      </c>
      <c r="H60" s="795" t="str">
        <f>IF(G60&lt;&gt;"","ml","")</f>
        <v/>
      </c>
      <c r="I60" s="814" t="str">
        <f>IF(NeoBer1700!D36=3,NeoBer1700!L45,"")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IF(NeoBer1700!B20&gt;1,IF(AND(H32&lt;&gt;"""",H32&gt;=INDEX(Medicamenten,NeoBer1700!B20,9)),TRUE,FALSE),FALSE)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IF(AND(C32&lt;&gt;0,G32&lt;&gt;""),IF(AND(H32&gt;=INDEX(Medicamenten,NeoBer1700!$B20,7),H32&lt;=INDEX(Medicamenten,NeoBer1700!$B20,8)),TRUE,FALSE),TRUE)=FALSE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Y116"/>
  <sheetViews>
    <sheetView workbookViewId="0">
      <pane xSplit="1" ySplit="1" topLeftCell="B8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9.1328125" style="660"/>
    <col min="8" max="8" width="10.73046875" style="660" bestFit="1" customWidth="1"/>
    <col min="9" max="9" width="12.3984375" style="660" bestFit="1" customWidth="1"/>
    <col min="10" max="12" width="9.1328125" style="660"/>
    <col min="13" max="13" width="13.265625" style="660" bestFit="1" customWidth="1"/>
    <col min="14" max="16384" width="9.1328125" style="660"/>
  </cols>
  <sheetData>
    <row r="1" spans="1:25" x14ac:dyDescent="0.35">
      <c r="A1" s="576" t="s">
        <v>54</v>
      </c>
      <c r="E1" s="660" t="s">
        <v>397</v>
      </c>
      <c r="K1" s="660" t="s">
        <v>1011</v>
      </c>
      <c r="L1" s="660" t="s">
        <v>631</v>
      </c>
      <c r="M1" s="660" t="s">
        <v>472</v>
      </c>
      <c r="N1" s="660" t="s">
        <v>473</v>
      </c>
      <c r="O1" s="660" t="s">
        <v>474</v>
      </c>
      <c r="P1" s="660" t="s">
        <v>475</v>
      </c>
      <c r="Q1" s="660" t="s">
        <v>1034</v>
      </c>
      <c r="R1" s="660" t="s">
        <v>470</v>
      </c>
      <c r="S1" s="660" t="s">
        <v>1035</v>
      </c>
      <c r="T1" s="660" t="s">
        <v>1036</v>
      </c>
      <c r="U1" s="660" t="s">
        <v>1037</v>
      </c>
      <c r="V1" s="660" t="s">
        <v>1088</v>
      </c>
      <c r="W1" s="660" t="s">
        <v>1046</v>
      </c>
      <c r="X1" s="660" t="s">
        <v>1065</v>
      </c>
      <c r="Y1" s="660" t="s">
        <v>1233</v>
      </c>
    </row>
    <row r="2" spans="1:25" x14ac:dyDescent="0.35">
      <c r="A2" s="660" t="s">
        <v>1001</v>
      </c>
      <c r="B2" s="660">
        <v>0</v>
      </c>
    </row>
    <row r="3" spans="1:25" x14ac:dyDescent="0.35">
      <c r="A3" s="660" t="s">
        <v>1050</v>
      </c>
      <c r="B3" s="497">
        <f>__4_GebDatum</f>
        <v>42370</v>
      </c>
      <c r="C3" s="492">
        <v>0</v>
      </c>
      <c r="E3" s="660" t="s">
        <v>1234</v>
      </c>
    </row>
    <row r="4" spans="1:25" x14ac:dyDescent="0.35">
      <c r="A4" s="660" t="s">
        <v>1021</v>
      </c>
      <c r="B4" s="515">
        <f>_Gewicht</f>
        <v>10</v>
      </c>
      <c r="C4" s="288" t="s">
        <v>1235</v>
      </c>
      <c r="D4" s="496">
        <v>30</v>
      </c>
    </row>
    <row r="5" spans="1:25" x14ac:dyDescent="0.35">
      <c r="A5" s="660" t="s">
        <v>623</v>
      </c>
      <c r="B5" s="497">
        <f>OpnDatum</f>
        <v>42370</v>
      </c>
      <c r="C5" s="288" t="s">
        <v>1236</v>
      </c>
      <c r="D5" s="496">
        <v>0</v>
      </c>
    </row>
    <row r="6" spans="1:25" x14ac:dyDescent="0.35">
      <c r="A6" s="576" t="s">
        <v>1237</v>
      </c>
      <c r="B6" s="492">
        <f ca="1">TODAY()-B3+1+C3</f>
        <v>359</v>
      </c>
      <c r="C6" s="660">
        <f ca="1">IF(B6&lt;7,B6,6)</f>
        <v>6</v>
      </c>
    </row>
    <row r="7" spans="1:25" x14ac:dyDescent="0.35">
      <c r="A7" s="660" t="s">
        <v>397</v>
      </c>
    </row>
    <row r="8" spans="1:25" x14ac:dyDescent="0.35">
      <c r="A8" s="660" t="s">
        <v>1054</v>
      </c>
    </row>
    <row r="9" spans="1:25" x14ac:dyDescent="0.35">
      <c r="A9" s="660" t="s">
        <v>1238</v>
      </c>
    </row>
    <row r="10" spans="1:25" x14ac:dyDescent="0.35">
      <c r="A10" s="660" t="s">
        <v>602</v>
      </c>
      <c r="D10" s="660">
        <v>0</v>
      </c>
    </row>
    <row r="11" spans="1:25" x14ac:dyDescent="0.35">
      <c r="A11" s="660" t="s">
        <v>1057</v>
      </c>
      <c r="D11" s="660">
        <v>0</v>
      </c>
      <c r="M11" s="660">
        <v>2</v>
      </c>
      <c r="N11" s="660">
        <v>3</v>
      </c>
      <c r="O11" s="660">
        <v>4</v>
      </c>
      <c r="P11" s="660">
        <v>5</v>
      </c>
      <c r="Q11" s="660">
        <v>6</v>
      </c>
      <c r="R11" s="660">
        <v>7</v>
      </c>
      <c r="S11" s="660">
        <v>8</v>
      </c>
      <c r="T11" s="660">
        <v>9</v>
      </c>
      <c r="U11" s="660">
        <v>10</v>
      </c>
      <c r="V11" s="660">
        <v>11</v>
      </c>
      <c r="W11" s="660">
        <v>12</v>
      </c>
    </row>
    <row r="12" spans="1:25" x14ac:dyDescent="0.35">
      <c r="A12" s="660" t="s">
        <v>602</v>
      </c>
      <c r="D12" s="660">
        <v>0</v>
      </c>
    </row>
    <row r="13" spans="1:25" x14ac:dyDescent="0.35">
      <c r="A13" s="660" t="s">
        <v>1057</v>
      </c>
      <c r="D13" s="660">
        <v>0</v>
      </c>
    </row>
    <row r="14" spans="1:25" x14ac:dyDescent="0.35">
      <c r="A14" s="660" t="s">
        <v>582</v>
      </c>
      <c r="D14" s="660">
        <v>1</v>
      </c>
      <c r="K14" s="660">
        <v>1</v>
      </c>
      <c r="L14" s="660">
        <f>IF(AND(_Extra=2,_Voeding&gt;1),(D10*D11+D12*D13)/10,0)</f>
        <v>0</v>
      </c>
      <c r="M14" s="660">
        <f>INDEX(Pos,$D$14,M11)*$L$14</f>
        <v>0</v>
      </c>
      <c r="N14" s="660">
        <f t="shared" ref="N14:W14" si="0">INDEX(Pos,$D$14,N11)*$L$14</f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>INDEX(Pos,$D$14,R11)*$L$14</f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  <c r="W14" s="660">
        <f t="shared" si="0"/>
        <v>0</v>
      </c>
    </row>
    <row r="15" spans="1:25" x14ac:dyDescent="0.35">
      <c r="A15" s="660" t="s">
        <v>1056</v>
      </c>
      <c r="B15" s="660">
        <v>2</v>
      </c>
    </row>
    <row r="16" spans="1:25" x14ac:dyDescent="0.35">
      <c r="A16" s="660" t="s">
        <v>1239</v>
      </c>
      <c r="B16" s="660">
        <f ca="1">IF(AND(D4&lt;37,_Gewicht&gt;=1),INDEX(NeoBerAdvies!B4:G4,1,NeoBer1700!C6),IF(_Gewicht&lt;1,INDEX(NeoBerAdvies!B5:G5,1,NeoBer1700!C6),INDEX(NeoBerAdvies!B6:G6,1,NeoBer1700!C6)))+IF(B15=1,20,0)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5" x14ac:dyDescent="0.35">
      <c r="A17" s="660" t="s">
        <v>1240</v>
      </c>
      <c r="B17" s="660" t="b">
        <v>0</v>
      </c>
      <c r="C17" s="660">
        <f ca="1">ROUND(C16*_Gewicht-L14,0)</f>
        <v>1500</v>
      </c>
    </row>
    <row r="18" spans="1:25" x14ac:dyDescent="0.35">
      <c r="A18" s="660" t="s">
        <v>1452</v>
      </c>
      <c r="B18" s="660">
        <v>0</v>
      </c>
      <c r="K18" s="660" t="b">
        <v>0</v>
      </c>
      <c r="L18" s="660">
        <f>IF(K18,0,B18*2.4)</f>
        <v>0</v>
      </c>
      <c r="M18" s="660">
        <f>0.155*L18/2</f>
        <v>0</v>
      </c>
    </row>
    <row r="19" spans="1:25" x14ac:dyDescent="0.35">
      <c r="B19" s="660" t="s">
        <v>1085</v>
      </c>
      <c r="C19" s="660" t="s">
        <v>1241</v>
      </c>
      <c r="D19" s="660" t="s">
        <v>1242</v>
      </c>
      <c r="E19" s="660" t="s">
        <v>329</v>
      </c>
      <c r="F19" s="660" t="s">
        <v>96</v>
      </c>
      <c r="G19" s="660" t="s">
        <v>685</v>
      </c>
      <c r="H19" s="660" t="s">
        <v>1243</v>
      </c>
      <c r="I19" s="660" t="s">
        <v>1244</v>
      </c>
      <c r="J19" s="660" t="s">
        <v>1087</v>
      </c>
    </row>
    <row r="20" spans="1:25" x14ac:dyDescent="0.35">
      <c r="A20" s="660" t="s">
        <v>1245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v>1</v>
      </c>
      <c r="H20" s="660">
        <f>IF(INDEX(Medicamenten,NeoBer1700!B20,5)=0,1,INDEX(Medicamenten,NeoBer1700!B20,5))</f>
        <v>1</v>
      </c>
      <c r="I20" s="660">
        <f>IF(D20&gt;0,(F20*IF(Y20*10&gt;=24,2.4,2.4)*((C20/10)/D20))/($B$4)/J20,0)</f>
        <v>0</v>
      </c>
      <c r="J20" s="660">
        <f>IF(NeoBer1700!H20&gt;1,INDEX(FaktorLijst,NeoBer1700!H20),1)</f>
        <v>1</v>
      </c>
      <c r="K20" s="660">
        <v>0</v>
      </c>
      <c r="L20" s="660">
        <f>IF(K20,0,F20*2.4)</f>
        <v>0</v>
      </c>
      <c r="M20" s="660">
        <f>IF($E20&gt;1,INDEX(Opl,$E20,3),0)*$L20</f>
        <v>0</v>
      </c>
      <c r="N20" s="660">
        <f>IF($E20&gt;1,INDEX(Opl,$E20,4),0)*$L20</f>
        <v>0</v>
      </c>
      <c r="O20" s="660">
        <f>IF($E20&gt;1,INDEX(Opl,$E20,6),0)*$L20</f>
        <v>0</v>
      </c>
      <c r="P20" s="660">
        <f>IF($E20&gt;1,INDEX(Opl,$E20,7),0)*$L20</f>
        <v>0</v>
      </c>
      <c r="Q20" s="660">
        <f>IF($E20&gt;1,INDEX(Opl,$E20,8),0)*$L20</f>
        <v>0</v>
      </c>
      <c r="R20" s="660">
        <f>IF($E20&gt;1,INDEX(Opl,$E20,5),0)*$L20</f>
        <v>0</v>
      </c>
      <c r="S20" s="660">
        <f>IF($E20&gt;1,INDEX(Opl,$E20,2),0)*$L20</f>
        <v>0</v>
      </c>
      <c r="X20" s="660">
        <f>ROUND(IF(Y20*10&gt;1,Y20*10,Y20*600),0)</f>
        <v>0</v>
      </c>
      <c r="Y20" s="660">
        <f>IF(F20&gt;0,D20/F20,0)</f>
        <v>0</v>
      </c>
    </row>
    <row r="21" spans="1:25" x14ac:dyDescent="0.35">
      <c r="A21" s="660" t="s">
        <v>1246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660">
        <v>1</v>
      </c>
      <c r="H21" s="821">
        <f>IF(INDEX(Medicamenten,NeoBer1700!B21,5)=0,1,INDEX(Medicamenten,NeoBer1700!B21,5))</f>
        <v>1</v>
      </c>
      <c r="I21" s="821">
        <f t="shared" ref="I21:I28" si="1">IF(D21&gt;0,(F21*IF(Y21*10&gt;=24,2.4,2.4)*((C21/10)/D21))/($B$4)/J21,0)</f>
        <v>0</v>
      </c>
      <c r="J21" s="821">
        <f>IF(NeoBer1700!H21&gt;1,INDEX(FaktorLijst,NeoBer1700!H21),1)</f>
        <v>1</v>
      </c>
      <c r="K21" s="660">
        <v>0</v>
      </c>
      <c r="L21" s="660">
        <f t="shared" ref="L21:L28" si="2">IF(K21,0,F21*2.4)</f>
        <v>0</v>
      </c>
      <c r="M21" s="660">
        <f t="shared" ref="M21:M31" si="3">IF($E21&gt;1,INDEX(Opl,$E21,3),0)*$L21</f>
        <v>0</v>
      </c>
      <c r="N21" s="660">
        <f t="shared" ref="N21:N31" si="4">IF($E21&gt;1,INDEX(Opl,$E21,4),0)*$L21</f>
        <v>0</v>
      </c>
      <c r="O21" s="660">
        <f t="shared" ref="O21:O31" si="5">IF($E21&gt;1,INDEX(Opl,$E21,6),0)*$L21</f>
        <v>0</v>
      </c>
      <c r="P21" s="660">
        <f t="shared" ref="P21:P31" si="6">IF($E21&gt;1,INDEX(Opl,$E21,7),0)*$L21</f>
        <v>0</v>
      </c>
      <c r="Q21" s="660">
        <f t="shared" ref="Q21:Q31" si="7">IF($E21&gt;1,INDEX(Opl,$E21,8),0)*$L21</f>
        <v>0</v>
      </c>
      <c r="R21" s="660">
        <f t="shared" ref="R21:R27" si="8">IF($E21&gt;1,INDEX(Opl,$E21,5),0)*$L21</f>
        <v>0</v>
      </c>
      <c r="S21" s="660">
        <f t="shared" ref="S21:S31" si="9">IF($E21&gt;1,INDEX(Opl,$E21,2),0)*$L21</f>
        <v>0</v>
      </c>
      <c r="X21" s="660">
        <f t="shared" ref="X21:X28" si="10">ROUND(IF(Y21*10&gt;1,Y21*10,Y21*600),0)</f>
        <v>0</v>
      </c>
      <c r="Y21" s="660">
        <f t="shared" ref="Y21:Y28" si="11">IF(F21&gt;0,D21/F21,0)</f>
        <v>0</v>
      </c>
    </row>
    <row r="22" spans="1:25" x14ac:dyDescent="0.35">
      <c r="A22" s="660" t="s">
        <v>1247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660">
        <v>1</v>
      </c>
      <c r="H22" s="821">
        <f>IF(INDEX(Medicamenten,NeoBer1700!B22,5)=0,1,INDEX(Medicamenten,NeoBer1700!B22,5))</f>
        <v>1</v>
      </c>
      <c r="I22" s="821">
        <f t="shared" si="1"/>
        <v>0</v>
      </c>
      <c r="J22" s="821">
        <f>IF(NeoBer1700!H22&gt;1,INDEX(FaktorLijst,NeoBer1700!H22),1)</f>
        <v>1</v>
      </c>
      <c r="K22" s="660">
        <v>0</v>
      </c>
      <c r="L22" s="660">
        <f t="shared" si="2"/>
        <v>0</v>
      </c>
      <c r="M22" s="660">
        <f t="shared" si="3"/>
        <v>0</v>
      </c>
      <c r="N22" s="660">
        <f t="shared" si="4"/>
        <v>0</v>
      </c>
      <c r="O22" s="660">
        <f t="shared" si="5"/>
        <v>0</v>
      </c>
      <c r="P22" s="660">
        <f t="shared" si="6"/>
        <v>0</v>
      </c>
      <c r="Q22" s="660">
        <f t="shared" si="7"/>
        <v>0</v>
      </c>
      <c r="R22" s="660">
        <f t="shared" si="8"/>
        <v>0</v>
      </c>
      <c r="S22" s="660">
        <f t="shared" si="9"/>
        <v>0</v>
      </c>
      <c r="X22" s="660">
        <f t="shared" si="10"/>
        <v>0</v>
      </c>
      <c r="Y22" s="660">
        <f t="shared" si="11"/>
        <v>0</v>
      </c>
    </row>
    <row r="23" spans="1:25" x14ac:dyDescent="0.35">
      <c r="A23" s="660" t="s">
        <v>1248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660">
        <v>1</v>
      </c>
      <c r="H23" s="821">
        <f>IF(INDEX(Medicamenten,NeoBer1700!B23,5)=0,1,INDEX(Medicamenten,NeoBer1700!B23,5))</f>
        <v>1</v>
      </c>
      <c r="I23" s="821">
        <f t="shared" si="1"/>
        <v>0</v>
      </c>
      <c r="J23" s="821">
        <f>IF(NeoBer1700!H23&gt;1,INDEX(FaktorLijst,NeoBer1700!H23),1)</f>
        <v>1</v>
      </c>
      <c r="K23" s="660">
        <v>0</v>
      </c>
      <c r="L23" s="660">
        <f t="shared" si="2"/>
        <v>0</v>
      </c>
      <c r="M23" s="660">
        <f t="shared" si="3"/>
        <v>0</v>
      </c>
      <c r="N23" s="660">
        <f t="shared" si="4"/>
        <v>0</v>
      </c>
      <c r="O23" s="660">
        <f t="shared" si="5"/>
        <v>0</v>
      </c>
      <c r="P23" s="660">
        <f t="shared" si="6"/>
        <v>0</v>
      </c>
      <c r="Q23" s="660">
        <f t="shared" si="7"/>
        <v>0</v>
      </c>
      <c r="R23" s="660">
        <f t="shared" si="8"/>
        <v>0</v>
      </c>
      <c r="S23" s="660">
        <f t="shared" si="9"/>
        <v>0</v>
      </c>
      <c r="X23" s="660">
        <f t="shared" si="10"/>
        <v>0</v>
      </c>
      <c r="Y23" s="660">
        <f t="shared" si="11"/>
        <v>0</v>
      </c>
    </row>
    <row r="24" spans="1:25" x14ac:dyDescent="0.35">
      <c r="A24" s="660" t="s">
        <v>1249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660">
        <v>1</v>
      </c>
      <c r="H24" s="821">
        <f>IF(INDEX(Medicamenten,NeoBer1700!B24,5)=0,1,INDEX(Medicamenten,NeoBer1700!B24,5))</f>
        <v>1</v>
      </c>
      <c r="I24" s="821">
        <f t="shared" si="1"/>
        <v>0</v>
      </c>
      <c r="J24" s="821">
        <f>IF(NeoBer1700!H24&gt;1,INDEX(FaktorLijst,NeoBer1700!H24),1)</f>
        <v>1</v>
      </c>
      <c r="K24" s="660">
        <v>0</v>
      </c>
      <c r="L24" s="660">
        <f t="shared" si="2"/>
        <v>0</v>
      </c>
      <c r="M24" s="660">
        <f t="shared" si="3"/>
        <v>0</v>
      </c>
      <c r="N24" s="660">
        <f t="shared" si="4"/>
        <v>0</v>
      </c>
      <c r="O24" s="660">
        <f t="shared" si="5"/>
        <v>0</v>
      </c>
      <c r="P24" s="660">
        <f t="shared" si="6"/>
        <v>0</v>
      </c>
      <c r="Q24" s="660">
        <f t="shared" si="7"/>
        <v>0</v>
      </c>
      <c r="R24" s="660">
        <f t="shared" si="8"/>
        <v>0</v>
      </c>
      <c r="S24" s="660">
        <f t="shared" si="9"/>
        <v>0</v>
      </c>
      <c r="X24" s="660">
        <f t="shared" si="10"/>
        <v>0</v>
      </c>
      <c r="Y24" s="660">
        <f t="shared" si="11"/>
        <v>0</v>
      </c>
    </row>
    <row r="25" spans="1:25" x14ac:dyDescent="0.35">
      <c r="A25" s="660" t="s">
        <v>1250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660">
        <v>1</v>
      </c>
      <c r="H25" s="821">
        <f>IF(INDEX(Medicamenten,NeoBer1700!B25,5)=0,1,INDEX(Medicamenten,NeoBer1700!B25,5))</f>
        <v>1</v>
      </c>
      <c r="I25" s="821">
        <f t="shared" si="1"/>
        <v>0</v>
      </c>
      <c r="J25" s="821">
        <f>IF(NeoBer1700!H25&gt;1,INDEX(FaktorLijst,NeoBer1700!H25),1)</f>
        <v>1</v>
      </c>
      <c r="K25" s="660">
        <v>0</v>
      </c>
      <c r="L25" s="660">
        <f t="shared" si="2"/>
        <v>0</v>
      </c>
      <c r="M25" s="660">
        <f t="shared" si="3"/>
        <v>0</v>
      </c>
      <c r="N25" s="660">
        <f t="shared" si="4"/>
        <v>0</v>
      </c>
      <c r="O25" s="660">
        <f t="shared" si="5"/>
        <v>0</v>
      </c>
      <c r="P25" s="660">
        <f t="shared" si="6"/>
        <v>0</v>
      </c>
      <c r="Q25" s="660">
        <f t="shared" si="7"/>
        <v>0</v>
      </c>
      <c r="R25" s="660">
        <f t="shared" si="8"/>
        <v>0</v>
      </c>
      <c r="S25" s="660">
        <f t="shared" si="9"/>
        <v>0</v>
      </c>
      <c r="X25" s="660">
        <f t="shared" si="10"/>
        <v>0</v>
      </c>
      <c r="Y25" s="660">
        <f t="shared" si="11"/>
        <v>0</v>
      </c>
    </row>
    <row r="26" spans="1:25" x14ac:dyDescent="0.35">
      <c r="A26" s="660" t="s">
        <v>1251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660">
        <v>1</v>
      </c>
      <c r="H26" s="821">
        <f>IF(INDEX(Medicamenten,NeoBer1700!B26,5)=0,1,INDEX(Medicamenten,NeoBer1700!B26,5))</f>
        <v>1</v>
      </c>
      <c r="I26" s="821">
        <f t="shared" si="1"/>
        <v>0</v>
      </c>
      <c r="J26" s="821">
        <f>IF(NeoBer1700!H26&gt;1,INDEX(FaktorLijst,NeoBer1700!H26),1)</f>
        <v>1</v>
      </c>
      <c r="K26" s="660">
        <v>0</v>
      </c>
      <c r="L26" s="660">
        <f t="shared" si="2"/>
        <v>0</v>
      </c>
      <c r="M26" s="660">
        <f t="shared" si="3"/>
        <v>0</v>
      </c>
      <c r="N26" s="660">
        <f t="shared" si="4"/>
        <v>0</v>
      </c>
      <c r="O26" s="660">
        <f t="shared" si="5"/>
        <v>0</v>
      </c>
      <c r="P26" s="660">
        <f t="shared" si="6"/>
        <v>0</v>
      </c>
      <c r="Q26" s="660">
        <f t="shared" si="7"/>
        <v>0</v>
      </c>
      <c r="R26" s="660">
        <f t="shared" si="8"/>
        <v>0</v>
      </c>
      <c r="S26" s="660">
        <f t="shared" si="9"/>
        <v>0</v>
      </c>
      <c r="X26" s="660">
        <f t="shared" si="10"/>
        <v>0</v>
      </c>
      <c r="Y26" s="660">
        <f t="shared" si="11"/>
        <v>0</v>
      </c>
    </row>
    <row r="27" spans="1:25" x14ac:dyDescent="0.35">
      <c r="A27" s="660" t="s">
        <v>1252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660">
        <v>1</v>
      </c>
      <c r="H27" s="821">
        <f>IF(INDEX(Medicamenten,NeoBer1700!B27,5)=0,1,INDEX(Medicamenten,NeoBer1700!B27,5))</f>
        <v>1</v>
      </c>
      <c r="I27" s="821">
        <f t="shared" si="1"/>
        <v>0</v>
      </c>
      <c r="J27" s="821">
        <f>IF(NeoBer1700!H27&gt;1,INDEX(FaktorLijst,NeoBer1700!H27),1)</f>
        <v>1</v>
      </c>
      <c r="K27" s="660">
        <v>0</v>
      </c>
      <c r="L27" s="660">
        <f t="shared" si="2"/>
        <v>0</v>
      </c>
      <c r="M27" s="660">
        <f t="shared" si="3"/>
        <v>0</v>
      </c>
      <c r="N27" s="660">
        <f t="shared" si="4"/>
        <v>0</v>
      </c>
      <c r="O27" s="660">
        <f t="shared" si="5"/>
        <v>0</v>
      </c>
      <c r="P27" s="660">
        <f t="shared" si="6"/>
        <v>0</v>
      </c>
      <c r="Q27" s="660">
        <f t="shared" si="7"/>
        <v>0</v>
      </c>
      <c r="R27" s="660">
        <f t="shared" si="8"/>
        <v>0</v>
      </c>
      <c r="S27" s="660">
        <f t="shared" si="9"/>
        <v>0</v>
      </c>
      <c r="X27" s="660">
        <f t="shared" si="10"/>
        <v>0</v>
      </c>
      <c r="Y27" s="660">
        <f t="shared" si="11"/>
        <v>0</v>
      </c>
    </row>
    <row r="28" spans="1:25" x14ac:dyDescent="0.35">
      <c r="A28" s="660" t="s">
        <v>1253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660">
        <v>1</v>
      </c>
      <c r="H28" s="821">
        <f>IF(INDEX(Medicamenten,NeoBer1700!B28,5)=0,1,INDEX(Medicamenten,NeoBer1700!B28,5))</f>
        <v>1</v>
      </c>
      <c r="I28" s="821">
        <f t="shared" si="1"/>
        <v>0</v>
      </c>
      <c r="J28" s="821">
        <f>IF(NeoBer1700!H28&gt;1,INDEX(FaktorLijst,NeoBer1700!H28),1)</f>
        <v>1</v>
      </c>
      <c r="K28" s="660">
        <v>0</v>
      </c>
      <c r="L28" s="660">
        <f t="shared" si="2"/>
        <v>0</v>
      </c>
      <c r="M28" s="660">
        <f t="shared" si="3"/>
        <v>0</v>
      </c>
      <c r="N28" s="660">
        <f t="shared" si="4"/>
        <v>0</v>
      </c>
      <c r="O28" s="660">
        <f t="shared" si="5"/>
        <v>0</v>
      </c>
      <c r="P28" s="660">
        <f t="shared" si="6"/>
        <v>0</v>
      </c>
      <c r="Q28" s="660">
        <f t="shared" si="7"/>
        <v>0</v>
      </c>
      <c r="R28" s="660">
        <f>IF($E28&gt;1,INDEX(Opl,$E28,5),0)*$L28</f>
        <v>0</v>
      </c>
      <c r="S28" s="660">
        <f t="shared" si="9"/>
        <v>0</v>
      </c>
      <c r="X28" s="660">
        <f t="shared" si="10"/>
        <v>0</v>
      </c>
      <c r="Y28" s="660">
        <f t="shared" si="11"/>
        <v>0</v>
      </c>
    </row>
    <row r="29" spans="1:25" x14ac:dyDescent="0.35">
      <c r="A29" s="660" t="s">
        <v>1066</v>
      </c>
      <c r="E29" s="660">
        <v>1</v>
      </c>
      <c r="F29" s="660">
        <v>0</v>
      </c>
      <c r="K29" s="660" t="b">
        <v>0</v>
      </c>
      <c r="L29" s="660">
        <f>IF(K29,0,F29*2.4)</f>
        <v>0</v>
      </c>
      <c r="M29" s="660">
        <f t="shared" si="3"/>
        <v>0</v>
      </c>
      <c r="N29" s="660">
        <f t="shared" si="4"/>
        <v>0</v>
      </c>
      <c r="O29" s="660">
        <f t="shared" si="5"/>
        <v>0</v>
      </c>
      <c r="P29" s="660">
        <f t="shared" si="6"/>
        <v>0</v>
      </c>
      <c r="Q29" s="660">
        <f t="shared" si="7"/>
        <v>0</v>
      </c>
      <c r="R29" s="660">
        <f>IF($E29&gt;1,INDEX(Opl,$E29,5),0)*$L29</f>
        <v>0</v>
      </c>
      <c r="S29" s="660">
        <f t="shared" si="9"/>
        <v>0</v>
      </c>
      <c r="X29" s="660">
        <f>ROUND(IF(Y29*10&gt;1,Y29*10,Y29*600),0)</f>
        <v>0</v>
      </c>
      <c r="Y29" s="660">
        <f>IF(F29&gt;0,D29/F29,0)</f>
        <v>0</v>
      </c>
    </row>
    <row r="30" spans="1:25" x14ac:dyDescent="0.35">
      <c r="A30" s="660" t="s">
        <v>1067</v>
      </c>
      <c r="E30" s="660">
        <v>1</v>
      </c>
      <c r="F30" s="660">
        <v>0</v>
      </c>
      <c r="K30" s="660" t="b">
        <v>0</v>
      </c>
      <c r="L30" s="660">
        <f>IF(K30,0,F30*2.4)</f>
        <v>0</v>
      </c>
      <c r="M30" s="660">
        <f t="shared" si="3"/>
        <v>0</v>
      </c>
      <c r="N30" s="660">
        <f t="shared" si="4"/>
        <v>0</v>
      </c>
      <c r="O30" s="660">
        <f t="shared" si="5"/>
        <v>0</v>
      </c>
      <c r="P30" s="660">
        <f t="shared" si="6"/>
        <v>0</v>
      </c>
      <c r="Q30" s="660">
        <f t="shared" si="7"/>
        <v>0</v>
      </c>
      <c r="R30" s="660">
        <f>IF($E30&gt;1,INDEX(Opl,$E30,5),0)*$L30</f>
        <v>0</v>
      </c>
      <c r="S30" s="660">
        <f t="shared" si="9"/>
        <v>0</v>
      </c>
      <c r="X30" s="660">
        <f>ROUND(IF(Y30*10&gt;1,Y30*10,Y30*600),0)</f>
        <v>0</v>
      </c>
      <c r="Y30" s="660">
        <f>IF(F30&gt;0,D30/F30,0)</f>
        <v>0</v>
      </c>
    </row>
    <row r="31" spans="1:25" x14ac:dyDescent="0.35">
      <c r="A31" s="660" t="s">
        <v>1068</v>
      </c>
      <c r="E31" s="660">
        <v>1</v>
      </c>
      <c r="F31" s="660">
        <v>0</v>
      </c>
      <c r="K31" s="660" t="b">
        <v>0</v>
      </c>
      <c r="L31" s="660">
        <f>IF(K31,0,F31*2.4)</f>
        <v>0</v>
      </c>
      <c r="M31" s="660">
        <f t="shared" si="3"/>
        <v>0</v>
      </c>
      <c r="N31" s="660">
        <f t="shared" si="4"/>
        <v>0</v>
      </c>
      <c r="O31" s="660">
        <f t="shared" si="5"/>
        <v>0</v>
      </c>
      <c r="P31" s="660">
        <f t="shared" si="6"/>
        <v>0</v>
      </c>
      <c r="Q31" s="660">
        <f t="shared" si="7"/>
        <v>0</v>
      </c>
      <c r="R31" s="660">
        <f>IF($E31&gt;1,INDEX(Opl,$E31,5),0)*$L31</f>
        <v>0</v>
      </c>
      <c r="S31" s="660">
        <f t="shared" si="9"/>
        <v>0</v>
      </c>
      <c r="X31" s="660">
        <f>ROUND(IF(Y31*10&gt;1,Y31*10,Y31*600),0)</f>
        <v>0</v>
      </c>
      <c r="Y31" s="660">
        <f>IF(F31&gt;0,D31/F31,0)</f>
        <v>0</v>
      </c>
    </row>
    <row r="32" spans="1:25" x14ac:dyDescent="0.35">
      <c r="A32" s="660" t="s">
        <v>2285</v>
      </c>
    </row>
    <row r="33" spans="1:23" x14ac:dyDescent="0.35">
      <c r="A33" s="660" t="s">
        <v>2286</v>
      </c>
    </row>
    <row r="34" spans="1:23" x14ac:dyDescent="0.35">
      <c r="B34" s="660" t="s">
        <v>1254</v>
      </c>
      <c r="C34" s="660" t="s">
        <v>1255</v>
      </c>
      <c r="D34" s="660" t="s">
        <v>1256</v>
      </c>
      <c r="F34" s="821" t="s">
        <v>2423</v>
      </c>
    </row>
    <row r="35" spans="1:23" x14ac:dyDescent="0.35">
      <c r="A35" s="821" t="str">
        <f>INDEX(lijstIntralipidSmof,SelectedIntralipidSmof1700)</f>
        <v>Intralipid 20% (incl vitintra)</v>
      </c>
      <c r="B35" s="492">
        <f ca="1">ROUND(_Gewicht*INDEX(NeoBerAdvies!$B$9:$G$16,8,NeoBer1700!$C$6),0)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21">
        <v>1</v>
      </c>
      <c r="L35" s="660">
        <f ca="1">C35</f>
        <v>0</v>
      </c>
      <c r="T35" s="660">
        <f ca="1">0.2*L35*10/12</f>
        <v>0</v>
      </c>
      <c r="W35" s="660">
        <f ca="1">40*C35*2/12</f>
        <v>0</v>
      </c>
    </row>
    <row r="36" spans="1:23" x14ac:dyDescent="0.35">
      <c r="A36" s="660" t="s">
        <v>1070</v>
      </c>
      <c r="B36" s="492"/>
      <c r="D36" s="660">
        <v>1</v>
      </c>
    </row>
    <row r="37" spans="1:23" x14ac:dyDescent="0.35">
      <c r="A37" s="660" t="s">
        <v>688</v>
      </c>
      <c r="B37" s="492">
        <f ca="1">ROUND(_Gewicht*INDEX(NeoBerAdvies!$B$9:$G$16,2,NeoBer1700!$C$6),0)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L37" s="660">
        <f ca="1">IF(OR($D$36=1,$D$36=3),C37,0)</f>
        <v>0</v>
      </c>
      <c r="M37" s="660">
        <f ca="1">L37*0.5</f>
        <v>0</v>
      </c>
      <c r="V37" s="660">
        <f ca="1">L37*0.5</f>
        <v>0</v>
      </c>
    </row>
    <row r="38" spans="1:23" x14ac:dyDescent="0.35">
      <c r="A38" s="660" t="s">
        <v>1071</v>
      </c>
      <c r="B38" s="492">
        <f ca="1">ROUND(_Gewicht*INDEX(NeoBerAdvies!$B$9:$G$16,3,NeoBer1700!$C$6),0)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L38" s="660">
        <f ca="1">IF(OR($D$36=1,$D$36=3),C38,0)</f>
        <v>0</v>
      </c>
      <c r="N38" s="660">
        <f ca="1">L38</f>
        <v>0</v>
      </c>
    </row>
    <row r="39" spans="1:23" x14ac:dyDescent="0.35">
      <c r="A39" s="660" t="s">
        <v>1072</v>
      </c>
      <c r="B39" s="492">
        <f ca="1">ROUND(_Gewicht*INDEX(NeoBerAdvies!$B$9:$G$16,4,NeoBer1700!$C$6),0)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L39" s="660">
        <f ca="1">IF($D$36=1,C39,0)</f>
        <v>0</v>
      </c>
      <c r="O39" s="660">
        <f ca="1">L39*0.225</f>
        <v>0</v>
      </c>
      <c r="V39" s="660">
        <f ca="1">L39*0.225*2</f>
        <v>0</v>
      </c>
    </row>
    <row r="40" spans="1:23" x14ac:dyDescent="0.35">
      <c r="A40" s="660" t="s">
        <v>1073</v>
      </c>
      <c r="B40" s="492">
        <f ca="1">ROUND(_Gewicht*INDEX(NeoBerAdvies!$B$9:$G$16,5,NeoBer1700!$C$6),1)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L40" s="660">
        <f ca="1">IF($D$36=1,C40,0)</f>
        <v>0</v>
      </c>
      <c r="P40" s="660">
        <f ca="1">L40*0.5</f>
        <v>0</v>
      </c>
      <c r="V40" s="660">
        <f ca="1">L40*0.5*2</f>
        <v>0</v>
      </c>
    </row>
    <row r="41" spans="1:23" x14ac:dyDescent="0.35">
      <c r="A41" s="660" t="s">
        <v>435</v>
      </c>
      <c r="B41" s="492">
        <f ca="1">ROUND(_Gewicht*INDEX(NeoBerAdvies!$B$9:$G$16,6,NeoBer1700!$C$6),1)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L41" s="660">
        <f ca="1">IF($D$36=1,C41,0)</f>
        <v>0</v>
      </c>
      <c r="W41" s="660">
        <f ca="1">40*C41</f>
        <v>0</v>
      </c>
    </row>
    <row r="42" spans="1:23" x14ac:dyDescent="0.35">
      <c r="A42" s="660" t="s">
        <v>1028</v>
      </c>
      <c r="B42" s="492">
        <f ca="1">ROUND(_Gewicht*INDEX(NeoBerAdvies!$B$9:$G$16,7,NeoBer1700!$C$6),0)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L42" s="660">
        <f ca="1">IF($D$36=1,C42,0)</f>
        <v>0</v>
      </c>
      <c r="R42" s="660">
        <f ca="1">0.1*L42</f>
        <v>0</v>
      </c>
    </row>
    <row r="43" spans="1:23" x14ac:dyDescent="0.35">
      <c r="A43" s="660" t="s">
        <v>1029</v>
      </c>
      <c r="B43" s="492">
        <f ca="1">ROUND(_Gewicht*INDEX(NeoBerAdvies!$B$9:$G$16,1,NeoBer1700!$C$6),1)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L43" s="660">
        <f>IF(D36=2,C43,0)</f>
        <v>0</v>
      </c>
      <c r="M43" s="660">
        <f>INDEX(TpnNICU,2,M11)*$L$43</f>
        <v>0</v>
      </c>
      <c r="N43" s="660">
        <f t="shared" ref="N43:U43" si="12">INDEX(TpnNICU,2,N11)*$L$43</f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  <c r="U43" s="660">
        <f t="shared" si="12"/>
        <v>0</v>
      </c>
    </row>
    <row r="44" spans="1:23" x14ac:dyDescent="0.35">
      <c r="A44" s="660" t="s">
        <v>686</v>
      </c>
      <c r="B44" s="492">
        <f ca="1">ROUND(_Gewicht*INDEX(NeoBerAdvies!$B$9:$G$16,1,NeoBer1700!$C$6),1)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L44" s="660">
        <f>IF(D36=3,C44,0)</f>
        <v>0</v>
      </c>
      <c r="M44" s="660">
        <f>INDEX(TpnNICU,1,M11)*$L$44</f>
        <v>0</v>
      </c>
      <c r="N44" s="660">
        <f t="shared" ref="N44:U44" si="13">INDEX(TpnNICU,1,N11)*$L$44</f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  <c r="U44" s="660">
        <f t="shared" si="13"/>
        <v>0</v>
      </c>
    </row>
    <row r="45" spans="1:23" x14ac:dyDescent="0.35">
      <c r="A45" s="660" t="s">
        <v>1257</v>
      </c>
      <c r="D45" s="660">
        <v>2</v>
      </c>
      <c r="L45" s="660">
        <f>IF(B17,ROUND(C17-SUM(L18:L44),1),0)</f>
        <v>0</v>
      </c>
      <c r="S45" s="660">
        <f>INDEX(Opl,D45+1,2)*L45</f>
        <v>0</v>
      </c>
    </row>
    <row r="47" spans="1:23" x14ac:dyDescent="0.35">
      <c r="A47" s="660" t="s">
        <v>242</v>
      </c>
      <c r="L47" s="660">
        <f ca="1">L49+L50</f>
        <v>0</v>
      </c>
      <c r="M47" s="660">
        <f t="shared" ref="M47:W47" ca="1" si="14">M49+M50</f>
        <v>0</v>
      </c>
      <c r="N47" s="660">
        <f t="shared" ca="1" si="14"/>
        <v>0</v>
      </c>
      <c r="O47" s="660">
        <f t="shared" ca="1" si="14"/>
        <v>0</v>
      </c>
      <c r="P47" s="660">
        <f t="shared" ca="1" si="14"/>
        <v>0</v>
      </c>
      <c r="Q47" s="660">
        <f t="shared" si="14"/>
        <v>0</v>
      </c>
      <c r="R47" s="660">
        <f t="shared" ca="1" si="14"/>
        <v>0</v>
      </c>
      <c r="S47" s="660">
        <f t="shared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  <c r="W47" s="660">
        <f t="shared" ca="1" si="14"/>
        <v>0</v>
      </c>
    </row>
    <row r="49" spans="1:23" x14ac:dyDescent="0.35">
      <c r="A49" s="660" t="s">
        <v>438</v>
      </c>
      <c r="L49" s="660">
        <f>L14</f>
        <v>0</v>
      </c>
      <c r="M49" s="660">
        <f t="shared" ref="M49:W49" si="15">M14+IF(INDEX(LijstenLijstVoeding,_Voeding,14)="MM",M57,M62)</f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  <c r="W49" s="660">
        <f t="shared" si="15"/>
        <v>0</v>
      </c>
    </row>
    <row r="50" spans="1:23" x14ac:dyDescent="0.35">
      <c r="A50" s="660" t="s">
        <v>436</v>
      </c>
      <c r="L50" s="660">
        <f ca="1">SUM(L18:L45)</f>
        <v>0</v>
      </c>
      <c r="M50" s="660">
        <f t="shared" ref="M50:W50" ca="1" si="16">SUM(M18:M45)</f>
        <v>0</v>
      </c>
      <c r="N50" s="660">
        <f t="shared" ca="1" si="16"/>
        <v>0</v>
      </c>
      <c r="O50" s="660">
        <f t="shared" ca="1" si="16"/>
        <v>0</v>
      </c>
      <c r="P50" s="660">
        <f t="shared" ca="1" si="16"/>
        <v>0</v>
      </c>
      <c r="Q50" s="660">
        <f t="shared" si="16"/>
        <v>0</v>
      </c>
      <c r="R50" s="660">
        <f t="shared" ca="1" si="16"/>
        <v>0</v>
      </c>
      <c r="S50" s="660">
        <f t="shared" si="16"/>
        <v>0</v>
      </c>
      <c r="T50" s="660">
        <f t="shared" ca="1" si="16"/>
        <v>0</v>
      </c>
      <c r="U50" s="660">
        <f ca="1">T50*9+S50*4+R50*4</f>
        <v>0</v>
      </c>
      <c r="V50" s="660">
        <f t="shared" ca="1" si="16"/>
        <v>0</v>
      </c>
      <c r="W50" s="660">
        <f t="shared" ca="1" si="16"/>
        <v>0</v>
      </c>
    </row>
    <row r="52" spans="1:23" x14ac:dyDescent="0.35">
      <c r="A52" s="660" t="s">
        <v>1676</v>
      </c>
      <c r="B52" s="660">
        <v>2</v>
      </c>
      <c r="K52" s="660">
        <v>1</v>
      </c>
      <c r="L52" s="821">
        <f>INDEX(_VoedingBMFWaarden,NeoBer1700!K52)</f>
        <v>0</v>
      </c>
      <c r="M52" s="651">
        <f t="shared" ref="M52:W52" si="17">IF($K52&gt;1,($L52/100)*$L$49*HLOOKUP(M1,_VoedingToevoegingenBMF,$B52,FALSE),0)</f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  <c r="W52" s="651">
        <f t="shared" si="17"/>
        <v>0</v>
      </c>
    </row>
    <row r="53" spans="1:23" x14ac:dyDescent="0.35">
      <c r="A53" s="660" t="s">
        <v>1667</v>
      </c>
      <c r="B53" s="660">
        <v>1</v>
      </c>
      <c r="C53" s="660">
        <f>_Toevoeging_1+1</f>
        <v>2</v>
      </c>
      <c r="K53" s="660">
        <v>1</v>
      </c>
      <c r="L53" s="821">
        <f>INDEX(_VoedingToevoegingenWaarden,NeoBer1700!K53)</f>
        <v>0</v>
      </c>
      <c r="M53" s="651">
        <f>IF($B53&gt;1,($L53)*$L$49*HLOOKUP(NeoBer1700!M$1,LijstenOpzoektabelMM,$C53,FALSE),0)</f>
        <v>0</v>
      </c>
      <c r="N53" s="651">
        <f>IF($B53&gt;1,($L53)*$L$49*HLOOKUP(NeoBer1700!N$1,LijstenOpzoektabelMM,$C53,FALSE),0)</f>
        <v>0</v>
      </c>
      <c r="O53" s="651">
        <f>IF($B53&gt;1,($L53)*$L$49*HLOOKUP(NeoBer1700!O$1,LijstenOpzoektabelMM,$C53,FALSE),0)</f>
        <v>0</v>
      </c>
      <c r="P53" s="651">
        <f>IF($B53&gt;1,($L53)*$L$49*HLOOKUP(NeoBer1700!P$1,LijstenOpzoektabelMM,$C53,FALSE),0)</f>
        <v>0</v>
      </c>
      <c r="Q53" s="651">
        <f>IF($B53&gt;1,($L53)*$L$49*HLOOKUP(NeoBer1700!Q$1,LijstenOpzoektabelMM,$C53,FALSE),0)</f>
        <v>0</v>
      </c>
      <c r="R53" s="651">
        <f>IF($B53&gt;1,($L53)*$L$49*HLOOKUP(NeoBer1700!R$1,LijstenOpzoektabelMM,$C53,FALSE),0)</f>
        <v>0</v>
      </c>
      <c r="S53" s="651">
        <f>IF($B53&gt;1,($L53)*$L$49*HLOOKUP(NeoBer1700!S$1,LijstenOpzoektabelMM,$C53,FALSE),0)</f>
        <v>0</v>
      </c>
      <c r="T53" s="651">
        <f>IF($B53&gt;1,($L53)*$L$49*HLOOKUP(NeoBer1700!T$1,LijstenOpzoektabelMM,$C53,FALSE),0)</f>
        <v>0</v>
      </c>
      <c r="U53" s="651">
        <f>IF($B53&gt;1,($L53)*$L$49*HLOOKUP(NeoBer1700!U$1,LijstenOpzoektabelMM,$C53,FALSE),0)</f>
        <v>0</v>
      </c>
      <c r="V53" s="651">
        <f>IF($B53&gt;1,($L53)*$L$49*HLOOKUP(NeoBer1700!V$1,LijstenOpzoektabelMM,$C53,FALSE),0)</f>
        <v>0</v>
      </c>
      <c r="W53" s="651">
        <f>IF($B53&gt;1,($L53)*$L$49*HLOOKUP(NeoBer1700!W$1,LijstenOpzoektabelMM,$C53,FALSE),0)</f>
        <v>0</v>
      </c>
    </row>
    <row r="54" spans="1:23" x14ac:dyDescent="0.35">
      <c r="A54" s="660" t="s">
        <v>1668</v>
      </c>
      <c r="B54" s="660">
        <v>1</v>
      </c>
      <c r="C54" s="660">
        <f>_Toevoeging_2+1</f>
        <v>2</v>
      </c>
      <c r="K54" s="660">
        <v>1</v>
      </c>
      <c r="L54" s="821">
        <f>INDEX(_VoedingToevoegingenWaarden,NeoBer1700!K54)</f>
        <v>0</v>
      </c>
      <c r="M54" s="651">
        <f>IF($B54&gt;1,($L54)*$L$49*HLOOKUP(NeoBer1700!M$1,LijstenOpzoektabelMM,$C54,FALSE),0)</f>
        <v>0</v>
      </c>
      <c r="N54" s="651">
        <f>IF($B54&gt;1,($L54)*$L$49*HLOOKUP(NeoBer1700!N$1,LijstenOpzoektabelMM,$C54,FALSE),0)</f>
        <v>0</v>
      </c>
      <c r="O54" s="651">
        <f>IF($B54&gt;1,($L54)*$L$49*HLOOKUP(NeoBer1700!O$1,LijstenOpzoektabelMM,$C54,FALSE),0)</f>
        <v>0</v>
      </c>
      <c r="P54" s="651">
        <f>IF($B54&gt;1,($L54)*$L$49*HLOOKUP(NeoBer1700!P$1,LijstenOpzoektabelMM,$C54,FALSE),0)</f>
        <v>0</v>
      </c>
      <c r="Q54" s="651">
        <f>IF($B54&gt;1,($L54)*$L$49*HLOOKUP(NeoBer1700!Q$1,LijstenOpzoektabelMM,$C54,FALSE),0)</f>
        <v>0</v>
      </c>
      <c r="R54" s="651">
        <f>IF($B54&gt;1,($L54)*$L$49*HLOOKUP(NeoBer1700!R$1,LijstenOpzoektabelMM,$C54,FALSE),0)</f>
        <v>0</v>
      </c>
      <c r="S54" s="651">
        <f>IF($B54&gt;1,($L54)*$L$49*HLOOKUP(NeoBer1700!S$1,LijstenOpzoektabelMM,$C54,FALSE),0)</f>
        <v>0</v>
      </c>
      <c r="T54" s="651">
        <f>IF($B54&gt;1,($L54)*$L$49*HLOOKUP(NeoBer1700!T$1,LijstenOpzoektabelMM,$C54,FALSE),0)</f>
        <v>0</v>
      </c>
      <c r="U54" s="651">
        <f>IF($B54&gt;1,($L54)*$L$49*HLOOKUP(NeoBer1700!U$1,LijstenOpzoektabelMM,$C54,FALSE),0)</f>
        <v>0</v>
      </c>
      <c r="V54" s="651">
        <f>IF($B54&gt;1,($L54)*$L$49*HLOOKUP(NeoBer1700!V$1,LijstenOpzoektabelMM,$C54,FALSE),0)</f>
        <v>0</v>
      </c>
      <c r="W54" s="651">
        <f>IF($B54&gt;1,($L54)*$L$49*HLOOKUP(NeoBer1700!W$1,LijstenOpzoektabelMM,$C54,FALSE),0)</f>
        <v>0</v>
      </c>
    </row>
    <row r="55" spans="1:23" x14ac:dyDescent="0.35">
      <c r="A55" s="660" t="s">
        <v>1669</v>
      </c>
      <c r="B55" s="660">
        <v>1</v>
      </c>
      <c r="C55" s="660">
        <f>_Toevoeging_3+1</f>
        <v>2</v>
      </c>
      <c r="K55" s="660">
        <v>1</v>
      </c>
      <c r="L55" s="821">
        <f>INDEX(_VoedingToevoegingenWaarden,NeoBer1700!K55)</f>
        <v>0</v>
      </c>
      <c r="M55" s="651">
        <f>IF($B55&gt;1,($L55)*$L$49*HLOOKUP(NeoBer1700!M$1,LijstenOpzoektabelMM,$C55,FALSE),0)</f>
        <v>0</v>
      </c>
      <c r="N55" s="651">
        <f>IF($B55&gt;1,($L55)*$L$49*HLOOKUP(NeoBer1700!N$1,LijstenOpzoektabelMM,$C55,FALSE),0)</f>
        <v>0</v>
      </c>
      <c r="O55" s="651">
        <f>IF($B55&gt;1,($L55)*$L$49*HLOOKUP(NeoBer1700!O$1,LijstenOpzoektabelMM,$C55,FALSE),0)</f>
        <v>0</v>
      </c>
      <c r="P55" s="651">
        <f>IF($B55&gt;1,($L55)*$L$49*HLOOKUP(NeoBer1700!P$1,LijstenOpzoektabelMM,$C55,FALSE),0)</f>
        <v>0</v>
      </c>
      <c r="Q55" s="651">
        <f>IF($B55&gt;1,($L55)*$L$49*HLOOKUP(NeoBer1700!Q$1,LijstenOpzoektabelMM,$C55,FALSE),0)</f>
        <v>0</v>
      </c>
      <c r="R55" s="651">
        <f>IF($B55&gt;1,($L55)*$L$49*HLOOKUP(NeoBer1700!R$1,LijstenOpzoektabelMM,$C55,FALSE),0)</f>
        <v>0</v>
      </c>
      <c r="S55" s="651">
        <f>IF($B55&gt;1,($L55)*$L$49*HLOOKUP(NeoBer1700!S$1,LijstenOpzoektabelMM,$C55,FALSE),0)</f>
        <v>0</v>
      </c>
      <c r="T55" s="651">
        <f>IF($B55&gt;1,($L55)*$L$49*HLOOKUP(NeoBer1700!T$1,LijstenOpzoektabelMM,$C55,FALSE),0)</f>
        <v>0</v>
      </c>
      <c r="U55" s="651">
        <f>IF($B55&gt;1,($L55)*$L$49*HLOOKUP(NeoBer1700!U$1,LijstenOpzoektabelMM,$C55,FALSE),0)</f>
        <v>0</v>
      </c>
      <c r="V55" s="651">
        <f>IF($B55&gt;1,($L55)*$L$49*HLOOKUP(NeoBer1700!V$1,LijstenOpzoektabelMM,$C55,FALSE),0)</f>
        <v>0</v>
      </c>
      <c r="W55" s="651">
        <f>IF($B55&gt;1,($L55)*$L$49*HLOOKUP(NeoBer1700!W$1,LijstenOpzoektabelMM,$C55,FALSE),0)</f>
        <v>0</v>
      </c>
    </row>
    <row r="56" spans="1:23" x14ac:dyDescent="0.35">
      <c r="A56" s="660" t="s">
        <v>1670</v>
      </c>
      <c r="B56" s="660">
        <v>1</v>
      </c>
      <c r="C56" s="660">
        <f>_Toevoeging_4+1</f>
        <v>2</v>
      </c>
      <c r="K56" s="660">
        <v>1</v>
      </c>
      <c r="L56" s="821">
        <f>INDEX(_VoedingToevoegingenWaarden,NeoBer1700!K56)</f>
        <v>0</v>
      </c>
      <c r="M56" s="651">
        <f>IF($B56&gt;1,($L56)*$L$49*HLOOKUP(NeoBer1700!M$1,LijstenOpzoektabelMM,$C56,FALSE),0)</f>
        <v>0</v>
      </c>
      <c r="N56" s="651">
        <f>IF($B56&gt;1,($L56)*$L$49*HLOOKUP(NeoBer1700!N$1,LijstenOpzoektabelMM,$C56,FALSE),0)</f>
        <v>0</v>
      </c>
      <c r="O56" s="651">
        <f>IF($B56&gt;1,($L56)*$L$49*HLOOKUP(NeoBer1700!O$1,LijstenOpzoektabelMM,$C56,FALSE),0)</f>
        <v>0</v>
      </c>
      <c r="P56" s="651">
        <f>IF($B56&gt;1,($L56)*$L$49*HLOOKUP(NeoBer1700!P$1,LijstenOpzoektabelMM,$C56,FALSE),0)</f>
        <v>0</v>
      </c>
      <c r="Q56" s="651">
        <f>IF($B56&gt;1,($L56)*$L$49*HLOOKUP(NeoBer1700!Q$1,LijstenOpzoektabelMM,$C56,FALSE),0)</f>
        <v>0</v>
      </c>
      <c r="R56" s="651">
        <f>IF($B56&gt;1,($L56)*$L$49*HLOOKUP(NeoBer1700!R$1,LijstenOpzoektabelMM,$C56,FALSE),0)</f>
        <v>0</v>
      </c>
      <c r="S56" s="651">
        <f>IF($B56&gt;1,($L56)*$L$49*HLOOKUP(NeoBer1700!S$1,LijstenOpzoektabelMM,$C56,FALSE),0)</f>
        <v>0</v>
      </c>
      <c r="T56" s="651">
        <f>IF($B56&gt;1,($L56)*$L$49*HLOOKUP(NeoBer1700!T$1,LijstenOpzoektabelMM,$C56,FALSE),0)</f>
        <v>0</v>
      </c>
      <c r="U56" s="651">
        <f>IF($B56&gt;1,($L56)*$L$49*HLOOKUP(NeoBer1700!U$1,LijstenOpzoektabelMM,$C56,FALSE),0)</f>
        <v>0</v>
      </c>
      <c r="V56" s="651">
        <f>IF($B56&gt;1,($L56)*$L$49*HLOOKUP(NeoBer1700!V$1,LijstenOpzoektabelMM,$C56,FALSE),0)</f>
        <v>0</v>
      </c>
      <c r="W56" s="651">
        <f>IF($B56&gt;1,($L56)*$L$49*HLOOKUP(NeoBer1700!W$1,LijstenOpzoektabelMM,$C56,FALSE),0)</f>
        <v>0</v>
      </c>
    </row>
    <row r="57" spans="1:23" x14ac:dyDescent="0.35">
      <c r="A57" s="660" t="s">
        <v>1770</v>
      </c>
      <c r="L57" s="821"/>
      <c r="M57" s="651">
        <f>SUM(M52:M56)</f>
        <v>0</v>
      </c>
      <c r="N57" s="651">
        <f t="shared" ref="N57:W57" si="18">SUM(N52:N56)</f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  <c r="W57" s="651">
        <f t="shared" si="18"/>
        <v>0</v>
      </c>
    </row>
    <row r="58" spans="1:23" x14ac:dyDescent="0.35">
      <c r="A58" s="660" t="s">
        <v>1671</v>
      </c>
      <c r="B58" s="660">
        <v>1</v>
      </c>
      <c r="C58" s="660">
        <f>_Toevoeging_5+1</f>
        <v>2</v>
      </c>
      <c r="K58" s="660">
        <v>1</v>
      </c>
      <c r="L58" s="821">
        <f>INDEX(_VoedingToevoegingenWaarden,NeoBer1700!K58)</f>
        <v>0</v>
      </c>
      <c r="M58" s="651">
        <f>IF($B58&gt;1,($L58)*$L$49*HLOOKUP(NeoBer1700!M$1,LijstenOpzoektabelKV,$C58,FALSE),0)</f>
        <v>0</v>
      </c>
      <c r="N58" s="651">
        <f>IF($B58&gt;1,($L58)*$L$49*HLOOKUP(NeoBer1700!N$1,LijstenOpzoektabelKV,$C58,FALSE),0)</f>
        <v>0</v>
      </c>
      <c r="O58" s="651">
        <f>IF($B58&gt;1,($L58)*$L$49*HLOOKUP(NeoBer1700!O$1,LijstenOpzoektabelKV,$C58,FALSE),0)</f>
        <v>0</v>
      </c>
      <c r="P58" s="651">
        <f>IF($B58&gt;1,($L58)*$L$49*HLOOKUP(NeoBer1700!P$1,LijstenOpzoektabelKV,$C58,FALSE),0)</f>
        <v>0</v>
      </c>
      <c r="Q58" s="651">
        <f>IF($B58&gt;1,($L58)*$L$49*HLOOKUP(NeoBer1700!Q$1,LijstenOpzoektabelKV,$C58,FALSE),0)</f>
        <v>0</v>
      </c>
      <c r="R58" s="651">
        <f>IF($B58&gt;1,($L58)*$L$49*HLOOKUP(NeoBer1700!R$1,LijstenOpzoektabelKV,$C58,FALSE),0)</f>
        <v>0</v>
      </c>
      <c r="S58" s="651">
        <f>IF($B58&gt;1,($L58)*$L$49*HLOOKUP(NeoBer1700!S$1,LijstenOpzoektabelKV,$C58,FALSE),0)</f>
        <v>0</v>
      </c>
      <c r="T58" s="651">
        <f>IF($B58&gt;1,($L58)*$L$49*HLOOKUP(NeoBer1700!T$1,LijstenOpzoektabelKV,$C58,FALSE),0)</f>
        <v>0</v>
      </c>
      <c r="U58" s="651">
        <f>IF($B58&gt;1,($L58)*$L$49*HLOOKUP(NeoBer1700!U$1,LijstenOpzoektabelKV,$C58,FALSE),0)</f>
        <v>0</v>
      </c>
      <c r="V58" s="651">
        <f>IF($B58&gt;1,($L58)*$L$49*HLOOKUP(NeoBer1700!V$1,LijstenOpzoektabelKV,$C58,FALSE),0)</f>
        <v>0</v>
      </c>
      <c r="W58" s="651">
        <f>IF($B58&gt;1,($L58)*$L$49*HLOOKUP(NeoBer1700!W$1,LijstenOpzoektabelKV,$C58,FALSE),0)</f>
        <v>0</v>
      </c>
    </row>
    <row r="59" spans="1:23" x14ac:dyDescent="0.35">
      <c r="A59" s="660" t="s">
        <v>1672</v>
      </c>
      <c r="B59" s="660">
        <v>1</v>
      </c>
      <c r="C59" s="660">
        <f>_Toevoeging_6+1</f>
        <v>2</v>
      </c>
      <c r="K59" s="660">
        <v>1</v>
      </c>
      <c r="L59" s="821">
        <f>INDEX(_VoedingToevoegingenWaarden,NeoBer1700!K59)</f>
        <v>0</v>
      </c>
      <c r="M59" s="651">
        <f>IF($B59&gt;1,($L59)*$L$49*HLOOKUP(NeoBer1700!M$1,LijstenOpzoektabelKV,$C59,FALSE),0)</f>
        <v>0</v>
      </c>
      <c r="N59" s="651">
        <f>IF($B59&gt;1,($L59)*$L$49*HLOOKUP(NeoBer1700!N$1,LijstenOpzoektabelKV,$C59,FALSE),0)</f>
        <v>0</v>
      </c>
      <c r="O59" s="651">
        <f>IF($B59&gt;1,($L59)*$L$49*HLOOKUP(NeoBer1700!O$1,LijstenOpzoektabelKV,$C59,FALSE),0)</f>
        <v>0</v>
      </c>
      <c r="P59" s="651">
        <f>IF($B59&gt;1,($L59)*$L$49*HLOOKUP(NeoBer1700!P$1,LijstenOpzoektabelKV,$C59,FALSE),0)</f>
        <v>0</v>
      </c>
      <c r="Q59" s="651">
        <f>IF($B59&gt;1,($L59)*$L$49*HLOOKUP(NeoBer1700!Q$1,LijstenOpzoektabelKV,$C59,FALSE),0)</f>
        <v>0</v>
      </c>
      <c r="R59" s="651">
        <f>IF($B59&gt;1,($L59)*$L$49*HLOOKUP(NeoBer1700!R$1,LijstenOpzoektabelKV,$C59,FALSE),0)</f>
        <v>0</v>
      </c>
      <c r="S59" s="651">
        <f>IF($B59&gt;1,($L59)*$L$49*HLOOKUP(NeoBer1700!S$1,LijstenOpzoektabelKV,$C59,FALSE),0)</f>
        <v>0</v>
      </c>
      <c r="T59" s="651">
        <f>IF($B59&gt;1,($L59)*$L$49*HLOOKUP(NeoBer1700!T$1,LijstenOpzoektabelKV,$C59,FALSE),0)</f>
        <v>0</v>
      </c>
      <c r="U59" s="651">
        <f>IF($B59&gt;1,($L59)*$L$49*HLOOKUP(NeoBer1700!U$1,LijstenOpzoektabelKV,$C59,FALSE),0)</f>
        <v>0</v>
      </c>
      <c r="V59" s="651">
        <f>IF($B59&gt;1,($L59)*$L$49*HLOOKUP(NeoBer1700!V$1,LijstenOpzoektabelKV,$C59,FALSE),0)</f>
        <v>0</v>
      </c>
      <c r="W59" s="651">
        <f>IF($B59&gt;1,($L59)*$L$49*HLOOKUP(NeoBer1700!W$1,LijstenOpzoektabelKV,$C59,FALSE),0)</f>
        <v>0</v>
      </c>
    </row>
    <row r="60" spans="1:23" x14ac:dyDescent="0.35">
      <c r="A60" s="660" t="s">
        <v>1673</v>
      </c>
      <c r="B60" s="660">
        <v>1</v>
      </c>
      <c r="C60" s="660">
        <f>_Toevoeging_7+1</f>
        <v>2</v>
      </c>
      <c r="K60" s="660">
        <v>1</v>
      </c>
      <c r="L60" s="821">
        <f>INDEX(_VoedingToevoegingenWaarden,NeoBer1700!K60)</f>
        <v>0</v>
      </c>
      <c r="M60" s="651">
        <f>IF($B60&gt;1,($L60)*$L$49*HLOOKUP(NeoBer1700!M$1,LijstenOpzoektabelKV,$C60,FALSE),0)</f>
        <v>0</v>
      </c>
      <c r="N60" s="651">
        <f>IF($B60&gt;1,($L60)*$L$49*HLOOKUP(NeoBer1700!N$1,LijstenOpzoektabelKV,$C60,FALSE),0)</f>
        <v>0</v>
      </c>
      <c r="O60" s="651">
        <f>IF($B60&gt;1,($L60)*$L$49*HLOOKUP(NeoBer1700!O$1,LijstenOpzoektabelKV,$C60,FALSE),0)</f>
        <v>0</v>
      </c>
      <c r="P60" s="651">
        <f>IF($B60&gt;1,($L60)*$L$49*HLOOKUP(NeoBer1700!P$1,LijstenOpzoektabelKV,$C60,FALSE),0)</f>
        <v>0</v>
      </c>
      <c r="Q60" s="651">
        <f>IF($B60&gt;1,($L60)*$L$49*HLOOKUP(NeoBer1700!Q$1,LijstenOpzoektabelKV,$C60,FALSE),0)</f>
        <v>0</v>
      </c>
      <c r="R60" s="651">
        <f>IF($B60&gt;1,($L60)*$L$49*HLOOKUP(NeoBer1700!R$1,LijstenOpzoektabelKV,$C60,FALSE),0)</f>
        <v>0</v>
      </c>
      <c r="S60" s="651">
        <f>IF($B60&gt;1,($L60)*$L$49*HLOOKUP(NeoBer1700!S$1,LijstenOpzoektabelKV,$C60,FALSE),0)</f>
        <v>0</v>
      </c>
      <c r="T60" s="651">
        <f>IF($B60&gt;1,($L60)*$L$49*HLOOKUP(NeoBer1700!T$1,LijstenOpzoektabelKV,$C60,FALSE),0)</f>
        <v>0</v>
      </c>
      <c r="U60" s="651">
        <f>IF($B60&gt;1,($L60)*$L$49*HLOOKUP(NeoBer1700!U$1,LijstenOpzoektabelKV,$C60,FALSE),0)</f>
        <v>0</v>
      </c>
      <c r="V60" s="651">
        <f>IF($B60&gt;1,($L60)*$L$49*HLOOKUP(NeoBer1700!V$1,LijstenOpzoektabelKV,$C60,FALSE),0)</f>
        <v>0</v>
      </c>
      <c r="W60" s="651">
        <f>IF($B60&gt;1,($L60)*$L$49*HLOOKUP(NeoBer1700!W$1,LijstenOpzoektabelKV,$C60,FALSE),0)</f>
        <v>0</v>
      </c>
    </row>
    <row r="61" spans="1:23" x14ac:dyDescent="0.35">
      <c r="A61" s="660" t="s">
        <v>1674</v>
      </c>
      <c r="B61" s="660">
        <v>1</v>
      </c>
      <c r="C61" s="660">
        <f>_Toevoeging_8+1</f>
        <v>2</v>
      </c>
      <c r="K61" s="660">
        <v>1</v>
      </c>
      <c r="L61" s="821">
        <f>INDEX(_VoedingToevoegingenWaarden,NeoBer1700!K61)</f>
        <v>0</v>
      </c>
      <c r="M61" s="651">
        <f>IF($B61&gt;1,($L61)*$L$49*HLOOKUP(NeoBer1700!M$1,LijstenOpzoektabelKV,$C61,FALSE),0)</f>
        <v>0</v>
      </c>
      <c r="N61" s="651">
        <f>IF($B61&gt;1,($L61)*$L$49*HLOOKUP(NeoBer1700!N$1,LijstenOpzoektabelKV,$C61,FALSE),0)</f>
        <v>0</v>
      </c>
      <c r="O61" s="651">
        <f>IF($B61&gt;1,($L61)*$L$49*HLOOKUP(NeoBer1700!O$1,LijstenOpzoektabelKV,$C61,FALSE),0)</f>
        <v>0</v>
      </c>
      <c r="P61" s="651">
        <f>IF($B61&gt;1,($L61)*$L$49*HLOOKUP(NeoBer1700!P$1,LijstenOpzoektabelKV,$C61,FALSE),0)</f>
        <v>0</v>
      </c>
      <c r="Q61" s="651">
        <f>IF($B61&gt;1,($L61)*$L$49*HLOOKUP(NeoBer1700!Q$1,LijstenOpzoektabelKV,$C61,FALSE),0)</f>
        <v>0</v>
      </c>
      <c r="R61" s="651">
        <f>IF($B61&gt;1,($L61)*$L$49*HLOOKUP(NeoBer1700!R$1,LijstenOpzoektabelKV,$C61,FALSE),0)</f>
        <v>0</v>
      </c>
      <c r="S61" s="651">
        <f>IF($B61&gt;1,($L61)*$L$49*HLOOKUP(NeoBer1700!S$1,LijstenOpzoektabelKV,$C61,FALSE),0)</f>
        <v>0</v>
      </c>
      <c r="T61" s="651">
        <f>IF($B61&gt;1,($L61)*$L$49*HLOOKUP(NeoBer1700!T$1,LijstenOpzoektabelKV,$C61,FALSE),0)</f>
        <v>0</v>
      </c>
      <c r="U61" s="651">
        <f>IF($B61&gt;1,($L61)*$L$49*HLOOKUP(NeoBer1700!U$1,LijstenOpzoektabelKV,$C61,FALSE),0)</f>
        <v>0</v>
      </c>
      <c r="V61" s="651">
        <f>IF($B61&gt;1,($L61)*$L$49*HLOOKUP(NeoBer1700!V$1,LijstenOpzoektabelKV,$C61,FALSE),0)</f>
        <v>0</v>
      </c>
      <c r="W61" s="651">
        <f>IF($B61&gt;1,($L61)*$L$49*HLOOKUP(NeoBer1700!W$1,LijstenOpzoektabelKV,$C61,FALSE),0)</f>
        <v>0</v>
      </c>
    </row>
    <row r="62" spans="1:23" x14ac:dyDescent="0.35">
      <c r="A62" s="660" t="s">
        <v>1771</v>
      </c>
      <c r="M62" s="651">
        <f>SUM(M58:M61)</f>
        <v>0</v>
      </c>
      <c r="N62" s="651">
        <f t="shared" ref="N62:W62" si="19">SUM(N58:N61)</f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  <c r="W62" s="651">
        <f t="shared" si="19"/>
        <v>0</v>
      </c>
    </row>
    <row r="65" spans="1:13" x14ac:dyDescent="0.35">
      <c r="A65" s="660" t="s">
        <v>1067</v>
      </c>
    </row>
    <row r="70" spans="1:13" ht="13.2" x14ac:dyDescent="0.4">
      <c r="B70" s="285"/>
      <c r="C70" s="279"/>
      <c r="D70" s="279"/>
      <c r="E70" s="279"/>
      <c r="F70" s="286"/>
      <c r="G70" s="279"/>
      <c r="H70" s="279"/>
      <c r="I70" s="279"/>
    </row>
    <row r="71" spans="1:13" x14ac:dyDescent="0.35">
      <c r="M71" s="639"/>
    </row>
    <row r="73" spans="1:13" x14ac:dyDescent="0.35">
      <c r="A73" s="660" t="s">
        <v>1642</v>
      </c>
      <c r="B73" s="818" t="str">
        <f ca="1">IF(NeoAfspr1700!E18=0,"",CONCATENATE(NeoAfspr1700!B18,": ",NeoAfspr1700!E18," ",NeoAfspr1700!F18," = "&amp;NeoBer1700!L47&amp;" ml"))</f>
        <v/>
      </c>
    </row>
    <row r="74" spans="1:13" x14ac:dyDescent="0.35">
      <c r="A74" s="660" t="s">
        <v>1643</v>
      </c>
      <c r="B74" s="818" t="str">
        <f>IF(INDEX(Pos,NeoBer1700!D14,1)=0,"",CONCATENATE(NeoAfspr1700!H21," ",INDEX(Pos,NeoBer1700!D14,1)))</f>
        <v/>
      </c>
    </row>
    <row r="75" spans="1:13" x14ac:dyDescent="0.35">
      <c r="A75" s="660" t="s">
        <v>1644</v>
      </c>
      <c r="B75" s="818" t="str">
        <f>IF(INDEX(Pos,NeoBer1700!D14,1)=0,"",CONCATENATE("Hoeveelheid 1:  ",NeoAfspr1700!E21," ",NeoAfspr1700!F21," ",NeoAfspr1700!G21))</f>
        <v/>
      </c>
    </row>
    <row r="76" spans="1:13" x14ac:dyDescent="0.35">
      <c r="A76" s="660" t="s">
        <v>1645</v>
      </c>
      <c r="B76" s="818" t="str">
        <f>IF(INDEX(Pos,NeoBer1700!D14,1)=0,"",CONCATENATE("Hoeveelheid 2:  ",NeoAfspr1700!E22," ",NeoAfspr1700!F22," ",NeoAfspr1700!G22))</f>
        <v/>
      </c>
    </row>
    <row r="77" spans="1:13" x14ac:dyDescent="0.35">
      <c r="A77" s="660" t="s">
        <v>1646</v>
      </c>
      <c r="B77" s="818" t="str">
        <f>IF(AND(INDEX(LijstenLijstVoeding,_Voeding1700,14)="MM",_Percentage1700_0 &gt; 0), CONCATENATE("Toev MM: BMF ",_Percentage1700_0," %"),"")</f>
        <v/>
      </c>
    </row>
    <row r="78" spans="1:13" x14ac:dyDescent="0.35">
      <c r="A78" s="660" t="s">
        <v>1647</v>
      </c>
      <c r="B78" s="818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35">
      <c r="A79" s="660" t="s">
        <v>1648</v>
      </c>
      <c r="B79" s="818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35">
      <c r="A80" s="660" t="s">
        <v>1649</v>
      </c>
      <c r="B80" s="818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35">
      <c r="A81" s="660" t="s">
        <v>1650</v>
      </c>
      <c r="B81" s="818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35">
      <c r="A82" s="660" t="s">
        <v>1651</v>
      </c>
      <c r="B82" s="818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35">
      <c r="A83" s="660" t="s">
        <v>1991</v>
      </c>
      <c r="B83" s="818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35">
      <c r="A84" s="660" t="s">
        <v>1992</v>
      </c>
      <c r="B84" s="818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35">
      <c r="A85" s="660" t="s">
        <v>1993</v>
      </c>
      <c r="B85" s="818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35">
      <c r="A86" s="660" t="s">
        <v>1994</v>
      </c>
      <c r="B86" s="818" t="str">
        <f ca="1">IF(NeoAfspr1700!E28&gt;0,CONCATENATE(NeoAfspr1700!B28," ",NeoAfspr1700!E28," ",NeoAfspr1700!F28),"")</f>
        <v/>
      </c>
    </row>
    <row r="87" spans="1:2" x14ac:dyDescent="0.35">
      <c r="A87" s="660" t="s">
        <v>1995</v>
      </c>
      <c r="B87" s="818" t="str">
        <f>CONCATENATE(NeoAfspr1700!B19,": ",IF(NeoBer1700!B15=1,"Ja","Nee"))</f>
        <v>Fototherapie: Nee</v>
      </c>
    </row>
    <row r="90" spans="1:2" x14ac:dyDescent="0.35">
      <c r="A90" s="518" t="s">
        <v>2283</v>
      </c>
      <c r="B90" s="821" t="str">
        <f>IF(NeoBer1700!B20&gt;1,INDEX(Medicamenten,NeoBer1700!B20, 1)&amp;" "&amp;NeoAfspr1700!C32&amp;" "&amp;NeoAfspr1700!D32&amp;" "&amp; INDEX(Opl,NeoBer1700!E20,1)&amp;"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2283</v>
      </c>
      <c r="B91" s="821" t="str">
        <f>IF(NeoBer1700!B21&gt;1,INDEX(Medicamenten,NeoBer1700!B21, 1)&amp;" "&amp;NeoAfspr1700!C33&amp;" "&amp;NeoAfspr1700!D33&amp;" "&amp; INDEX(Opl,NeoBer1700!E21,1)&amp;"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2283</v>
      </c>
      <c r="B92" s="821" t="str">
        <f>IF(NeoBer1700!B22&gt;1,INDEX(Medicamenten,NeoBer1700!B22, 1)&amp;" "&amp;NeoAfspr1700!C34&amp;" "&amp;NeoAfspr1700!D34&amp;" "&amp; INDEX(Opl,NeoBer1700!E22,1)&amp;"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2283</v>
      </c>
      <c r="B93" s="821" t="str">
        <f>IF(NeoBer1700!B23&gt;1,INDEX(Medicamenten,NeoBer1700!B23, 1)&amp;" "&amp;NeoAfspr1700!C35&amp;" "&amp;NeoAfspr1700!D35&amp;" "&amp; INDEX(Opl,NeoBer1700!E23,1)&amp;"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2283</v>
      </c>
      <c r="B94" s="821" t="str">
        <f>IF(NeoBer1700!B24&gt;1,INDEX(Medicamenten,NeoBer1700!B24, 1)&amp;" "&amp;NeoAfspr1700!C36&amp;" "&amp;NeoAfspr1700!D36&amp;" "&amp; INDEX(Opl,NeoBer1700!E24,1)&amp;"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2283</v>
      </c>
      <c r="B95" s="821" t="str">
        <f>IF(NeoBer1700!B25&gt;1,INDEX(Medicamenten,NeoBer1700!B25, 1)&amp;" "&amp;NeoAfspr1700!C37&amp;" "&amp;NeoAfspr1700!D37&amp;" "&amp; INDEX(Opl,NeoBer1700!E25,1)&amp;"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2283</v>
      </c>
      <c r="B96" s="821" t="str">
        <f>IF(NeoBer1700!B26&gt;1,INDEX(Medicamenten,NeoBer1700!B26, 1)&amp;" "&amp;NeoAfspr1700!C38&amp;" "&amp;NeoAfspr1700!D38&amp;" "&amp; INDEX(Opl,NeoBer1700!E26,1)&amp;"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2283</v>
      </c>
      <c r="B97" s="821" t="str">
        <f>IF(NeoBer1700!B27&gt;1,INDEX(Medicamenten,NeoBer1700!B27, 1)&amp;" "&amp;NeoAfspr1700!C39&amp;" "&amp;NeoAfspr1700!D39&amp;" "&amp; INDEX(Opl,NeoBer1700!E27,1)&amp;"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2283</v>
      </c>
      <c r="B98" s="821" t="str">
        <f>IF(NeoBer1700!B28&gt;1,INDEX(Medicamenten,NeoBer1700!B28, 1)&amp;" "&amp;NeoAfspr1700!C40&amp;" "&amp;NeoAfspr1700!D40&amp;" "&amp; INDEX(Opl,NeoBer1700!E28,1)&amp;"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2283</v>
      </c>
      <c r="B99" s="821" t="str">
        <f>IF(NeoBer1700!E29&gt;1, NeoAfspr1700!B42&amp;": "&amp; INDEX(Opl,NeoBer1700!$E29,1)&amp;" " &amp; NeoAfspr1700!G42,"")</f>
        <v/>
      </c>
    </row>
    <row r="100" spans="1:2" x14ac:dyDescent="0.35">
      <c r="A100" s="518" t="s">
        <v>2283</v>
      </c>
      <c r="B100" s="821" t="str">
        <f>IF(NeoBer1700!E30&gt;1, NeoAfspr1700!B43&amp;": "&amp; INDEX(Opl,NeoBer1700!$E30,1)&amp;" " &amp; NeoAfspr1700!G43,"")</f>
        <v/>
      </c>
    </row>
    <row r="101" spans="1:2" x14ac:dyDescent="0.35">
      <c r="A101" s="518" t="s">
        <v>2283</v>
      </c>
      <c r="B101" s="821" t="str">
        <f>IF(NeoBer1700!E31&gt;1, NeoAfspr1700!B44&amp;": "&amp; INDEX(Opl,NeoBer1700!$E31,1)&amp;" " &amp; NeoAfspr1700!G44,"")</f>
        <v/>
      </c>
    </row>
    <row r="102" spans="1:2" x14ac:dyDescent="0.35">
      <c r="A102" s="518" t="s">
        <v>2283</v>
      </c>
      <c r="B102" s="821" t="str">
        <f>IF(NeoBer1700!B32="","",NeoBer1700!B32)</f>
        <v/>
      </c>
    </row>
    <row r="103" spans="1:2" x14ac:dyDescent="0.35">
      <c r="A103" s="518" t="s">
        <v>2283</v>
      </c>
      <c r="B103" s="821" t="str">
        <f>IF(NeoBer1700!B33="","",NeoBer1700!B33)</f>
        <v/>
      </c>
    </row>
    <row r="104" spans="1:2" x14ac:dyDescent="0.35">
      <c r="A104" s="518" t="s">
        <v>2283</v>
      </c>
      <c r="B104" s="821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2283</v>
      </c>
      <c r="B105" s="821" t="str">
        <f ca="1">IF(_WerkbriefTPNStand&lt;&gt;"",CONCATENATE("TPN: ",_WerkbriefTPNStand, " ml/uur"),"")</f>
        <v/>
      </c>
    </row>
    <row r="106" spans="1:2" x14ac:dyDescent="0.35">
      <c r="A106" s="518" t="s">
        <v>2283</v>
      </c>
      <c r="B106" s="821" t="str">
        <f ca="1">IF(_WerkbriefTPNStand&lt;&gt;"",CONCATENATE("TPN Totaal: ",_WerkbriefTPNTotaalGeheel,",", ROUND(_WerkbriefTPNTotaalBreuk,0), " ml"),"")</f>
        <v/>
      </c>
    </row>
    <row r="107" spans="1:2" x14ac:dyDescent="0.35">
      <c r="A107" s="518" t="s">
        <v>2283</v>
      </c>
      <c r="B107" s="821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35">
      <c r="A108" s="518" t="s">
        <v>2283</v>
      </c>
      <c r="B108" s="821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35">
      <c r="A109" s="518" t="s">
        <v>2283</v>
      </c>
      <c r="B109" s="821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35">
      <c r="A110" s="518" t="s">
        <v>2283</v>
      </c>
      <c r="B110" s="821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35">
      <c r="A111" s="518" t="s">
        <v>2283</v>
      </c>
      <c r="B111" s="821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35">
      <c r="A112" s="518" t="s">
        <v>2283</v>
      </c>
      <c r="B112" s="821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35">
      <c r="A113" s="518" t="s">
        <v>2283</v>
      </c>
      <c r="B113" s="821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35">
      <c r="A114" s="518" t="s">
        <v>2283</v>
      </c>
      <c r="B114" s="821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35">
      <c r="A115" s="518" t="s">
        <v>2283</v>
      </c>
      <c r="B115" s="821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35">
      <c r="A116" s="518" t="s">
        <v>2283</v>
      </c>
      <c r="B116" s="821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1017</v>
      </c>
      <c r="L1" s="321" t="s">
        <v>1002</v>
      </c>
      <c r="M1" s="322">
        <f>_Bed</f>
        <v>0</v>
      </c>
    </row>
    <row r="2" spans="1:16" ht="13.2" x14ac:dyDescent="0.4">
      <c r="A2" s="321" t="s">
        <v>1018</v>
      </c>
      <c r="C2" s="323" t="str">
        <f>__3_VoorNaam&amp;" "&amp;__2_AchterNaam</f>
        <v>Voornaam Achternaam</v>
      </c>
      <c r="G2" s="321" t="s">
        <v>1019</v>
      </c>
      <c r="I2" s="936">
        <f ca="1">TODAY()</f>
        <v>42728</v>
      </c>
      <c r="J2" s="936"/>
      <c r="K2" s="936"/>
      <c r="L2" s="321" t="s">
        <v>1020</v>
      </c>
      <c r="M2" s="937">
        <f ca="1">NOW()</f>
        <v>42728.838322569442</v>
      </c>
      <c r="N2" s="937"/>
    </row>
    <row r="3" spans="1:16" ht="13.2" x14ac:dyDescent="0.4">
      <c r="A3" s="321" t="s">
        <v>1021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ht="13.2" x14ac:dyDescent="0.4">
      <c r="G4" s="321" t="s">
        <v>1022</v>
      </c>
      <c r="I4" s="323" t="str">
        <f>IF(_Arts&gt;0,_Arts,"")</f>
        <v/>
      </c>
      <c r="L4" s="321" t="s">
        <v>1023</v>
      </c>
      <c r="M4" s="326"/>
      <c r="N4" s="326"/>
      <c r="O4" s="326"/>
      <c r="P4" s="326"/>
    </row>
    <row r="5" spans="1:16" ht="24.05" customHeight="1" x14ac:dyDescent="0.4">
      <c r="A5" s="327" t="s">
        <v>388</v>
      </c>
      <c r="B5" s="328"/>
      <c r="C5" s="329" t="s">
        <v>1024</v>
      </c>
      <c r="D5" s="329"/>
      <c r="E5" s="329"/>
      <c r="F5" s="329"/>
      <c r="G5" s="329"/>
      <c r="H5" s="330">
        <f ca="1">NeoAfspr1700!E28</f>
        <v>0</v>
      </c>
      <c r="I5" s="329" t="s">
        <v>365</v>
      </c>
      <c r="J5" s="329"/>
      <c r="K5" s="329"/>
      <c r="L5" s="329"/>
      <c r="M5" s="938" t="s">
        <v>1025</v>
      </c>
      <c r="N5" s="939"/>
      <c r="O5" s="331" t="s">
        <v>1026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IF(NeoBer1700!K18,"extra","")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IF(NeoBer1700!$L$37&gt;0,IF(_DagKeuze&lt;&gt;2,TRUNC(NeoBer1700!$C$37),0),"")</f>
        <v/>
      </c>
      <c r="N8" s="342" t="str">
        <f ca="1">IF(NeoBer1700!$L$37&gt;0,IF(_DagKeuze1700&lt;&gt;2,(NeoBer1700!$C$37-M8)*100,0),"")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1027</v>
      </c>
      <c r="I9" s="334"/>
      <c r="J9" s="334"/>
      <c r="K9" s="334"/>
      <c r="L9" s="328"/>
      <c r="M9" s="344" t="str">
        <f ca="1">IF(NeoBer1700!$L$38&gt;0,IF(_DagKeuze1700&lt;&gt;2,TRUNC(NeoBer1700!$C$38),0),"")</f>
        <v/>
      </c>
      <c r="N9" s="335" t="str">
        <f ca="1">IF(NeoBer1700!$L$38&gt;0,IF(_DagKeuze1700&lt;&gt;2,(NeoBer1700!$C$38-M9)*100,0),"")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898</v>
      </c>
      <c r="I10" s="339"/>
      <c r="J10" s="339"/>
      <c r="K10" s="339"/>
      <c r="L10" s="340"/>
      <c r="M10" s="341" t="str">
        <f ca="1">IF(NeoBer1700!$L$39&gt;0,TRUNC(NeoBer1700!$C$39),"")</f>
        <v/>
      </c>
      <c r="N10" s="342" t="str">
        <f ca="1">IF(NeoBer1700!$L$39&gt;0,IF(_DagKeuze1700=1,NeoBer1700!$C$39-M10,0),"")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899</v>
      </c>
      <c r="I11" s="334"/>
      <c r="J11" s="334"/>
      <c r="K11" s="334"/>
      <c r="L11" s="328"/>
      <c r="M11" s="344" t="str">
        <f ca="1">IF(NeoBer1700!$L$40&gt;0,TRUNC(NeoBer1700!$C$40),"")</f>
        <v/>
      </c>
      <c r="N11" s="335" t="str">
        <f ca="1">IF(NeoBer1700!$L$40&gt;0,IF(_DagKeuze1700=1,(NeoBer1700!$C$40-M11)*100,0),"")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435</v>
      </c>
      <c r="I12" s="339"/>
      <c r="J12" s="339"/>
      <c r="K12" s="339"/>
      <c r="L12" s="340"/>
      <c r="M12" s="341" t="str">
        <f ca="1">IF(NeoBer1700!$L$41&gt;0,TRUNC(NeoBer1700!$C$41),"")</f>
        <v/>
      </c>
      <c r="N12" s="342" t="str">
        <f ca="1">IF(NeoBer1700!$L$41&gt;0,IF(_DagKeuze1700=1,(NeoBer1700!$C$41-M12)*100,0),"")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1028</v>
      </c>
      <c r="I13" s="334"/>
      <c r="J13" s="334"/>
      <c r="K13" s="334"/>
      <c r="L13" s="328"/>
      <c r="M13" s="344" t="str">
        <f ca="1">IF(NeoBer1700!$L$42&gt;0,TRUNC(NeoBer1700!$C$42),"")</f>
        <v/>
      </c>
      <c r="N13" s="335" t="str">
        <f ca="1">IF(NeoBer1700!$L$42&gt;0,IF(_DagKeuze1700&lt;&gt;1,(NeoBer1700!$C$42-M13)*100,0),"")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1029</v>
      </c>
      <c r="I14" s="339"/>
      <c r="J14" s="339"/>
      <c r="K14" s="339"/>
      <c r="L14" s="340"/>
      <c r="M14" s="341" t="str">
        <f>IF(_DagKeuze=2,TRUNC(NeoBer1700!$C$43),"")</f>
        <v/>
      </c>
      <c r="N14" s="342" t="str">
        <f>IF(_DagKeuze=2,(NeoBer1700!$C$43-M14)*100,"")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686</v>
      </c>
      <c r="I15" s="334"/>
      <c r="J15" s="334"/>
      <c r="K15" s="334"/>
      <c r="L15" s="328"/>
      <c r="M15" s="344" t="str">
        <f>IF(_DagKeuze=3,TRUNC(NeoBer1700!$C$44),"")</f>
        <v/>
      </c>
      <c r="N15" s="335" t="str">
        <f>IF(_DagKeuze=3,(NeoBer1700!$C$44-M15)*100,"")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INDEX(Opl,NeoBer1700!D45+1,1)</f>
        <v>glucose 10%</v>
      </c>
      <c r="I16" s="339"/>
      <c r="J16" s="339"/>
      <c r="K16" s="339"/>
      <c r="L16" s="340"/>
      <c r="M16" s="341" t="str">
        <f>IF(NeoBer1700!$L$45&gt;0,TRUNC(NeoBer1700!$L$45),"")</f>
        <v/>
      </c>
      <c r="N16" s="342" t="str">
        <f>IF(NeoBer1700!$L$45&gt;0,(NeoBer1700!$L$45-M16)*100,"")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242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388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4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4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388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IF(A26&lt;&gt;"",IF(NeoBer1700!B20&gt;1,INDEX(Medicamenten,NeoBer1700!B20,1),""),"")</f>
        <v/>
      </c>
      <c r="D26" s="329"/>
      <c r="E26" s="330" t="str">
        <f>IF(A26&lt;&gt;"",IF(NeoBer1700!B20&gt;1,NeoBer1700!C20/10,""),"")</f>
        <v/>
      </c>
      <c r="F26" s="329" t="str">
        <f>IF(_Medicament_1&lt;&gt;5,"mg","ml")</f>
        <v>mg</v>
      </c>
      <c r="G26" s="357" t="s">
        <v>1030</v>
      </c>
      <c r="H26" s="329" t="str">
        <f>IF(A26&lt;&gt;"",IF(NeoBer1700!B20&gt;1,INDEX(Medicamenten,NeoBer1700!B20,3),""),"")</f>
        <v/>
      </c>
      <c r="I26" s="329" t="s">
        <v>1031</v>
      </c>
      <c r="J26" s="329" t="str">
        <f>IF(A26&lt;&gt;"",IF(NeoBer1700!B20&gt;1,INDEX(Medicamenten,NeoBer1700!B20,4),""),"")</f>
        <v/>
      </c>
      <c r="K26" s="329" t="s">
        <v>1032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1033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242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IF(A29&lt;&gt;"",IF(NeoBer1700!B21&gt;1,INDEX(Medicamenten,NeoBer1700!B21,1),""),"")</f>
        <v/>
      </c>
      <c r="D29" s="329"/>
      <c r="E29" s="330" t="str">
        <f>IF(A29&lt;&gt;"",IF(NeoBer1700!B21&gt;1,NeoBer1700!C21/10,""),"")</f>
        <v/>
      </c>
      <c r="F29" s="329" t="str">
        <f>IF(_Medicament_2&lt;&gt;5,"mg","ml")</f>
        <v>mg</v>
      </c>
      <c r="G29" s="357" t="s">
        <v>1030</v>
      </c>
      <c r="H29" s="329" t="str">
        <f>IF(A29&lt;&gt;"",IF(NeoBer1700!B21&gt;1,INDEX(Medicamenten,NeoBer1700!B21,3),""),"")</f>
        <v/>
      </c>
      <c r="I29" s="329" t="s">
        <v>1031</v>
      </c>
      <c r="J29" s="329" t="str">
        <f>IF(A29&lt;&gt;"",IF(NeoBer1700!B21&gt;1,INDEX(Medicamenten,NeoBer1700!B21,4),""),"")</f>
        <v/>
      </c>
      <c r="K29" s="329" t="s">
        <v>1032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1033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242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IF(A32&lt;&gt;"",IF(NeoBer1700!B22&gt;1,INDEX(Medicamenten,NeoBer1700!B22,1),""),"")</f>
        <v/>
      </c>
      <c r="D32" s="329"/>
      <c r="E32" s="330" t="str">
        <f>IF(A32&lt;&gt;"",IF(NeoBer1700!B22&gt;1,NeoBer1700!C22/10,""),"")</f>
        <v/>
      </c>
      <c r="F32" s="329" t="str">
        <f>IF(_Medicament_3&lt;&gt;5,"mg","ml")</f>
        <v>mg</v>
      </c>
      <c r="G32" s="357" t="s">
        <v>1030</v>
      </c>
      <c r="H32" s="329" t="str">
        <f>IF(A32&lt;&gt;"",IF(NeoBer1700!B22&gt;1,INDEX(Medicamenten,NeoBer1700!B22,3),""),"")</f>
        <v/>
      </c>
      <c r="I32" s="329" t="s">
        <v>1031</v>
      </c>
      <c r="J32" s="329" t="str">
        <f>IF(A32&lt;&gt;"",IF(NeoBer1700!B22&gt;1,INDEX(Medicamenten,NeoBer1700!B22,4),""),"")</f>
        <v/>
      </c>
      <c r="K32" s="329" t="s">
        <v>1032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1033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242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IF(A35&lt;&gt;"",IF(NeoBer1700!B23&gt;1,INDEX(Medicamenten,NeoBer1700!B23,1),""),"")</f>
        <v/>
      </c>
      <c r="D35" s="329"/>
      <c r="E35" s="330" t="str">
        <f>IF(A35&lt;&gt;"",IF(NeoBer1700!B23&gt;1,NeoBer1700!C23/10,""),"")</f>
        <v/>
      </c>
      <c r="F35" s="329" t="str">
        <f>IF(_Medicament_4&lt;&gt;5,"mg","ml")</f>
        <v>mg</v>
      </c>
      <c r="G35" s="357" t="s">
        <v>1030</v>
      </c>
      <c r="H35" s="329" t="str">
        <f>IF(A35&lt;&gt;"",IF(NeoBer1700!B23&gt;1,INDEX(Medicamenten,NeoBer1700!B23,3),""),"")</f>
        <v/>
      </c>
      <c r="I35" s="329" t="s">
        <v>1031</v>
      </c>
      <c r="J35" s="329" t="str">
        <f>IF(A35&lt;&gt;"",IF(NeoBer1700!B23&gt;1,INDEX(Medicamenten,NeoBer1700!B23,4),""),"")</f>
        <v/>
      </c>
      <c r="K35" s="329" t="s">
        <v>1032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1033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242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IF(A38&lt;&gt;"",IF(NeoBer1700!B24&gt;1,INDEX(Medicamenten,NeoBer1700!B24,1),""),"")</f>
        <v/>
      </c>
      <c r="D38" s="329"/>
      <c r="E38" s="330" t="str">
        <f>IF(A38&lt;&gt;"",IF(NeoBer1700!B24&gt;1,NeoBer1700!C24/10,""),"")</f>
        <v/>
      </c>
      <c r="F38" s="329" t="str">
        <f>IF(_Medicament_5&lt;&gt;5,"mg","ml")</f>
        <v>mg</v>
      </c>
      <c r="G38" s="357" t="s">
        <v>1030</v>
      </c>
      <c r="H38" s="329" t="str">
        <f>IF(A38&lt;&gt;"",IF(NeoBer1700!B24&gt;1,INDEX(Medicamenten,NeoBer1700!B24,3),""),"")</f>
        <v/>
      </c>
      <c r="I38" s="329" t="s">
        <v>1031</v>
      </c>
      <c r="J38" s="329" t="str">
        <f>IF(A38&lt;&gt;"",IF(NeoBer1700!B24&gt;1,INDEX(Medicamenten,NeoBer1700!B24,4),""),"")</f>
        <v/>
      </c>
      <c r="K38" s="329" t="s">
        <v>1032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1033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242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IF(A41&lt;&gt;"",IF(NeoBer1700!B25&gt;1,INDEX(Medicamenten,NeoBer1700!B25,1),""),"")</f>
        <v/>
      </c>
      <c r="D41" s="329"/>
      <c r="E41" s="330" t="str">
        <f>IF(A41&lt;&gt;"",IF(NeoBer1700!B25&gt;1,NeoBer1700!C25/10,""),"")</f>
        <v/>
      </c>
      <c r="F41" s="329" t="str">
        <f>IF(_Medicament_6&lt;&gt;5,"mg","ml")</f>
        <v>mg</v>
      </c>
      <c r="G41" s="357" t="s">
        <v>1030</v>
      </c>
      <c r="H41" s="329" t="str">
        <f>IF(A41&lt;&gt;"",IF(NeoBer1700!B25&gt;1,INDEX(Medicamenten,NeoBer1700!B25,3),""),"")</f>
        <v/>
      </c>
      <c r="I41" s="329" t="s">
        <v>1031</v>
      </c>
      <c r="J41" s="329" t="str">
        <f>IF(A41&lt;&gt;"",IF(NeoBer1700!B25&gt;1,INDEX(Medicamenten,NeoBer1700!B25,4),""),"")</f>
        <v/>
      </c>
      <c r="K41" s="329" t="s">
        <v>1032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1033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242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IF(A44&lt;&gt;"",IF(NeoBer1700!B26&gt;1,INDEX(Medicamenten,NeoBer1700!B26,1),""),"")</f>
        <v/>
      </c>
      <c r="D44" s="329"/>
      <c r="E44" s="330" t="str">
        <f>IF(A44&lt;&gt;"",IF(NeoBer1700!B26&gt;1,NeoBer1700!C26/10,""),"")</f>
        <v/>
      </c>
      <c r="F44" s="329" t="str">
        <f>IF(_Medicament_7&lt;&gt;5,"mg","ml")</f>
        <v>mg</v>
      </c>
      <c r="G44" s="357" t="s">
        <v>1030</v>
      </c>
      <c r="H44" s="329" t="str">
        <f>IF(A44&lt;&gt;"",IF(NeoBer1700!B26&gt;1,INDEX(Medicamenten,NeoBer1700!B26,3),""),"")</f>
        <v/>
      </c>
      <c r="I44" s="329" t="s">
        <v>1031</v>
      </c>
      <c r="J44" s="329" t="str">
        <f>IF(A44&lt;&gt;"",IF(NeoBer1700!B26&gt;1,INDEX(Medicamenten,NeoBer1700!B26,4),""),"")</f>
        <v/>
      </c>
      <c r="K44" s="329" t="s">
        <v>1032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1033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242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IF(A47&lt;&gt;"",IF(NeoBer1700!B27&gt;1,INDEX(Medicamenten,NeoBer1700!B27,1),""),"")</f>
        <v/>
      </c>
      <c r="D47" s="329"/>
      <c r="E47" s="330" t="str">
        <f>IF(A47&lt;&gt;"",IF(NeoBer1700!B27&gt;1,NeoBer1700!C27/10,""),"")</f>
        <v/>
      </c>
      <c r="F47" s="329" t="str">
        <f>IF(_Medicament_8&lt;&gt;5,"mg","ml")</f>
        <v>mg</v>
      </c>
      <c r="G47" s="357" t="s">
        <v>1030</v>
      </c>
      <c r="H47" s="329" t="str">
        <f>IF(A47&lt;&gt;"",IF(NeoBer1700!B27&gt;1,INDEX(Medicamenten,NeoBer1700!B27,3),""),"")</f>
        <v/>
      </c>
      <c r="I47" s="329" t="s">
        <v>1031</v>
      </c>
      <c r="J47" s="329" t="str">
        <f>IF(A47&lt;&gt;"",IF(NeoBer1700!B27&gt;1,INDEX(Medicamenten,NeoBer1700!B27,4),""),"")</f>
        <v/>
      </c>
      <c r="K47" s="329" t="s">
        <v>1032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1033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242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IF(A50&lt;&gt;"",IF(NeoBer1700!B28&gt;1,INDEX(Medicamenten,NeoBer1700!B28,1),""),"")</f>
        <v/>
      </c>
      <c r="D50" s="329"/>
      <c r="E50" s="330" t="str">
        <f>IF(A50&lt;&gt;"",IF(NeoBer1700!B28&gt;1,NeoBer1700!C28/10,""),"")</f>
        <v/>
      </c>
      <c r="F50" s="329" t="str">
        <f>IF(_Medicament_9&lt;&gt;5,"mg","ml")</f>
        <v>mg</v>
      </c>
      <c r="G50" s="357" t="s">
        <v>1030</v>
      </c>
      <c r="H50" s="329" t="str">
        <f>IF(A50&lt;&gt;"",IF(NeoBer1700!B28&gt;1,INDEX(Medicamenten,NeoBer1700!B28,3),""),"")</f>
        <v/>
      </c>
      <c r="I50" s="329" t="s">
        <v>1031</v>
      </c>
      <c r="J50" s="329" t="str">
        <f>IF(A50&lt;&gt;"",IF(NeoBer1700!B28&gt;1,INDEX(Medicamenten,NeoBer1700!B28,4),""),"")</f>
        <v/>
      </c>
      <c r="K50" s="329" t="s">
        <v>1032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1033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242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1085</v>
      </c>
      <c r="C1" s="641" t="s">
        <v>1086</v>
      </c>
      <c r="D1" s="641" t="s">
        <v>364</v>
      </c>
      <c r="E1" s="641" t="s">
        <v>365</v>
      </c>
      <c r="F1" s="641" t="s">
        <v>2420</v>
      </c>
      <c r="G1" s="641"/>
      <c r="H1" s="641" t="s">
        <v>2255</v>
      </c>
      <c r="I1" s="641" t="s">
        <v>2256</v>
      </c>
      <c r="J1" s="642" t="s">
        <v>2254</v>
      </c>
      <c r="K1" s="642" t="s">
        <v>2270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250</v>
      </c>
      <c r="C3" s="641" t="s">
        <v>1490</v>
      </c>
      <c r="D3" s="641">
        <v>0.1</v>
      </c>
      <c r="E3" s="641">
        <v>1</v>
      </c>
      <c r="F3" s="641">
        <v>2</v>
      </c>
      <c r="G3" s="641" t="s">
        <v>1092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1492</v>
      </c>
      <c r="C4" s="641" t="s">
        <v>1349</v>
      </c>
      <c r="D4" s="641">
        <v>0.5</v>
      </c>
      <c r="E4" s="641">
        <v>1</v>
      </c>
      <c r="F4" s="641">
        <v>6</v>
      </c>
      <c r="G4" s="641" t="s">
        <v>892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1493</v>
      </c>
      <c r="C5" s="641" t="s">
        <v>1494</v>
      </c>
      <c r="D5" s="641">
        <v>50</v>
      </c>
      <c r="E5" s="641">
        <v>1</v>
      </c>
      <c r="F5" s="641">
        <v>2</v>
      </c>
      <c r="G5" s="641" t="s">
        <v>1092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1515</v>
      </c>
      <c r="C6" s="641" t="s">
        <v>1090</v>
      </c>
      <c r="D6" s="641">
        <v>1</v>
      </c>
      <c r="E6" s="641">
        <v>2</v>
      </c>
      <c r="F6" s="641">
        <v>3</v>
      </c>
      <c r="G6" s="641" t="s">
        <v>737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1495</v>
      </c>
      <c r="C7" s="641" t="s">
        <v>1520</v>
      </c>
      <c r="D7" s="641">
        <v>0.15</v>
      </c>
      <c r="E7" s="641">
        <v>1</v>
      </c>
      <c r="F7" s="641">
        <v>7</v>
      </c>
      <c r="G7" s="641" t="s">
        <v>1496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1497</v>
      </c>
      <c r="C8" s="641" t="s">
        <v>1095</v>
      </c>
      <c r="D8" s="641">
        <v>12.5</v>
      </c>
      <c r="E8" s="641">
        <v>1</v>
      </c>
      <c r="F8" s="641">
        <v>2</v>
      </c>
      <c r="G8" s="641" t="s">
        <v>1092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1498</v>
      </c>
      <c r="C9" s="641" t="s">
        <v>1098</v>
      </c>
      <c r="D9" s="641">
        <v>40</v>
      </c>
      <c r="E9" s="641">
        <v>1</v>
      </c>
      <c r="F9" s="641">
        <v>2</v>
      </c>
      <c r="G9" s="641" t="s">
        <v>1092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26" t="s">
        <v>2411</v>
      </c>
      <c r="C10" s="827" t="s">
        <v>2412</v>
      </c>
      <c r="D10" s="826">
        <v>2</v>
      </c>
      <c r="E10" s="826">
        <v>1</v>
      </c>
      <c r="F10" s="825">
        <v>5</v>
      </c>
      <c r="G10" s="827" t="s">
        <v>736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1502</v>
      </c>
      <c r="C11" s="641" t="s">
        <v>976</v>
      </c>
      <c r="D11" s="641">
        <v>2.5</v>
      </c>
      <c r="E11" s="641">
        <v>1</v>
      </c>
      <c r="F11" s="641"/>
      <c r="G11" s="641" t="s">
        <v>388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1499</v>
      </c>
      <c r="C12" s="641" t="s">
        <v>976</v>
      </c>
      <c r="D12" s="641">
        <v>2.5</v>
      </c>
      <c r="E12" s="641">
        <v>1</v>
      </c>
      <c r="F12" s="641"/>
      <c r="G12" s="641" t="s">
        <v>388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1500</v>
      </c>
      <c r="C13" s="642" t="s">
        <v>103</v>
      </c>
      <c r="D13" s="642">
        <v>0.01</v>
      </c>
      <c r="E13" s="642">
        <v>1</v>
      </c>
      <c r="F13" s="642">
        <v>6</v>
      </c>
      <c r="G13" s="642" t="s">
        <v>892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1501</v>
      </c>
      <c r="C14" s="641" t="s">
        <v>960</v>
      </c>
      <c r="D14" s="641">
        <v>10</v>
      </c>
      <c r="E14" s="641">
        <v>11</v>
      </c>
      <c r="F14" s="641">
        <v>4</v>
      </c>
      <c r="G14" s="641" t="s">
        <v>961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1503</v>
      </c>
      <c r="C15" s="263" t="s">
        <v>319</v>
      </c>
      <c r="D15" s="641">
        <v>10</v>
      </c>
      <c r="E15" s="641">
        <v>1</v>
      </c>
      <c r="F15" s="641">
        <v>3</v>
      </c>
      <c r="G15" s="263" t="s">
        <v>737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1504</v>
      </c>
      <c r="C16" s="263" t="s">
        <v>2418</v>
      </c>
      <c r="D16" s="641">
        <v>100</v>
      </c>
      <c r="E16" s="641">
        <v>1</v>
      </c>
      <c r="F16" s="641">
        <v>9</v>
      </c>
      <c r="G16" s="263" t="s">
        <v>128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1505</v>
      </c>
      <c r="C17" s="263" t="s">
        <v>1106</v>
      </c>
      <c r="D17" s="641">
        <v>1</v>
      </c>
      <c r="E17" s="641">
        <v>1</v>
      </c>
      <c r="F17" s="641">
        <v>2</v>
      </c>
      <c r="G17" s="263" t="s">
        <v>1092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1506</v>
      </c>
      <c r="C18" s="263" t="s">
        <v>1507</v>
      </c>
      <c r="D18" s="641">
        <v>5</v>
      </c>
      <c r="E18" s="642">
        <v>1</v>
      </c>
      <c r="F18" s="641">
        <v>5</v>
      </c>
      <c r="G18" s="263" t="s">
        <v>736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1516</v>
      </c>
      <c r="C19" s="641" t="s">
        <v>1517</v>
      </c>
      <c r="D19" s="641">
        <v>20</v>
      </c>
      <c r="E19" s="641">
        <v>1</v>
      </c>
      <c r="F19" s="641">
        <v>5</v>
      </c>
      <c r="G19" s="641" t="s">
        <v>736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569</v>
      </c>
      <c r="C20" s="263" t="s">
        <v>247</v>
      </c>
      <c r="D20" s="641">
        <v>5</v>
      </c>
      <c r="E20" s="641">
        <v>1</v>
      </c>
      <c r="F20" s="641">
        <v>5</v>
      </c>
      <c r="G20" s="263" t="s">
        <v>736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1508</v>
      </c>
      <c r="C21" s="263" t="s">
        <v>1511</v>
      </c>
      <c r="D21" s="641">
        <v>1</v>
      </c>
      <c r="E21" s="641">
        <v>1</v>
      </c>
      <c r="F21" s="641">
        <v>2</v>
      </c>
      <c r="G21" s="263" t="s">
        <v>1092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260</v>
      </c>
      <c r="C22" s="263" t="s">
        <v>1111</v>
      </c>
      <c r="D22" s="641">
        <v>10</v>
      </c>
      <c r="E22" s="641">
        <v>1</v>
      </c>
      <c r="F22" s="641">
        <v>3</v>
      </c>
      <c r="G22" s="263" t="s">
        <v>737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1518</v>
      </c>
      <c r="C23" s="641" t="s">
        <v>1519</v>
      </c>
      <c r="D23" s="641">
        <v>1</v>
      </c>
      <c r="E23" s="641">
        <v>1</v>
      </c>
      <c r="F23" s="641">
        <v>2</v>
      </c>
      <c r="G23" s="641" t="s">
        <v>1092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1509</v>
      </c>
      <c r="C24" s="263" t="s">
        <v>1512</v>
      </c>
      <c r="D24" s="641">
        <v>25</v>
      </c>
      <c r="E24" s="641">
        <v>1</v>
      </c>
      <c r="F24" s="641">
        <v>2</v>
      </c>
      <c r="G24" s="263" t="s">
        <v>1092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1510</v>
      </c>
      <c r="C25" s="263" t="s">
        <v>1112</v>
      </c>
      <c r="D25" s="641">
        <v>1</v>
      </c>
      <c r="E25" s="641">
        <v>1</v>
      </c>
      <c r="F25" s="641">
        <v>2</v>
      </c>
      <c r="G25" s="263" t="s">
        <v>1092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1513</v>
      </c>
      <c r="C26" s="263" t="s">
        <v>1514</v>
      </c>
      <c r="D26" s="641">
        <v>10</v>
      </c>
      <c r="E26" s="641">
        <v>1</v>
      </c>
      <c r="F26" s="641">
        <v>5</v>
      </c>
      <c r="G26" s="263" t="s">
        <v>736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41"/>
      <c r="B2" s="941"/>
      <c r="C2" s="941"/>
      <c r="D2" s="941"/>
      <c r="E2" s="941"/>
      <c r="F2" s="941"/>
      <c r="G2" s="941"/>
    </row>
    <row r="3" spans="1:7" ht="13.2" x14ac:dyDescent="0.4">
      <c r="A3" s="942" t="s">
        <v>1074</v>
      </c>
      <c r="B3" s="942"/>
      <c r="C3" s="942"/>
      <c r="D3" s="942"/>
      <c r="E3" s="942"/>
      <c r="F3" s="942"/>
      <c r="G3" s="942"/>
    </row>
    <row r="4" spans="1:7" x14ac:dyDescent="0.35">
      <c r="A4" s="490" t="s">
        <v>1075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1259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35">
      <c r="A6" s="606" t="s">
        <v>1076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1077</v>
      </c>
      <c r="B8" s="494"/>
      <c r="C8" s="494"/>
      <c r="D8" s="494"/>
      <c r="E8" s="494"/>
      <c r="F8" s="494"/>
      <c r="G8" s="494"/>
    </row>
    <row r="9" spans="1:7" x14ac:dyDescent="0.35">
      <c r="A9" s="490" t="s">
        <v>1078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66</v>
      </c>
      <c r="B10" s="491"/>
      <c r="C10" s="491" t="s">
        <v>1079</v>
      </c>
      <c r="D10" s="491" t="s">
        <v>1079</v>
      </c>
      <c r="E10" s="491"/>
      <c r="F10" s="491"/>
      <c r="G10" s="491"/>
    </row>
    <row r="11" spans="1:7" x14ac:dyDescent="0.35">
      <c r="A11" s="490" t="s">
        <v>1027</v>
      </c>
      <c r="B11" s="491"/>
      <c r="C11" s="491" t="s">
        <v>1080</v>
      </c>
      <c r="D11" s="491" t="s">
        <v>1080</v>
      </c>
      <c r="E11" s="491"/>
      <c r="F11" s="491"/>
      <c r="G11" s="491"/>
    </row>
    <row r="12" spans="1:7" ht="15.1" x14ac:dyDescent="0.5">
      <c r="A12" s="490" t="s">
        <v>1081</v>
      </c>
      <c r="B12" s="491" t="s">
        <v>1079</v>
      </c>
      <c r="C12" s="491" t="s">
        <v>1079</v>
      </c>
      <c r="D12" s="491" t="s">
        <v>1079</v>
      </c>
      <c r="E12" s="491"/>
      <c r="F12" s="491"/>
      <c r="G12" s="491"/>
    </row>
    <row r="13" spans="1:7" ht="15.1" x14ac:dyDescent="0.5">
      <c r="A13" s="490" t="s">
        <v>1082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454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1083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1084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4" t="s">
        <v>2257</v>
      </c>
      <c r="B1" s="944"/>
      <c r="C1" s="944"/>
      <c r="D1" s="944"/>
      <c r="E1" s="944"/>
      <c r="F1" s="944"/>
      <c r="G1" s="944"/>
      <c r="H1" s="944"/>
      <c r="I1" s="945" t="s">
        <v>2258</v>
      </c>
      <c r="J1" s="945"/>
      <c r="K1" s="945"/>
      <c r="L1" s="943" t="s">
        <v>2259</v>
      </c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B1" s="943" t="s">
        <v>2264</v>
      </c>
      <c r="AC1" s="943"/>
      <c r="AE1" s="830" t="s">
        <v>2264</v>
      </c>
    </row>
    <row r="2" spans="1:31" ht="13.2" x14ac:dyDescent="0.4">
      <c r="A2" s="641" t="s">
        <v>329</v>
      </c>
      <c r="B2" s="641" t="s">
        <v>1035</v>
      </c>
      <c r="C2" s="641" t="s">
        <v>472</v>
      </c>
      <c r="D2" s="641" t="s">
        <v>473</v>
      </c>
      <c r="E2" s="641" t="s">
        <v>465</v>
      </c>
      <c r="F2" s="641" t="s">
        <v>474</v>
      </c>
      <c r="G2" s="641" t="s">
        <v>475</v>
      </c>
      <c r="H2" s="641" t="s">
        <v>1034</v>
      </c>
      <c r="J2" s="641" t="s">
        <v>685</v>
      </c>
      <c r="K2" s="641" t="s">
        <v>1087</v>
      </c>
      <c r="L2" s="652" t="s">
        <v>1987</v>
      </c>
      <c r="M2" s="652" t="s">
        <v>582</v>
      </c>
      <c r="N2" s="652" t="s">
        <v>472</v>
      </c>
      <c r="O2" s="652" t="s">
        <v>473</v>
      </c>
      <c r="P2" s="652" t="s">
        <v>474</v>
      </c>
      <c r="Q2" s="652" t="s">
        <v>475</v>
      </c>
      <c r="R2" s="652" t="s">
        <v>1034</v>
      </c>
      <c r="S2" s="652" t="s">
        <v>470</v>
      </c>
      <c r="T2" s="652" t="s">
        <v>1035</v>
      </c>
      <c r="U2" s="652" t="s">
        <v>1036</v>
      </c>
      <c r="V2" s="652" t="s">
        <v>1037</v>
      </c>
      <c r="W2" s="652" t="s">
        <v>1088</v>
      </c>
      <c r="X2" s="652" t="s">
        <v>1046</v>
      </c>
      <c r="Y2" s="652" t="s">
        <v>1682</v>
      </c>
      <c r="Z2" s="652" t="s">
        <v>1772</v>
      </c>
      <c r="AB2" s="753" t="s">
        <v>1659</v>
      </c>
      <c r="AC2" s="753" t="s">
        <v>1660</v>
      </c>
      <c r="AE2" s="831"/>
    </row>
    <row r="3" spans="1:31" x14ac:dyDescent="0.35">
      <c r="I3" s="641">
        <v>1</v>
      </c>
      <c r="AE3" s="831" t="s">
        <v>1069</v>
      </c>
    </row>
    <row r="4" spans="1:31" x14ac:dyDescent="0.35">
      <c r="A4" s="641" t="s">
        <v>1091</v>
      </c>
      <c r="B4" s="641">
        <v>0.05</v>
      </c>
      <c r="I4" s="641">
        <v>2</v>
      </c>
      <c r="J4" s="641" t="s">
        <v>1092</v>
      </c>
      <c r="K4" s="641">
        <v>1.44</v>
      </c>
      <c r="L4" s="641" t="s">
        <v>373</v>
      </c>
      <c r="M4" s="641" t="s">
        <v>373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373</v>
      </c>
      <c r="AA4" s="683"/>
      <c r="AB4" s="641">
        <v>2.2000000000000002</v>
      </c>
      <c r="AC4" s="641">
        <v>0.5</v>
      </c>
      <c r="AE4" s="831" t="s">
        <v>2495</v>
      </c>
    </row>
    <row r="5" spans="1:31" x14ac:dyDescent="0.35">
      <c r="A5" s="641" t="s">
        <v>1096</v>
      </c>
      <c r="B5" s="641">
        <v>0.1</v>
      </c>
      <c r="I5" s="641">
        <v>3</v>
      </c>
      <c r="J5" s="641" t="s">
        <v>737</v>
      </c>
      <c r="K5" s="641">
        <v>1</v>
      </c>
      <c r="L5" s="641" t="s">
        <v>1687</v>
      </c>
      <c r="M5" s="641" t="s">
        <v>1687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1773</v>
      </c>
      <c r="AA5" s="683"/>
      <c r="AB5" s="641">
        <v>4.4000000000000004</v>
      </c>
      <c r="AC5" s="641">
        <v>1</v>
      </c>
    </row>
    <row r="6" spans="1:31" x14ac:dyDescent="0.35">
      <c r="A6" s="641" t="s">
        <v>1099</v>
      </c>
      <c r="B6" s="641">
        <v>0.15</v>
      </c>
      <c r="I6" s="641">
        <v>4</v>
      </c>
      <c r="J6" s="641" t="s">
        <v>961</v>
      </c>
      <c r="K6" s="641">
        <v>1440</v>
      </c>
      <c r="L6" s="641" t="s">
        <v>1688</v>
      </c>
      <c r="M6" s="641" t="s">
        <v>1688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1773</v>
      </c>
      <c r="AA6" s="683"/>
      <c r="AC6" s="641">
        <v>1.5</v>
      </c>
    </row>
    <row r="7" spans="1:31" x14ac:dyDescent="0.35">
      <c r="A7" s="641" t="s">
        <v>1101</v>
      </c>
      <c r="B7" s="641">
        <v>0.2</v>
      </c>
      <c r="I7" s="641">
        <v>5</v>
      </c>
      <c r="J7" s="641" t="s">
        <v>736</v>
      </c>
      <c r="K7" s="641">
        <v>24</v>
      </c>
      <c r="L7" s="641" t="s">
        <v>1093</v>
      </c>
      <c r="M7" s="641" t="s">
        <v>1093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1773</v>
      </c>
      <c r="AA7" s="683"/>
      <c r="AC7" s="641">
        <v>2</v>
      </c>
    </row>
    <row r="8" spans="1:31" x14ac:dyDescent="0.35">
      <c r="A8" s="641" t="s">
        <v>1103</v>
      </c>
      <c r="B8" s="641">
        <v>0.25</v>
      </c>
      <c r="I8" s="641">
        <v>6</v>
      </c>
      <c r="J8" s="641" t="s">
        <v>892</v>
      </c>
      <c r="K8" s="641">
        <v>1.4400000000000001E-3</v>
      </c>
      <c r="L8" s="641" t="s">
        <v>1752</v>
      </c>
      <c r="M8" s="641" t="s">
        <v>1752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1773</v>
      </c>
      <c r="AA8" s="683"/>
      <c r="AC8" s="641">
        <v>2.5</v>
      </c>
    </row>
    <row r="9" spans="1:31" x14ac:dyDescent="0.35">
      <c r="A9" s="641" t="s">
        <v>1105</v>
      </c>
      <c r="B9" s="641">
        <v>0.3</v>
      </c>
      <c r="I9" s="641">
        <v>7</v>
      </c>
      <c r="J9" s="641" t="s">
        <v>1496</v>
      </c>
      <c r="K9" s="641">
        <v>2.4E-2</v>
      </c>
      <c r="L9" s="641" t="s">
        <v>1753</v>
      </c>
      <c r="M9" s="641" t="s">
        <v>1753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373</v>
      </c>
      <c r="AA9" s="683"/>
      <c r="AC9" s="641">
        <v>3</v>
      </c>
    </row>
    <row r="10" spans="1:31" x14ac:dyDescent="0.35">
      <c r="A10" s="641" t="s">
        <v>1107</v>
      </c>
      <c r="B10" s="641">
        <v>0.35</v>
      </c>
      <c r="I10" s="641">
        <v>8</v>
      </c>
      <c r="J10" s="641" t="s">
        <v>738</v>
      </c>
      <c r="K10" s="641">
        <v>1</v>
      </c>
      <c r="L10" s="641" t="s">
        <v>1754</v>
      </c>
      <c r="M10" s="641" t="s">
        <v>1754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373</v>
      </c>
      <c r="AA10" s="683"/>
      <c r="AC10" s="641">
        <v>3.5</v>
      </c>
    </row>
    <row r="11" spans="1:31" x14ac:dyDescent="0.35">
      <c r="A11" s="641" t="s">
        <v>1108</v>
      </c>
      <c r="B11" s="641">
        <v>0.4</v>
      </c>
      <c r="I11" s="641">
        <v>9</v>
      </c>
      <c r="J11" s="263" t="s">
        <v>128</v>
      </c>
      <c r="K11" s="641">
        <v>24</v>
      </c>
      <c r="L11" s="641" t="s">
        <v>1755</v>
      </c>
      <c r="M11" s="641" t="s">
        <v>1755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373</v>
      </c>
      <c r="AA11" s="683"/>
      <c r="AC11" s="641">
        <v>4</v>
      </c>
    </row>
    <row r="12" spans="1:31" x14ac:dyDescent="0.35">
      <c r="A12" s="641" t="s">
        <v>1109</v>
      </c>
      <c r="B12" s="641">
        <v>0.45</v>
      </c>
      <c r="L12" s="641" t="s">
        <v>1756</v>
      </c>
      <c r="M12" s="641" t="s">
        <v>1756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373</v>
      </c>
      <c r="AA12" s="683"/>
      <c r="AC12" s="641">
        <v>4.5</v>
      </c>
    </row>
    <row r="13" spans="1:31" x14ac:dyDescent="0.35">
      <c r="A13" s="641" t="s">
        <v>1110</v>
      </c>
      <c r="B13" s="641">
        <v>0.5</v>
      </c>
      <c r="L13" s="641" t="s">
        <v>1757</v>
      </c>
      <c r="M13" s="641" t="s">
        <v>1757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373</v>
      </c>
      <c r="AA13" s="683"/>
      <c r="AC13" s="641">
        <v>5</v>
      </c>
    </row>
    <row r="14" spans="1:31" x14ac:dyDescent="0.35">
      <c r="A14" s="641" t="s">
        <v>629</v>
      </c>
      <c r="C14" s="641">
        <v>0.155</v>
      </c>
      <c r="L14" s="641" t="s">
        <v>1758</v>
      </c>
      <c r="M14" s="641" t="s">
        <v>1758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373</v>
      </c>
      <c r="AA14" s="683"/>
    </row>
    <row r="15" spans="1:31" x14ac:dyDescent="0.35">
      <c r="A15" s="641" t="s">
        <v>1113</v>
      </c>
      <c r="C15" s="641">
        <v>0.5</v>
      </c>
      <c r="L15" s="641" t="s">
        <v>1689</v>
      </c>
      <c r="M15" s="641" t="s">
        <v>1689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1773</v>
      </c>
      <c r="AA15" s="683"/>
    </row>
    <row r="16" spans="1:31" x14ac:dyDescent="0.35">
      <c r="A16" s="641" t="s">
        <v>100</v>
      </c>
      <c r="C16" s="641">
        <v>1</v>
      </c>
      <c r="L16" s="641" t="s">
        <v>1766</v>
      </c>
      <c r="M16" s="641" t="s">
        <v>1766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1773</v>
      </c>
      <c r="AA16" s="683"/>
    </row>
    <row r="17" spans="1:27" x14ac:dyDescent="0.35">
      <c r="A17" s="641" t="s">
        <v>688</v>
      </c>
      <c r="C17" s="641">
        <v>0.5</v>
      </c>
      <c r="L17" s="641" t="s">
        <v>1690</v>
      </c>
      <c r="M17" s="641" t="s">
        <v>1690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1773</v>
      </c>
      <c r="AA17" s="683"/>
    </row>
    <row r="18" spans="1:27" x14ac:dyDescent="0.35">
      <c r="A18" s="641" t="s">
        <v>1491</v>
      </c>
      <c r="L18" s="641" t="s">
        <v>1769</v>
      </c>
      <c r="M18" s="641" t="s">
        <v>1769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1773</v>
      </c>
      <c r="AA18" s="683"/>
    </row>
    <row r="19" spans="1:27" x14ac:dyDescent="0.35">
      <c r="L19" s="641" t="s">
        <v>1692</v>
      </c>
      <c r="M19" s="641" t="s">
        <v>1692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1773</v>
      </c>
      <c r="AA19" s="683"/>
    </row>
    <row r="23" spans="1:27" ht="13.2" x14ac:dyDescent="0.4">
      <c r="L23" s="943" t="s">
        <v>2262</v>
      </c>
      <c r="M23" s="943"/>
      <c r="N23" s="943"/>
      <c r="O23" s="943"/>
      <c r="P23" s="943"/>
      <c r="Q23" s="943"/>
      <c r="R23" s="943"/>
      <c r="S23" s="943"/>
      <c r="T23" s="943"/>
      <c r="U23" s="943"/>
      <c r="V23" s="943"/>
      <c r="W23" s="943"/>
      <c r="X23" s="943"/>
      <c r="Y23" s="943"/>
      <c r="Z23" s="943"/>
    </row>
    <row r="24" spans="1:27" ht="13.2" x14ac:dyDescent="0.4">
      <c r="M24" s="652" t="s">
        <v>478</v>
      </c>
      <c r="N24" s="652" t="s">
        <v>472</v>
      </c>
      <c r="O24" s="652" t="s">
        <v>473</v>
      </c>
      <c r="P24" s="652" t="s">
        <v>474</v>
      </c>
      <c r="Q24" s="652" t="s">
        <v>475</v>
      </c>
      <c r="R24" s="652" t="s">
        <v>1034</v>
      </c>
      <c r="S24" s="652" t="s">
        <v>470</v>
      </c>
      <c r="T24" s="652" t="s">
        <v>1035</v>
      </c>
      <c r="U24" s="652" t="s">
        <v>1036</v>
      </c>
      <c r="V24" s="652" t="s">
        <v>1037</v>
      </c>
    </row>
    <row r="25" spans="1:27" x14ac:dyDescent="0.35">
      <c r="M25" s="641" t="s">
        <v>686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1114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3" t="s">
        <v>2261</v>
      </c>
      <c r="M31" s="943"/>
      <c r="N31" s="943"/>
      <c r="O31" s="943"/>
      <c r="P31" s="943"/>
      <c r="Q31" s="943"/>
      <c r="R31" s="943"/>
      <c r="S31" s="943"/>
      <c r="T31" s="943"/>
      <c r="U31" s="943"/>
      <c r="V31" s="943"/>
      <c r="W31" s="943"/>
      <c r="X31" s="943"/>
      <c r="Y31" s="943"/>
      <c r="Z31" s="943"/>
    </row>
    <row r="32" spans="1:27" ht="13.2" x14ac:dyDescent="0.4">
      <c r="M32" s="652" t="s">
        <v>1661</v>
      </c>
      <c r="N32" s="652" t="s">
        <v>472</v>
      </c>
      <c r="O32" s="652" t="s">
        <v>473</v>
      </c>
      <c r="P32" s="652" t="s">
        <v>474</v>
      </c>
      <c r="Q32" s="652" t="s">
        <v>475</v>
      </c>
      <c r="R32" s="652" t="s">
        <v>1034</v>
      </c>
      <c r="S32" s="652" t="s">
        <v>470</v>
      </c>
      <c r="T32" s="652" t="s">
        <v>1035</v>
      </c>
      <c r="U32" s="652" t="s">
        <v>1036</v>
      </c>
      <c r="V32" s="652" t="s">
        <v>1037</v>
      </c>
      <c r="W32" s="661" t="s">
        <v>1088</v>
      </c>
      <c r="X32" s="661" t="s">
        <v>1089</v>
      </c>
      <c r="Y32" s="652" t="s">
        <v>1682</v>
      </c>
    </row>
    <row r="34" spans="11:27" x14ac:dyDescent="0.35">
      <c r="L34" s="641" t="s">
        <v>1038</v>
      </c>
      <c r="M34" s="641" t="s">
        <v>1038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1094</v>
      </c>
      <c r="M35" s="641" t="s">
        <v>1986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1097</v>
      </c>
      <c r="M36" s="641" t="s">
        <v>1701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1102</v>
      </c>
      <c r="M37" s="641" t="s">
        <v>1702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1104</v>
      </c>
      <c r="M38" s="641" t="s">
        <v>1703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1762</v>
      </c>
      <c r="M39" s="641" t="s">
        <v>1762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3" t="s">
        <v>2260</v>
      </c>
      <c r="M42" s="943"/>
      <c r="N42" s="943"/>
      <c r="O42" s="943"/>
      <c r="P42" s="943"/>
      <c r="Q42" s="943"/>
      <c r="R42" s="943"/>
      <c r="S42" s="943"/>
      <c r="T42" s="943"/>
      <c r="U42" s="943"/>
      <c r="V42" s="943"/>
      <c r="W42" s="943"/>
      <c r="X42" s="943"/>
      <c r="Y42" s="943"/>
      <c r="Z42" s="943"/>
    </row>
    <row r="43" spans="11:27" ht="13.2" x14ac:dyDescent="0.4">
      <c r="M43" s="652" t="s">
        <v>1662</v>
      </c>
      <c r="N43" s="652" t="s">
        <v>472</v>
      </c>
      <c r="O43" s="652" t="s">
        <v>473</v>
      </c>
      <c r="P43" s="652" t="s">
        <v>474</v>
      </c>
      <c r="Q43" s="652" t="s">
        <v>475</v>
      </c>
      <c r="R43" s="652" t="s">
        <v>1034</v>
      </c>
      <c r="S43" s="652" t="s">
        <v>470</v>
      </c>
      <c r="T43" s="652" t="s">
        <v>1035</v>
      </c>
      <c r="U43" s="652" t="s">
        <v>1036</v>
      </c>
      <c r="V43" s="652" t="s">
        <v>1037</v>
      </c>
      <c r="W43" s="661" t="s">
        <v>1088</v>
      </c>
      <c r="X43" s="661" t="s">
        <v>1089</v>
      </c>
      <c r="Y43" s="652" t="s">
        <v>1682</v>
      </c>
    </row>
    <row r="45" spans="11:27" x14ac:dyDescent="0.35">
      <c r="L45" s="641" t="s">
        <v>1663</v>
      </c>
      <c r="M45" s="641" t="s">
        <v>1703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1664</v>
      </c>
      <c r="M46" s="641" t="s">
        <v>1038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1665</v>
      </c>
      <c r="M47" s="641" t="s">
        <v>1701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1666</v>
      </c>
      <c r="M48" s="641" t="s">
        <v>1762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3" t="s">
        <v>2263</v>
      </c>
      <c r="M50" s="943"/>
      <c r="N50" s="943"/>
      <c r="O50" s="943"/>
      <c r="P50" s="943"/>
      <c r="Q50" s="943"/>
      <c r="R50" s="943"/>
      <c r="S50" s="943"/>
      <c r="T50" s="943"/>
      <c r="U50" s="943"/>
      <c r="V50" s="943"/>
      <c r="W50" s="943"/>
      <c r="X50" s="943"/>
      <c r="Y50" s="943"/>
      <c r="Z50" s="943"/>
      <c r="AA50" s="642"/>
    </row>
    <row r="51" spans="1:27" ht="13.2" x14ac:dyDescent="0.4">
      <c r="M51" s="652"/>
      <c r="N51" s="652" t="s">
        <v>472</v>
      </c>
      <c r="O51" s="652" t="s">
        <v>473</v>
      </c>
      <c r="P51" s="652" t="s">
        <v>474</v>
      </c>
      <c r="Q51" s="652" t="s">
        <v>475</v>
      </c>
      <c r="R51" s="652" t="s">
        <v>1034</v>
      </c>
      <c r="S51" s="652" t="s">
        <v>470</v>
      </c>
      <c r="T51" s="652" t="s">
        <v>1035</v>
      </c>
      <c r="U51" s="652" t="s">
        <v>1036</v>
      </c>
      <c r="V51" s="652" t="s">
        <v>1037</v>
      </c>
      <c r="W51" s="704" t="s">
        <v>1088</v>
      </c>
      <c r="X51" s="704" t="s">
        <v>1089</v>
      </c>
      <c r="Y51" s="652" t="s">
        <v>1682</v>
      </c>
      <c r="Z51" s="642"/>
      <c r="AA51" s="642"/>
    </row>
    <row r="52" spans="1:27" x14ac:dyDescent="0.35">
      <c r="L52" s="641" t="s">
        <v>1100</v>
      </c>
      <c r="M52" s="641" t="s">
        <v>1100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1988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105</v>
      </c>
      <c r="D2" s="693" t="s">
        <v>330</v>
      </c>
      <c r="E2" s="693" t="s">
        <v>330</v>
      </c>
      <c r="F2" s="693" t="s">
        <v>330</v>
      </c>
      <c r="G2" s="694" t="s">
        <v>330</v>
      </c>
      <c r="H2" s="694" t="s">
        <v>330</v>
      </c>
      <c r="I2" s="694" t="s">
        <v>1989</v>
      </c>
      <c r="J2" s="695" t="s">
        <v>1990</v>
      </c>
    </row>
    <row r="3" spans="1:18" x14ac:dyDescent="0.45">
      <c r="C3" s="696" t="s">
        <v>472</v>
      </c>
      <c r="D3" s="697" t="s">
        <v>473</v>
      </c>
      <c r="E3" s="697" t="s">
        <v>474</v>
      </c>
      <c r="F3" s="697" t="s">
        <v>481</v>
      </c>
      <c r="G3" s="697" t="s">
        <v>475</v>
      </c>
      <c r="H3" s="697" t="s">
        <v>1682</v>
      </c>
      <c r="I3" s="697" t="s">
        <v>1683</v>
      </c>
      <c r="J3" s="698" t="s">
        <v>1088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1763</v>
      </c>
      <c r="B7" s="663" t="s">
        <v>979</v>
      </c>
    </row>
    <row r="8" spans="1:18" x14ac:dyDescent="0.45">
      <c r="C8" s="663"/>
      <c r="D8" s="653" t="s">
        <v>62</v>
      </c>
      <c r="E8" s="653" t="s">
        <v>62</v>
      </c>
      <c r="F8" s="653" t="s">
        <v>62</v>
      </c>
      <c r="G8" s="653" t="s">
        <v>364</v>
      </c>
      <c r="H8" s="653" t="s">
        <v>364</v>
      </c>
      <c r="I8" s="653" t="s">
        <v>364</v>
      </c>
      <c r="J8" s="653" t="s">
        <v>364</v>
      </c>
      <c r="K8" s="653" t="s">
        <v>364</v>
      </c>
      <c r="L8" s="653" t="s">
        <v>364</v>
      </c>
      <c r="M8" s="653" t="s">
        <v>1684</v>
      </c>
      <c r="N8" s="653" t="s">
        <v>364</v>
      </c>
      <c r="O8" s="653"/>
    </row>
    <row r="9" spans="1:18" x14ac:dyDescent="0.45">
      <c r="A9" s="647" t="s">
        <v>1764</v>
      </c>
      <c r="B9" s="653"/>
      <c r="C9" s="653" t="s">
        <v>479</v>
      </c>
      <c r="D9" s="653" t="s">
        <v>470</v>
      </c>
      <c r="E9" s="653" t="s">
        <v>1035</v>
      </c>
      <c r="F9" s="653" t="s">
        <v>1036</v>
      </c>
      <c r="G9" s="653" t="s">
        <v>472</v>
      </c>
      <c r="H9" s="653" t="s">
        <v>473</v>
      </c>
      <c r="I9" s="653" t="s">
        <v>474</v>
      </c>
      <c r="J9" s="653" t="s">
        <v>1034</v>
      </c>
      <c r="K9" s="653" t="s">
        <v>475</v>
      </c>
      <c r="L9" s="653" t="s">
        <v>1682</v>
      </c>
      <c r="M9" s="653" t="s">
        <v>1683</v>
      </c>
      <c r="N9" s="653" t="s">
        <v>1088</v>
      </c>
      <c r="O9" s="653"/>
    </row>
    <row r="10" spans="1:18" x14ac:dyDescent="0.45">
      <c r="A10" s="653" t="s">
        <v>1765</v>
      </c>
      <c r="B10" s="653"/>
      <c r="C10" s="653" t="s">
        <v>479</v>
      </c>
      <c r="D10" s="653" t="s">
        <v>430</v>
      </c>
      <c r="E10" s="653" t="s">
        <v>480</v>
      </c>
      <c r="F10" s="653" t="s">
        <v>431</v>
      </c>
      <c r="G10" s="653" t="s">
        <v>472</v>
      </c>
      <c r="H10" s="653" t="s">
        <v>473</v>
      </c>
      <c r="I10" s="653" t="s">
        <v>474</v>
      </c>
      <c r="J10" s="653" t="s">
        <v>481</v>
      </c>
      <c r="K10" s="653" t="s">
        <v>475</v>
      </c>
      <c r="L10" s="653" t="s">
        <v>1682</v>
      </c>
      <c r="M10" s="653" t="s">
        <v>1683</v>
      </c>
      <c r="N10" s="653" t="s">
        <v>1088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373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1687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1688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1689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1093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1752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24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1947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1769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981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982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1948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1985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984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985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987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988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1949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1690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1691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1753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1754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1755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1756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1757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1758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1766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1692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1693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1694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1695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1767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1768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1950</v>
      </c>
      <c r="B48" s="663" t="s">
        <v>1759</v>
      </c>
    </row>
    <row r="49" spans="1:15" x14ac:dyDescent="0.45">
      <c r="C49" s="663"/>
      <c r="D49" s="653" t="s">
        <v>62</v>
      </c>
      <c r="E49" s="653" t="s">
        <v>62</v>
      </c>
      <c r="F49" s="653" t="s">
        <v>62</v>
      </c>
      <c r="G49" s="653" t="s">
        <v>364</v>
      </c>
      <c r="H49" s="653" t="s">
        <v>364</v>
      </c>
      <c r="I49" s="653" t="s">
        <v>364</v>
      </c>
      <c r="J49" s="653" t="s">
        <v>364</v>
      </c>
      <c r="K49" s="653" t="s">
        <v>364</v>
      </c>
      <c r="L49" s="653" t="s">
        <v>364</v>
      </c>
      <c r="M49" s="653" t="s">
        <v>1684</v>
      </c>
      <c r="N49" s="653" t="s">
        <v>364</v>
      </c>
    </row>
    <row r="50" spans="1:15" x14ac:dyDescent="0.45">
      <c r="A50" s="647" t="s">
        <v>1764</v>
      </c>
      <c r="B50" s="653"/>
      <c r="C50" s="653" t="s">
        <v>479</v>
      </c>
      <c r="D50" s="653" t="s">
        <v>470</v>
      </c>
      <c r="E50" s="653" t="s">
        <v>1035</v>
      </c>
      <c r="F50" s="653" t="s">
        <v>1036</v>
      </c>
      <c r="G50" s="653" t="s">
        <v>472</v>
      </c>
      <c r="H50" s="653" t="s">
        <v>473</v>
      </c>
      <c r="I50" s="653" t="s">
        <v>474</v>
      </c>
      <c r="J50" s="653" t="s">
        <v>1034</v>
      </c>
      <c r="K50" s="653" t="s">
        <v>475</v>
      </c>
      <c r="L50" s="653" t="s">
        <v>1682</v>
      </c>
      <c r="M50" s="653" t="s">
        <v>1683</v>
      </c>
      <c r="N50" s="653" t="s">
        <v>1088</v>
      </c>
    </row>
    <row r="51" spans="1:15" x14ac:dyDescent="0.45">
      <c r="A51" s="653" t="s">
        <v>1765</v>
      </c>
      <c r="B51" s="653"/>
      <c r="C51" s="653" t="s">
        <v>479</v>
      </c>
      <c r="D51" s="653" t="s">
        <v>430</v>
      </c>
      <c r="E51" s="653" t="s">
        <v>480</v>
      </c>
      <c r="F51" s="653" t="s">
        <v>431</v>
      </c>
      <c r="G51" s="653" t="s">
        <v>472</v>
      </c>
      <c r="H51" s="653" t="s">
        <v>473</v>
      </c>
      <c r="I51" s="653" t="s">
        <v>474</v>
      </c>
      <c r="J51" s="653" t="s">
        <v>481</v>
      </c>
      <c r="K51" s="653" t="s">
        <v>475</v>
      </c>
      <c r="L51" s="653" t="s">
        <v>1682</v>
      </c>
      <c r="M51" s="653" t="s">
        <v>1683</v>
      </c>
      <c r="N51" s="653" t="s">
        <v>1088</v>
      </c>
    </row>
    <row r="52" spans="1:15" x14ac:dyDescent="0.45">
      <c r="A52" s="653"/>
      <c r="B52" s="653"/>
    </row>
    <row r="53" spans="1:15" x14ac:dyDescent="0.45">
      <c r="A53" s="653"/>
      <c r="B53" s="653" t="s">
        <v>1100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1692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1693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1694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1695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1696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1697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1698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82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1699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1700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1701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1688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1702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1703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1704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1038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1705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1706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1707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1708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1986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1762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5">
        <f>__4_GebDatum</f>
        <v>42370</v>
      </c>
      <c r="G1" s="895"/>
      <c r="I1" s="9" t="str">
        <f>"Gewicht: "&amp;ROUND(Gewicht/10,1)&amp;"kg"</f>
        <v>Gewicht: 10kg</v>
      </c>
      <c r="P1" s="9" t="s">
        <v>397</v>
      </c>
      <c r="R1" s="893"/>
      <c r="S1" s="893"/>
      <c r="T1" s="893"/>
      <c r="U1" s="893"/>
      <c r="V1" s="893"/>
      <c r="W1" s="893"/>
      <c r="Y1" s="517" t="s">
        <v>623</v>
      </c>
      <c r="AB1" s="894">
        <f ca="1">TODAY()</f>
        <v>42728</v>
      </c>
      <c r="AC1" s="894"/>
      <c r="AD1" s="894"/>
      <c r="AE1" s="894"/>
      <c r="AF1" s="894"/>
    </row>
    <row r="2" spans="1:33" ht="26.1" customHeight="1" x14ac:dyDescent="0.35">
      <c r="B2" s="99"/>
      <c r="C2" s="100" t="s">
        <v>684</v>
      </c>
      <c r="D2" s="101" t="s">
        <v>685</v>
      </c>
      <c r="E2" s="101"/>
      <c r="F2" s="101"/>
      <c r="G2" s="102" t="s">
        <v>631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"&amp;GlobBerOpm!C16&amp;" ("&amp;PedBerMedDisc!M2&amp;" "&amp;PedBerMedDisc!F2&amp;"/kg/dag)",TRIM(PedBerMedDisc!C2)&amp;", "&amp;GlobBerOpm!C16),"")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"&amp;GlobBerOpm!C17&amp;" ("&amp;PedBerMedDisc!M3&amp;" "&amp;PedBerMedDisc!F3&amp;"/kg/dag)",TRIM(PedBerMedDisc!C3)&amp;", "&amp;GlobBerOpm!C17),"")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"&amp;GlobBerOpm!C18&amp;" ("&amp;PedBerMedDisc!M4&amp;" "&amp;PedBerMedDisc!F4&amp;"/kg/dag)",TRIM(PedBerMedDisc!C4)&amp;", "&amp;GlobBerOpm!C18),"")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"&amp;GlobBerOpm!C19&amp;" ("&amp;PedBerMedDisc!M5&amp;" "&amp;PedBerMedDisc!F5&amp;"/kg/dag)",TRIM(PedBerMedDisc!C5)&amp;", "&amp;GlobBerOpm!C19),"")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"&amp;GlobBerOpm!C20&amp;" ("&amp;PedBerMedDisc!M6&amp;" "&amp;PedBerMedDisc!F6&amp;"/kg/dag)",TRIM(PedBerMedDisc!C6)&amp;", "&amp;GlobBerOpm!C20),"")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"&amp;GlobBerOpm!C21&amp;" ("&amp;PedBerMedDisc!M7&amp;" "&amp;PedBerMedDisc!F7&amp;"/kg/dag)",TRIM(PedBerMedDisc!C7)&amp;", "&amp;GlobBerOpm!C21),"")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"&amp;GlobBerOpm!C22&amp;" ("&amp;PedBerMedDisc!M8&amp;" "&amp;PedBerMedDisc!F8&amp;"/kg/dag)",TRIM(PedBerMedDisc!C8)&amp;", "&amp;GlobBerOpm!C22),"")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"&amp;GlobBerOpm!C23&amp;" ("&amp;PedBerMedDisc!M9&amp;" "&amp;PedBerMedDisc!F9&amp;"/kg/dag)",TRIM(PedBerMedDisc!C9)&amp;", "&amp;GlobBerOpm!C23),"")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"&amp;GlobBerOpm!C24&amp;" ("&amp;PedBerMedDisc!M10&amp;" "&amp;PedBerMedDisc!F10&amp;"/kg/dag)",TRIM(PedBerMedDisc!C10)&amp;", "&amp;GlobBerOpm!C24),"")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"&amp;GlobBerOpm!C25&amp;" ("&amp;PedBerMedDisc!M11&amp;" "&amp;PedBerMedDisc!F11&amp;"/kg/dag)",TRIM(PedBerMedDisc!C11)&amp;", "&amp;GlobBerOpm!C25),"")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"&amp;GlobBerOpm!C26&amp;" ("&amp;PedBerMedDisc!M12&amp;" "&amp;PedBerMedDisc!F12&amp;"/kg/dag)",TRIM(PedBerMedDisc!C12)&amp;", "&amp;GlobBerOpm!C26),"")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"&amp;GlobBerOpm!C27&amp;" ("&amp;PedBerMedDisc!M13&amp;" "&amp;PedBerMedDisc!F13&amp;"/kg/dag)",TRIM(PedBerMedDisc!C13)&amp;", "&amp;GlobBerOpm!C27),"")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"&amp;GlobBerOpm!C28&amp;" ("&amp;PedBerMedDisc!M14&amp;" "&amp;PedBerMedDisc!F14&amp;"/kg/dag)",TRIM(PedBerMedDisc!C14)&amp;", "&amp;GlobBerOpm!C28),"")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"&amp;GlobBerOpm!C29&amp;" ("&amp;PedBerMedDisc!M15&amp;" "&amp;PedBerMedDisc!F15&amp;"/kg/dag)",TRIM(PedBerMedDisc!C15)&amp;", "&amp;GlobBerOpm!C29),"")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"&amp;GlobBerOpm!C30&amp;" ("&amp;PedBerMedDisc!M16&amp;" "&amp;PedBerMedDisc!F16&amp;"/kg/dag)",TRIM(PedBerMedDisc!C16)&amp;", "&amp;GlobBerOpm!C30),"")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"&amp;GlobBerOpm!C31&amp;" ("&amp;PedBerMedDisc!M17&amp;" "&amp;PedBerMedDisc!F17&amp;"/kg/dag)",TRIM(PedBerMedDisc!C17)&amp;", "&amp;GlobBerOpm!C31),"")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"&amp;GlobBerOpm!C32&amp;" ("&amp;PedBerMedDisc!M18&amp;" "&amp;PedBerMedDisc!F18&amp;"/kg/dag)",TRIM(PedBerMedDisc!C18)&amp;", "&amp;GlobBerOpm!C32),"")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"&amp;GlobBerOpm!C33&amp;" ("&amp;PedBerMedDisc!M19&amp;" "&amp;PedBerMedDisc!F19&amp;"/kg/dag)",TRIM(PedBerMedDisc!C19)&amp;", "&amp;GlobBerOpm!C33),"")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"&amp;GlobBerOpm!C34&amp;" ("&amp;PedBerMedDisc!M20&amp;" "&amp;PedBerMedDisc!F20&amp;"/kg/dag)",TRIM(PedBerMedDisc!C20)&amp;", "&amp;GlobBerOpm!C34),"")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"&amp;GlobBerOpm!C35&amp;" ("&amp;PedBerMedDisc!M21&amp;" "&amp;PedBerMedDisc!F21&amp;"/kg/dag)",TRIM(PedBerMedDisc!C21)&amp;", "&amp;GlobBerOpm!C35),"")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852</v>
      </c>
    </row>
    <row r="2" spans="1:25" x14ac:dyDescent="0.35">
      <c r="A2" s="517" t="s">
        <v>805</v>
      </c>
      <c r="B2" s="517">
        <v>20</v>
      </c>
    </row>
    <row r="3" spans="1:25" x14ac:dyDescent="0.35">
      <c r="A3" s="517" t="s">
        <v>853</v>
      </c>
      <c r="B3" s="517">
        <v>9</v>
      </c>
    </row>
    <row r="4" spans="1:25" x14ac:dyDescent="0.35">
      <c r="A4" s="517" t="s">
        <v>854</v>
      </c>
      <c r="B4" s="517">
        <v>9</v>
      </c>
      <c r="C4" s="517">
        <v>21</v>
      </c>
    </row>
    <row r="5" spans="1:25" x14ac:dyDescent="0.35">
      <c r="A5" s="517" t="s">
        <v>855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856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918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393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394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395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853</v>
      </c>
      <c r="C13" s="517" t="s">
        <v>854</v>
      </c>
      <c r="D13" s="517" t="s">
        <v>855</v>
      </c>
      <c r="E13" s="517" t="s">
        <v>856</v>
      </c>
      <c r="F13" s="518" t="s">
        <v>918</v>
      </c>
      <c r="G13" s="518" t="s">
        <v>393</v>
      </c>
      <c r="H13" s="518" t="s">
        <v>394</v>
      </c>
      <c r="I13" s="518" t="s">
        <v>395</v>
      </c>
      <c r="J13" s="518" t="s">
        <v>50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853</v>
      </c>
      <c r="B17" s="15" t="s">
        <v>396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854</v>
      </c>
      <c r="B18" s="15" t="s">
        <v>396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396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855</v>
      </c>
      <c r="B19" s="15" t="s">
        <v>396</v>
      </c>
      <c r="C19" s="15"/>
      <c r="D19" s="15"/>
      <c r="E19" s="15"/>
      <c r="F19" s="15"/>
      <c r="G19" s="15"/>
      <c r="H19" s="15"/>
      <c r="I19" s="15"/>
      <c r="J19" s="15" t="s">
        <v>396</v>
      </c>
      <c r="K19" s="15"/>
      <c r="L19" s="15"/>
      <c r="M19" s="15"/>
      <c r="N19" s="15"/>
      <c r="O19" s="15"/>
      <c r="P19" s="15"/>
      <c r="Q19" s="15"/>
      <c r="R19" s="15" t="s">
        <v>396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856</v>
      </c>
      <c r="B20" s="15" t="s">
        <v>396</v>
      </c>
      <c r="C20" s="15"/>
      <c r="D20" s="15"/>
      <c r="E20" s="15"/>
      <c r="F20" s="15"/>
      <c r="G20" s="15"/>
      <c r="H20" s="15" t="s">
        <v>396</v>
      </c>
      <c r="I20" s="15"/>
      <c r="J20" s="15"/>
      <c r="K20" s="15"/>
      <c r="L20" s="15"/>
      <c r="M20" s="15"/>
      <c r="N20" s="15" t="s">
        <v>396</v>
      </c>
      <c r="O20" s="15"/>
      <c r="P20" s="15"/>
      <c r="Q20" s="15"/>
      <c r="R20" s="15"/>
      <c r="S20" s="15"/>
      <c r="T20" s="15" t="s">
        <v>396</v>
      </c>
      <c r="U20" s="15"/>
      <c r="V20" s="15"/>
      <c r="W20" s="15"/>
      <c r="X20" s="15"/>
      <c r="Y20" s="15"/>
    </row>
    <row r="21" spans="1:25" x14ac:dyDescent="0.35">
      <c r="A21" s="517" t="s">
        <v>918</v>
      </c>
      <c r="B21" s="15" t="s">
        <v>396</v>
      </c>
      <c r="C21" s="15"/>
      <c r="D21" s="15"/>
      <c r="E21" s="15" t="s">
        <v>396</v>
      </c>
      <c r="F21" s="15"/>
      <c r="G21" s="15"/>
      <c r="H21" s="15" t="s">
        <v>396</v>
      </c>
      <c r="I21" s="15"/>
      <c r="J21" s="15"/>
      <c r="K21" s="15" t="s">
        <v>396</v>
      </c>
      <c r="L21" s="15"/>
      <c r="M21" s="15"/>
      <c r="N21" s="15"/>
      <c r="O21" s="15" t="s">
        <v>396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393</v>
      </c>
      <c r="B22" s="15" t="s">
        <v>396</v>
      </c>
      <c r="C22" s="15"/>
      <c r="D22" s="15"/>
      <c r="E22" s="15"/>
      <c r="F22" s="15" t="s">
        <v>396</v>
      </c>
      <c r="G22" s="15"/>
      <c r="H22" s="15"/>
      <c r="I22" s="15"/>
      <c r="J22" s="15" t="s">
        <v>396</v>
      </c>
      <c r="K22" s="15"/>
      <c r="L22" s="15"/>
      <c r="M22" s="15"/>
      <c r="N22" s="15" t="s">
        <v>396</v>
      </c>
      <c r="O22" s="15"/>
      <c r="P22" s="15"/>
      <c r="Q22" s="15"/>
      <c r="R22" s="15" t="s">
        <v>396</v>
      </c>
      <c r="S22" s="15"/>
      <c r="T22" s="15"/>
      <c r="U22" s="15"/>
      <c r="V22" s="15" t="s">
        <v>396</v>
      </c>
      <c r="X22" s="15"/>
      <c r="Y22" s="15"/>
    </row>
    <row r="23" spans="1:25" x14ac:dyDescent="0.35">
      <c r="A23" s="518" t="s">
        <v>394</v>
      </c>
      <c r="B23" s="15"/>
      <c r="C23" s="15"/>
      <c r="D23" s="15" t="s">
        <v>396</v>
      </c>
      <c r="E23" s="15"/>
      <c r="F23" s="15"/>
      <c r="G23" s="15" t="s">
        <v>396</v>
      </c>
      <c r="H23" s="15"/>
      <c r="I23" s="15"/>
      <c r="J23" s="15" t="s">
        <v>396</v>
      </c>
      <c r="K23" s="15"/>
      <c r="L23" s="15"/>
      <c r="M23" s="15" t="s">
        <v>396</v>
      </c>
      <c r="N23" s="15"/>
      <c r="O23" s="15"/>
      <c r="P23" s="15" t="s">
        <v>396</v>
      </c>
      <c r="Q23" s="15"/>
      <c r="R23" s="15"/>
      <c r="S23" s="15" t="s">
        <v>396</v>
      </c>
      <c r="T23" s="15"/>
      <c r="U23" s="15"/>
      <c r="V23" s="15" t="s">
        <v>396</v>
      </c>
      <c r="W23" s="15"/>
      <c r="X23" s="15"/>
      <c r="Y23" s="15" t="s">
        <v>396</v>
      </c>
    </row>
    <row r="24" spans="1:25" x14ac:dyDescent="0.35">
      <c r="A24" s="518" t="s">
        <v>395</v>
      </c>
      <c r="B24" s="15" t="s">
        <v>396</v>
      </c>
      <c r="C24" s="15"/>
      <c r="D24" s="15" t="s">
        <v>396</v>
      </c>
      <c r="E24" s="15"/>
      <c r="F24" s="15" t="s">
        <v>396</v>
      </c>
      <c r="G24" s="15"/>
      <c r="H24" s="15" t="s">
        <v>396</v>
      </c>
      <c r="I24" s="15"/>
      <c r="J24" s="15" t="s">
        <v>396</v>
      </c>
      <c r="K24" s="15"/>
      <c r="L24" s="15" t="s">
        <v>396</v>
      </c>
      <c r="M24" s="15"/>
      <c r="N24" s="15" t="s">
        <v>396</v>
      </c>
      <c r="O24" s="15"/>
      <c r="P24" s="15" t="s">
        <v>396</v>
      </c>
      <c r="Q24" s="15"/>
      <c r="R24" s="15" t="s">
        <v>396</v>
      </c>
      <c r="S24" s="15"/>
      <c r="T24" s="15" t="s">
        <v>396</v>
      </c>
      <c r="U24" s="15"/>
      <c r="V24" s="15" t="s">
        <v>396</v>
      </c>
      <c r="W24" s="15"/>
      <c r="X24" s="15" t="s">
        <v>396</v>
      </c>
      <c r="Y24" s="15"/>
    </row>
    <row r="25" spans="1:25" x14ac:dyDescent="0.35">
      <c r="A25" s="518" t="s">
        <v>50</v>
      </c>
      <c r="B25" s="15" t="s">
        <v>396</v>
      </c>
      <c r="C25" s="15" t="s">
        <v>396</v>
      </c>
      <c r="D25" s="15" t="s">
        <v>396</v>
      </c>
      <c r="E25" s="15" t="s">
        <v>396</v>
      </c>
      <c r="F25" s="15" t="s">
        <v>396</v>
      </c>
      <c r="G25" s="15" t="s">
        <v>396</v>
      </c>
      <c r="H25" s="15" t="s">
        <v>396</v>
      </c>
      <c r="I25" s="15" t="s">
        <v>396</v>
      </c>
      <c r="J25" s="15" t="s">
        <v>396</v>
      </c>
      <c r="K25" s="15" t="s">
        <v>396</v>
      </c>
      <c r="L25" s="15" t="s">
        <v>396</v>
      </c>
      <c r="M25" s="15" t="s">
        <v>396</v>
      </c>
      <c r="N25" s="15" t="s">
        <v>396</v>
      </c>
      <c r="O25" s="15" t="s">
        <v>396</v>
      </c>
      <c r="P25" s="15" t="s">
        <v>396</v>
      </c>
      <c r="Q25" s="15" t="s">
        <v>396</v>
      </c>
      <c r="R25" s="15" t="s">
        <v>396</v>
      </c>
      <c r="S25" s="15" t="s">
        <v>396</v>
      </c>
      <c r="T25" s="15" t="s">
        <v>396</v>
      </c>
      <c r="U25" s="15" t="s">
        <v>396</v>
      </c>
      <c r="V25" s="15" t="s">
        <v>396</v>
      </c>
      <c r="W25" s="15" t="s">
        <v>396</v>
      </c>
      <c r="X25" s="15" t="s">
        <v>396</v>
      </c>
      <c r="Y25" s="15" t="s">
        <v>396</v>
      </c>
    </row>
    <row r="26" spans="1:25" x14ac:dyDescent="0.35">
      <c r="A26" s="518" t="s">
        <v>766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396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919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85" x14ac:dyDescent="0.35"/>
  <cols>
    <col min="1" max="1" width="9.8632812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623</v>
      </c>
      <c r="C2" s="135">
        <f ca="1">AfspraakDatum</f>
        <v>42728</v>
      </c>
      <c r="D2" s="136"/>
      <c r="E2" s="134" t="s">
        <v>624</v>
      </c>
      <c r="F2" s="137">
        <f>OpnDatum</f>
        <v>42370</v>
      </c>
      <c r="G2" s="134" t="str">
        <f ca="1">"ICU-dag: "&amp;AfspraakDatum-OpnDatum+1</f>
        <v>ICU-dag: 359</v>
      </c>
      <c r="H2" s="134"/>
      <c r="I2" s="270" t="s">
        <v>1002</v>
      </c>
      <c r="J2" s="139">
        <f>BedNummer</f>
        <v>0</v>
      </c>
    </row>
    <row r="3" spans="1:17" s="133" customFormat="1" ht="17.25" customHeight="1" x14ac:dyDescent="0.4">
      <c r="B3" s="134" t="s">
        <v>54</v>
      </c>
      <c r="C3" s="138" t="str">
        <f>__2_AchterNaam&amp;", "&amp;__3_VoorNaam</f>
        <v>Achternaam, Voornaam</v>
      </c>
      <c r="D3" s="138"/>
      <c r="E3" s="134" t="s">
        <v>638</v>
      </c>
      <c r="F3" s="137">
        <f>__4_GebDatum</f>
        <v>42370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4">
      <c r="A4" s="163"/>
      <c r="B4" s="134" t="s">
        <v>707</v>
      </c>
      <c r="C4" s="139">
        <f>__0_PatNum</f>
        <v>0</v>
      </c>
      <c r="D4" s="136"/>
      <c r="E4" s="134" t="s">
        <v>573</v>
      </c>
      <c r="F4" s="141" t="str">
        <f ca="1">TRUNC((AfspraakDatum-__4_GebDatum)/365,0)&amp;" jaar en "&amp;TRUNC(((AfspraakDatum-__4_GebDatum)-365*TRUNC((AfspraakDatum-__4_GebDatum)/365,0))/30,0)&amp;" maand(-en)"</f>
        <v>0 jaar en 11 maand(-en)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1474</v>
      </c>
      <c r="F6" s="3" t="s">
        <v>1286</v>
      </c>
      <c r="G6" s="517"/>
      <c r="H6" s="3"/>
      <c r="I6" s="3" t="s">
        <v>1481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IF(AanvullendNeoData_GewichtFrequentie=0,"",AanvullendNeoData_GewichtFrequentie)</f>
        <v/>
      </c>
      <c r="D8" s="557"/>
      <c r="G8" s="517"/>
      <c r="H8" s="517"/>
      <c r="I8" s="517"/>
      <c r="J8" s="615" t="str">
        <f>IF(AanvullendNeoData_AantalLampen=0,"0 lamp(en)",CONCATENATE(AanvullendNeoData_AantalLampen, " lamp(en)"))</f>
        <v>0 lamp(en)</v>
      </c>
      <c r="Q8" s="518"/>
    </row>
    <row r="9" spans="1:17" ht="18" customHeight="1" x14ac:dyDescent="0.35">
      <c r="C9" s="615" t="str">
        <f>IF(AanvullendNeoData_LengteFrequentie=0,"",AanvullendNeoData_LengteFrequentie)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IF(AanvullendNeoData_SchedelFrequentie=0,"",AanvullendNeoData_SchedelFrequentie)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1480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1487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6" t="str">
        <f>IF(Aanvullend_WondkweekTekst=0,"",Aanvullend_WondkweekTekst)</f>
        <v/>
      </c>
      <c r="H31" s="946"/>
      <c r="L31" s="517"/>
      <c r="M31" s="517"/>
    </row>
    <row r="32" spans="1:14" ht="18" customHeight="1" x14ac:dyDescent="0.35">
      <c r="G32" s="946"/>
      <c r="H32" s="946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6"/>
      <c r="H33" s="946"/>
      <c r="L33"/>
    </row>
    <row r="34" spans="1:13" s="517" customFormat="1" ht="18" customHeight="1" x14ac:dyDescent="0.4">
      <c r="A34"/>
      <c r="B34" s="3" t="s">
        <v>1723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1725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1319</v>
      </c>
      <c r="M44" s="518"/>
    </row>
    <row r="45" spans="1:13" ht="18" customHeight="1" x14ac:dyDescent="0.35">
      <c r="B45" s="518" t="s">
        <v>1474</v>
      </c>
      <c r="C45" s="517" t="str">
        <f>IFERROR(LEFT(_Aanvullend_Controles,LEN(_Aanvullend_Controles)-3),"")</f>
        <v/>
      </c>
      <c r="M45" s="518"/>
    </row>
    <row r="46" spans="1:13" ht="18" customHeight="1" x14ac:dyDescent="0.35">
      <c r="B46" s="518" t="s">
        <v>1480</v>
      </c>
      <c r="C46" s="517" t="str">
        <f>IFERROR(LEFT(_Aanvullend_Onderzoek,LEN(_Aanvullend_Onderzoek)-3),"")</f>
        <v/>
      </c>
      <c r="M46" s="518"/>
    </row>
    <row r="47" spans="1:13" ht="18" customHeight="1" x14ac:dyDescent="0.35">
      <c r="B47" s="518" t="s">
        <v>1723</v>
      </c>
      <c r="C47" s="517" t="str">
        <f>IFERROR(LEFT(_Aanvullend_Instellingen,LEN(_Aanvullend_Instellingen)-3),"")</f>
        <v/>
      </c>
      <c r="M47" s="518"/>
    </row>
    <row r="48" spans="1:13" ht="18" customHeight="1" x14ac:dyDescent="0.35">
      <c r="B48" s="518" t="s">
        <v>1286</v>
      </c>
      <c r="C48" t="str">
        <f>IFERROR(LEFT(_Aanvullend_Kweken,LEN(_Aanvullend_Kweken)-3),"")</f>
        <v/>
      </c>
      <c r="M48" s="518"/>
    </row>
    <row r="49" spans="2:13" ht="18" customHeight="1" x14ac:dyDescent="0.35">
      <c r="B49" s="518" t="s">
        <v>1332</v>
      </c>
      <c r="C49" s="517" t="str">
        <f>IFERROR(LEFT(_Aanvullend_Overig,LEN(_Aanvullend_Overig)-3),"")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1474</v>
      </c>
      <c r="E6" s="3" t="s">
        <v>1286</v>
      </c>
      <c r="I6" s="553" t="s">
        <v>1332</v>
      </c>
    </row>
    <row r="7" spans="1:13" x14ac:dyDescent="0.35">
      <c r="A7" s="518" t="s">
        <v>1281</v>
      </c>
      <c r="B7" s="577"/>
      <c r="E7" t="s">
        <v>1288</v>
      </c>
      <c r="F7" s="577"/>
      <c r="I7" s="554" t="s">
        <v>1318</v>
      </c>
      <c r="J7" s="577"/>
    </row>
    <row r="8" spans="1:13" x14ac:dyDescent="0.35">
      <c r="A8" s="518" t="s">
        <v>572</v>
      </c>
      <c r="B8" s="577"/>
      <c r="C8" s="583"/>
      <c r="D8" s="828"/>
      <c r="E8" t="s">
        <v>1289</v>
      </c>
      <c r="F8" s="577"/>
      <c r="G8" t="s">
        <v>1290</v>
      </c>
      <c r="H8" s="577"/>
      <c r="I8" s="554" t="s">
        <v>1636</v>
      </c>
      <c r="J8" s="577"/>
      <c r="M8" s="517"/>
    </row>
    <row r="9" spans="1:13" x14ac:dyDescent="0.35">
      <c r="A9" s="518" t="s">
        <v>265</v>
      </c>
      <c r="B9" s="577"/>
      <c r="C9" s="577"/>
      <c r="D9" s="578"/>
      <c r="G9" t="s">
        <v>1291</v>
      </c>
      <c r="H9" s="577"/>
      <c r="I9" s="554" t="s">
        <v>1326</v>
      </c>
      <c r="J9" s="577"/>
      <c r="M9" s="517"/>
    </row>
    <row r="10" spans="1:13" x14ac:dyDescent="0.35">
      <c r="A10" s="518" t="s">
        <v>1272</v>
      </c>
      <c r="B10" s="577"/>
      <c r="G10" t="s">
        <v>1292</v>
      </c>
      <c r="H10" s="577"/>
      <c r="I10" s="554" t="s">
        <v>1282</v>
      </c>
      <c r="J10" s="577"/>
      <c r="M10" s="517"/>
    </row>
    <row r="11" spans="1:13" x14ac:dyDescent="0.35">
      <c r="A11" s="518" t="s">
        <v>1532</v>
      </c>
      <c r="B11" s="577"/>
      <c r="C11" s="518" t="s">
        <v>1476</v>
      </c>
      <c r="D11" s="578"/>
      <c r="G11" t="s">
        <v>1293</v>
      </c>
      <c r="H11" s="577"/>
      <c r="I11" s="554"/>
      <c r="J11" s="577"/>
      <c r="M11" s="517"/>
    </row>
    <row r="12" spans="1:13" x14ac:dyDescent="0.35">
      <c r="A12" s="518" t="s">
        <v>1534</v>
      </c>
      <c r="B12" s="705"/>
      <c r="C12" s="550" t="s">
        <v>1477</v>
      </c>
      <c r="D12" s="578"/>
      <c r="E12" s="518" t="s">
        <v>1294</v>
      </c>
      <c r="F12" s="577"/>
      <c r="I12" s="554" t="s">
        <v>1327</v>
      </c>
      <c r="J12" s="577"/>
      <c r="M12" s="517"/>
    </row>
    <row r="13" spans="1:13" x14ac:dyDescent="0.35">
      <c r="C13" s="518" t="s">
        <v>1478</v>
      </c>
      <c r="D13" s="578"/>
      <c r="E13" s="518" t="s">
        <v>1295</v>
      </c>
      <c r="F13" s="577"/>
      <c r="G13" t="s">
        <v>1302</v>
      </c>
      <c r="H13" s="577"/>
      <c r="I13" s="554" t="s">
        <v>1278</v>
      </c>
      <c r="J13" s="577"/>
      <c r="M13" s="517"/>
    </row>
    <row r="14" spans="1:13" x14ac:dyDescent="0.35">
      <c r="C14" s="518" t="s">
        <v>1479</v>
      </c>
      <c r="D14" s="578"/>
      <c r="E14" s="518" t="s">
        <v>1296</v>
      </c>
      <c r="F14" s="577"/>
      <c r="I14" s="554" t="s">
        <v>1279</v>
      </c>
      <c r="J14" s="577"/>
      <c r="M14" s="517"/>
    </row>
    <row r="15" spans="1:13" x14ac:dyDescent="0.35">
      <c r="A15" s="518" t="s">
        <v>1533</v>
      </c>
      <c r="B15" s="577"/>
      <c r="E15" s="518" t="s">
        <v>1297</v>
      </c>
      <c r="F15" s="577"/>
      <c r="G15" t="s">
        <v>1303</v>
      </c>
      <c r="H15" s="577"/>
      <c r="I15" s="554" t="s">
        <v>1280</v>
      </c>
      <c r="J15" s="577"/>
      <c r="M15" s="517"/>
    </row>
    <row r="16" spans="1:13" x14ac:dyDescent="0.35">
      <c r="A16" t="s">
        <v>1274</v>
      </c>
      <c r="B16" s="577"/>
      <c r="E16" s="517"/>
      <c r="G16" t="s">
        <v>1304</v>
      </c>
      <c r="H16" s="577"/>
      <c r="I16" s="554" t="s">
        <v>1331</v>
      </c>
      <c r="J16" s="577"/>
      <c r="M16" s="517"/>
    </row>
    <row r="17" spans="1:13" x14ac:dyDescent="0.35">
      <c r="A17" s="518" t="s">
        <v>1273</v>
      </c>
      <c r="B17" s="577"/>
      <c r="E17" s="518" t="s">
        <v>857</v>
      </c>
      <c r="F17" s="577"/>
      <c r="I17" s="554" t="s">
        <v>1637</v>
      </c>
      <c r="J17" s="577"/>
      <c r="K17" s="583"/>
      <c r="L17" s="583"/>
      <c r="M17" s="517"/>
    </row>
    <row r="18" spans="1:13" x14ac:dyDescent="0.35">
      <c r="A18" s="518" t="s">
        <v>1277</v>
      </c>
      <c r="B18" s="577"/>
      <c r="C18" s="577"/>
      <c r="D18" s="578"/>
      <c r="E18" s="518" t="s">
        <v>1298</v>
      </c>
      <c r="F18" s="577"/>
      <c r="G18" t="s">
        <v>1305</v>
      </c>
      <c r="H18" s="577"/>
      <c r="I18" s="554" t="s">
        <v>857</v>
      </c>
      <c r="J18" s="577"/>
      <c r="M18" s="517"/>
    </row>
    <row r="19" spans="1:13" x14ac:dyDescent="0.35">
      <c r="A19" s="518" t="s">
        <v>1275</v>
      </c>
      <c r="B19" s="577"/>
      <c r="E19" s="517"/>
      <c r="G19" t="s">
        <v>1306</v>
      </c>
      <c r="H19" s="577"/>
      <c r="I19" s="554" t="s">
        <v>1328</v>
      </c>
      <c r="J19" s="577"/>
      <c r="M19" s="517"/>
    </row>
    <row r="20" spans="1:13" x14ac:dyDescent="0.35">
      <c r="E20" s="517"/>
      <c r="G20" t="s">
        <v>1307</v>
      </c>
      <c r="H20" s="577"/>
      <c r="I20" s="554" t="s">
        <v>1638</v>
      </c>
      <c r="J20" s="577"/>
      <c r="K20" s="829"/>
      <c r="L20" s="583"/>
      <c r="M20" s="517"/>
    </row>
    <row r="21" spans="1:13" ht="13.2" x14ac:dyDescent="0.4">
      <c r="A21" s="3" t="s">
        <v>1480</v>
      </c>
      <c r="B21" s="577"/>
      <c r="E21" s="518" t="s">
        <v>1299</v>
      </c>
      <c r="F21" s="577"/>
      <c r="I21" s="554"/>
      <c r="J21" s="517"/>
      <c r="K21" s="518" t="s">
        <v>1639</v>
      </c>
      <c r="L21" s="577"/>
      <c r="M21" s="517"/>
    </row>
    <row r="22" spans="1:13" x14ac:dyDescent="0.35">
      <c r="A22" s="518" t="s">
        <v>1287</v>
      </c>
      <c r="B22" s="577"/>
      <c r="C22" t="str">
        <f>IF(OR(D22=0,D22=1,D22=""),"",INDEX(Aanvullend_aEEG,D22,1))</f>
        <v/>
      </c>
      <c r="D22" s="578"/>
      <c r="E22" s="518" t="s">
        <v>1300</v>
      </c>
      <c r="F22" s="577"/>
      <c r="G22" t="s">
        <v>1308</v>
      </c>
      <c r="H22" s="577"/>
      <c r="I22" s="554"/>
      <c r="J22" s="517"/>
      <c r="K22" s="518" t="s">
        <v>629</v>
      </c>
      <c r="L22" s="577"/>
      <c r="M22" s="517"/>
    </row>
    <row r="23" spans="1:13" x14ac:dyDescent="0.35">
      <c r="A23" s="518" t="s">
        <v>858</v>
      </c>
      <c r="B23" s="577"/>
      <c r="E23" s="518" t="s">
        <v>1301</v>
      </c>
      <c r="F23" s="577"/>
      <c r="G23" t="s">
        <v>1309</v>
      </c>
      <c r="H23" s="577"/>
      <c r="I23" s="554"/>
      <c r="J23" s="517"/>
      <c r="K23" s="518" t="s">
        <v>1640</v>
      </c>
      <c r="L23" s="577"/>
      <c r="M23" s="517"/>
    </row>
    <row r="24" spans="1:13" x14ac:dyDescent="0.35">
      <c r="A24" s="518" t="s">
        <v>64</v>
      </c>
      <c r="B24" s="577"/>
      <c r="E24" s="517"/>
      <c r="G24" t="s">
        <v>1310</v>
      </c>
      <c r="H24" s="577"/>
      <c r="I24" s="554" t="s">
        <v>1482</v>
      </c>
      <c r="J24" s="577"/>
      <c r="K24" s="518" t="s">
        <v>1483</v>
      </c>
      <c r="L24" s="577"/>
      <c r="M24" s="517"/>
    </row>
    <row r="25" spans="1:13" x14ac:dyDescent="0.35">
      <c r="A25" s="518" t="s">
        <v>1324</v>
      </c>
      <c r="B25" s="577"/>
      <c r="E25" s="517"/>
      <c r="G25" t="s">
        <v>1311</v>
      </c>
      <c r="H25" s="577"/>
      <c r="I25" s="554"/>
      <c r="K25" s="518" t="s">
        <v>1484</v>
      </c>
      <c r="L25" s="577"/>
      <c r="M25" s="517"/>
    </row>
    <row r="26" spans="1:13" x14ac:dyDescent="0.35">
      <c r="A26" s="518" t="s">
        <v>1325</v>
      </c>
      <c r="B26" s="577"/>
      <c r="E26" s="517"/>
      <c r="G26" t="s">
        <v>1312</v>
      </c>
      <c r="H26" s="577"/>
      <c r="I26" s="554"/>
      <c r="K26" s="518" t="s">
        <v>1485</v>
      </c>
      <c r="L26" s="577"/>
      <c r="M26" s="517"/>
    </row>
    <row r="27" spans="1:13" x14ac:dyDescent="0.35">
      <c r="A27" s="518" t="s">
        <v>859</v>
      </c>
      <c r="B27" s="577"/>
      <c r="C27" t="str">
        <f>REPLACE(INDEX(Aanvullend_Vertrektijden,D27,2),1,1,"")</f>
        <v>12:00</v>
      </c>
      <c r="D27" s="578">
        <v>50</v>
      </c>
      <c r="E27" s="517"/>
      <c r="G27" t="s">
        <v>1313</v>
      </c>
      <c r="H27" s="577"/>
      <c r="I27" s="554"/>
      <c r="K27" s="518" t="s">
        <v>1486</v>
      </c>
      <c r="L27" s="577"/>
      <c r="M27" s="517"/>
    </row>
    <row r="28" spans="1:13" x14ac:dyDescent="0.35">
      <c r="A28" s="518" t="s">
        <v>1535</v>
      </c>
      <c r="B28" s="577"/>
      <c r="E28" s="517"/>
      <c r="G28" t="s">
        <v>1314</v>
      </c>
      <c r="H28" s="577"/>
      <c r="I28" s="554"/>
      <c r="K28" s="518" t="s">
        <v>583</v>
      </c>
      <c r="L28" s="577"/>
    </row>
    <row r="29" spans="1:13" x14ac:dyDescent="0.35">
      <c r="A29" s="518" t="s">
        <v>1536</v>
      </c>
      <c r="B29" s="577"/>
      <c r="E29" s="517"/>
      <c r="G29" t="s">
        <v>1315</v>
      </c>
      <c r="H29" s="577"/>
      <c r="I29" s="554" t="s">
        <v>1056</v>
      </c>
      <c r="J29" s="577"/>
      <c r="K29" s="577"/>
    </row>
    <row r="30" spans="1:13" x14ac:dyDescent="0.35">
      <c r="A30" s="518" t="s">
        <v>1276</v>
      </c>
      <c r="B30" s="577"/>
      <c r="E30" s="517"/>
      <c r="G30" t="s">
        <v>1316</v>
      </c>
      <c r="H30" s="577"/>
      <c r="I30" s="554"/>
    </row>
    <row r="31" spans="1:13" x14ac:dyDescent="0.35">
      <c r="A31" s="518" t="s">
        <v>63</v>
      </c>
      <c r="B31" s="577"/>
      <c r="E31" s="518" t="s">
        <v>1317</v>
      </c>
      <c r="F31" s="577"/>
      <c r="G31" s="583"/>
      <c r="H31" s="518"/>
      <c r="I31" s="554"/>
    </row>
    <row r="32" spans="1:13" ht="13.2" x14ac:dyDescent="0.4">
      <c r="A32" s="518" t="s">
        <v>26</v>
      </c>
      <c r="B32" s="577"/>
      <c r="E32" s="3"/>
      <c r="I32" s="554"/>
    </row>
    <row r="33" spans="1:9" ht="13.2" x14ac:dyDescent="0.4">
      <c r="A33" s="3" t="s">
        <v>1723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1537</v>
      </c>
      <c r="B34" s="577"/>
      <c r="C34" s="517" t="str">
        <f>IF(OR(D34=0,D34=1,D34=""),"",INDEX(Aanvullend_ThoraxDrainSub2,D34,0))</f>
        <v/>
      </c>
      <c r="D34" s="578"/>
      <c r="E34" t="str">
        <f>IF(OR(D22=0,D22=""),"",INDEX(Aanvullend_aEEG,D22,1))</f>
        <v/>
      </c>
      <c r="I34" s="554"/>
    </row>
    <row r="35" spans="1:9" x14ac:dyDescent="0.35">
      <c r="C35" s="517" t="str">
        <f>IF(OR(D35=0,D35=1,D35=""),"",INDEX(Aanvullend_ThoraxDrainSub3,D35,0))</f>
        <v/>
      </c>
      <c r="D35" s="578"/>
      <c r="I35" s="554"/>
    </row>
    <row r="36" spans="1:9" x14ac:dyDescent="0.35">
      <c r="C36" s="517" t="str">
        <f>IF(OR(D36=0,D36=1,D36=""),"",INDEX(Aanvullend_ThoraxDrainSub1,D36,0))</f>
        <v/>
      </c>
      <c r="D36" s="578"/>
      <c r="I36" s="554"/>
    </row>
    <row r="37" spans="1:9" x14ac:dyDescent="0.35">
      <c r="A37" s="518" t="s">
        <v>1635</v>
      </c>
      <c r="B37" s="577"/>
      <c r="C37" s="517" t="str">
        <f>IF(OR(D37=0,D37=1,D37=""),"",INDEX(Aanvullend_ThoraxDrainSub2,D37,0))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IF(OR(D38=0,D38=1,D38=""),"",INDEX(Aanvullend_ThoraxDrainSub3,D38,0))</f>
        <v/>
      </c>
      <c r="D38" s="578"/>
    </row>
    <row r="39" spans="1:9" x14ac:dyDescent="0.35">
      <c r="A39" s="517"/>
      <c r="B39" s="517"/>
      <c r="C39" s="517" t="str">
        <f>IF(OR(D39=0,D39=1,D39=""),"",INDEX(Aanvullend_ThoraxDrainSub1,D39,0))</f>
        <v/>
      </c>
      <c r="D39" s="578"/>
    </row>
    <row r="40" spans="1:9" x14ac:dyDescent="0.35">
      <c r="A40" s="518" t="s">
        <v>1726</v>
      </c>
      <c r="B40" s="577"/>
      <c r="C40" s="517" t="str">
        <f>IF(OR(D40=0,D40=1,D40=""),"",INDEX(Aanvullend_ThoraxDrainSub2,D40,0))</f>
        <v/>
      </c>
      <c r="D40" s="578"/>
      <c r="E40" s="517"/>
    </row>
    <row r="41" spans="1:9" x14ac:dyDescent="0.35">
      <c r="C41" s="517" t="str">
        <f>IF(OR(D41=0,D41=1,D41=""),"",INDEX(Aanvullend_ThoraxDrainSub3,D41,0))</f>
        <v/>
      </c>
      <c r="D41" s="578"/>
    </row>
    <row r="42" spans="1:9" x14ac:dyDescent="0.35">
      <c r="C42" s="517" t="str">
        <f>IF(OR(D42=0,D42=1,D42=""),"",INDEX(Aanvullend_ThoraxDrainSub1,D42,0))</f>
        <v/>
      </c>
      <c r="D42" s="578"/>
    </row>
    <row r="43" spans="1:9" x14ac:dyDescent="0.35">
      <c r="A43" s="554" t="s">
        <v>1330</v>
      </c>
      <c r="B43" s="577"/>
      <c r="C43" s="518" t="s">
        <v>1727</v>
      </c>
      <c r="D43" s="578"/>
      <c r="E43" s="517"/>
    </row>
    <row r="44" spans="1:9" x14ac:dyDescent="0.35">
      <c r="A44" s="518" t="s">
        <v>1654</v>
      </c>
      <c r="B44" s="577"/>
      <c r="C44" s="518" t="s">
        <v>1727</v>
      </c>
      <c r="D44" s="578"/>
      <c r="E44" s="517"/>
    </row>
    <row r="45" spans="1:9" x14ac:dyDescent="0.35">
      <c r="A45" s="554" t="s">
        <v>1329</v>
      </c>
      <c r="B45" s="577"/>
      <c r="C45" s="518" t="s">
        <v>1727</v>
      </c>
      <c r="D45" s="578"/>
      <c r="E45" s="517"/>
    </row>
    <row r="46" spans="1:9" x14ac:dyDescent="0.35">
      <c r="A46" s="518" t="s">
        <v>1724</v>
      </c>
      <c r="B46" s="577"/>
      <c r="C46" t="str">
        <f>IF(OR(D46=0,D46=1,D46=""),"",INDEX(Aanvullend_LiquorDrainSub1,D46,0))</f>
        <v/>
      </c>
      <c r="D46" s="578"/>
      <c r="E46" s="517"/>
    </row>
    <row r="47" spans="1:9" x14ac:dyDescent="0.35">
      <c r="C47" s="517" t="s">
        <v>1725</v>
      </c>
      <c r="D47" s="578"/>
    </row>
    <row r="55" spans="1:3" ht="13.2" x14ac:dyDescent="0.4">
      <c r="A55" s="3" t="s">
        <v>1319</v>
      </c>
    </row>
    <row r="56" spans="1:3" x14ac:dyDescent="0.35">
      <c r="A56" s="518" t="s">
        <v>1474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1480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1723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1286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35">
      <c r="A60" s="518" t="s">
        <v>1332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623</v>
      </c>
      <c r="D2" s="253">
        <f ca="1">AfspraakDatum</f>
        <v>42728</v>
      </c>
      <c r="E2" s="254"/>
      <c r="F2" s="252" t="s">
        <v>624</v>
      </c>
      <c r="G2" s="250"/>
      <c r="H2" s="255">
        <f>OpnDatum</f>
        <v>42370</v>
      </c>
      <c r="I2" s="252" t="str">
        <f ca="1">"ICU-dag: "&amp;AfspraakDatum-OpnDatum+1</f>
        <v>ICU-dag: 359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54</v>
      </c>
      <c r="D3" s="257" t="str">
        <f>__2_AchterNaam&amp;", "&amp;__3_VoorNaam</f>
        <v>Achternaam, Voornaam</v>
      </c>
      <c r="E3" s="257"/>
      <c r="F3" s="252" t="s">
        <v>638</v>
      </c>
      <c r="G3" s="250"/>
      <c r="H3" s="255">
        <f>__4_GebDatum</f>
        <v>42370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707</v>
      </c>
      <c r="D4" s="258">
        <f>__0_PatNum</f>
        <v>0</v>
      </c>
      <c r="E4" s="254"/>
      <c r="F4" s="252" t="s">
        <v>573</v>
      </c>
      <c r="G4" s="259"/>
      <c r="H4" s="260" t="str">
        <f ca="1">TRUNC((AfspraakDatum-__4_GebDatum)/365,0)&amp;" jaar en "&amp;TRUNC(((AfspraakDatum-__4_GebDatum)-365*TRUNC((AfspraakDatum-__4_GebDatum)/365,0))/30,0)&amp;" maand(-en)"</f>
        <v>0 jaar en 11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1002</v>
      </c>
      <c r="D5" s="268">
        <f>BedNummer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7" customFormat="1" ht="13.2" x14ac:dyDescent="0.4">
      <c r="A6" s="848"/>
      <c r="B6" s="532"/>
    </row>
    <row r="7" spans="1:82" s="847" customFormat="1" ht="13.2" x14ac:dyDescent="0.4">
      <c r="A7" s="848"/>
      <c r="B7" s="532"/>
    </row>
    <row r="8" spans="1:82" ht="11.25" customHeight="1" x14ac:dyDescent="0.4">
      <c r="A8" s="593"/>
      <c r="B8" s="527" t="s">
        <v>285</v>
      </c>
      <c r="C8" s="528"/>
      <c r="D8" s="529" t="s">
        <v>1339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1335</v>
      </c>
      <c r="C10" s="533"/>
      <c r="D10" s="382" t="s">
        <v>1340</v>
      </c>
      <c r="E10" s="533"/>
      <c r="F10" s="382" t="s">
        <v>1341</v>
      </c>
      <c r="G10" s="533"/>
      <c r="H10" s="382" t="s">
        <v>1342</v>
      </c>
      <c r="I10" s="533"/>
      <c r="J10" s="382" t="s">
        <v>286</v>
      </c>
      <c r="K10" s="533"/>
      <c r="L10" s="382" t="s">
        <v>1343</v>
      </c>
      <c r="M10" s="533"/>
      <c r="N10" s="382"/>
      <c r="O10" s="533"/>
      <c r="P10" s="382" t="s">
        <v>2421</v>
      </c>
      <c r="Q10" s="382" t="s">
        <v>1347</v>
      </c>
      <c r="R10" s="382" t="s">
        <v>2419</v>
      </c>
      <c r="S10" s="382" t="s">
        <v>1347</v>
      </c>
      <c r="T10" s="382" t="s">
        <v>2422</v>
      </c>
      <c r="U10" s="382" t="s">
        <v>1347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596</v>
      </c>
      <c r="C43" s="531" t="str">
        <f>IF(LabNeoOpmerkingen=0,"",LabNeoOpmerkingen)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4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1334</v>
      </c>
      <c r="B3" s="271" t="s">
        <v>1335</v>
      </c>
      <c r="D3" s="271" t="s">
        <v>1340</v>
      </c>
      <c r="F3" s="271" t="s">
        <v>1341</v>
      </c>
      <c r="H3" s="271" t="s">
        <v>1342</v>
      </c>
      <c r="J3" s="271" t="s">
        <v>286</v>
      </c>
      <c r="L3" s="287" t="s">
        <v>1343</v>
      </c>
      <c r="N3" s="271" t="s">
        <v>1344</v>
      </c>
      <c r="P3" s="271" t="s">
        <v>1345</v>
      </c>
      <c r="R3" s="271" t="s">
        <v>1346</v>
      </c>
    </row>
    <row r="4" spans="1:21" x14ac:dyDescent="0.35">
      <c r="B4" s="271" t="str">
        <f>IF(C4,"A","")</f>
        <v/>
      </c>
      <c r="C4" s="576"/>
      <c r="D4" s="271" t="str">
        <f>IF(E4,"A","")</f>
        <v/>
      </c>
      <c r="E4" s="576"/>
      <c r="F4" s="271" t="str">
        <f>IF(G4,"A","")</f>
        <v/>
      </c>
      <c r="G4" s="576"/>
      <c r="H4" s="271" t="str">
        <f>IF(I4,"A","")</f>
        <v/>
      </c>
      <c r="I4" s="576"/>
      <c r="J4" s="271" t="str">
        <f>IF(K4,"A","")</f>
        <v/>
      </c>
      <c r="K4" s="576"/>
      <c r="L4" s="271" t="str">
        <f>IF(M4,"A","")</f>
        <v/>
      </c>
      <c r="M4" s="576"/>
      <c r="N4" s="271" t="str">
        <f>IF(O4,"A","")</f>
        <v/>
      </c>
      <c r="O4" s="576"/>
      <c r="P4" s="271" t="str">
        <f>IF(Q4,"A","")</f>
        <v/>
      </c>
      <c r="Q4" s="576"/>
      <c r="R4" s="271" t="str">
        <f>IF(S4,"A","")</f>
        <v/>
      </c>
      <c r="S4" s="576"/>
      <c r="U4" s="321"/>
    </row>
    <row r="5" spans="1:21" x14ac:dyDescent="0.35">
      <c r="B5" s="271" t="str">
        <f>IF(C5,"Na K","")</f>
        <v/>
      </c>
      <c r="C5" s="576"/>
      <c r="D5" s="271" t="str">
        <f>IF(E5,"Na K","")</f>
        <v/>
      </c>
      <c r="E5" s="576"/>
      <c r="F5" s="271" t="str">
        <f>IF(G5,"Na K","")</f>
        <v/>
      </c>
      <c r="G5" s="576"/>
      <c r="H5" s="271" t="str">
        <f>IF(I5,"Na K","")</f>
        <v/>
      </c>
      <c r="I5" s="576"/>
      <c r="J5" s="271" t="str">
        <f>IF(K5,"Na K","")</f>
        <v/>
      </c>
      <c r="K5" s="576"/>
      <c r="L5" s="271" t="str">
        <f>IF(M5,"Na K","")</f>
        <v/>
      </c>
      <c r="M5" s="576"/>
      <c r="N5" s="271" t="str">
        <f>IF(O5,"Na K","")</f>
        <v/>
      </c>
      <c r="O5" s="576"/>
      <c r="P5" s="271" t="str">
        <f>IF(Q5,"Na K","")</f>
        <v/>
      </c>
      <c r="Q5" s="576"/>
      <c r="R5" s="271" t="str">
        <f>IF(S5,"Na K","")</f>
        <v/>
      </c>
      <c r="S5" s="576"/>
      <c r="U5" s="321"/>
    </row>
    <row r="6" spans="1:21" x14ac:dyDescent="0.35">
      <c r="A6" s="576"/>
      <c r="B6" s="271" t="str">
        <f>IF(C6,"Cl","")</f>
        <v/>
      </c>
      <c r="C6" s="576"/>
      <c r="D6" s="271" t="str">
        <f>IF(E6,"Cl","")</f>
        <v/>
      </c>
      <c r="E6" s="576"/>
      <c r="F6" s="271" t="str">
        <f>IF(G6,"Cl","")</f>
        <v/>
      </c>
      <c r="G6" s="576"/>
      <c r="H6" s="271" t="str">
        <f>IF(I6,"Cl","")</f>
        <v/>
      </c>
      <c r="I6" s="576"/>
      <c r="J6" s="271" t="str">
        <f>IF(K6,"Cl","")</f>
        <v/>
      </c>
      <c r="K6" s="576"/>
      <c r="L6" s="271" t="str">
        <f>IF(M6,"Cl","")</f>
        <v/>
      </c>
      <c r="M6" s="576"/>
      <c r="N6" s="271" t="str">
        <f>IF(O6,"Cl","")</f>
        <v/>
      </c>
      <c r="O6" s="576"/>
      <c r="P6" s="271" t="str">
        <f>IF(Q6,"Cl","")</f>
        <v/>
      </c>
      <c r="Q6" s="576"/>
      <c r="R6" s="271" t="str">
        <f>IF(S6,"Cl","")</f>
        <v/>
      </c>
      <c r="S6" s="576"/>
      <c r="U6" s="321"/>
    </row>
    <row r="7" spans="1:21" x14ac:dyDescent="0.35">
      <c r="B7" s="271" t="str">
        <f>IF(C7,"Gluc","")</f>
        <v/>
      </c>
      <c r="C7" s="576"/>
      <c r="D7" s="271" t="str">
        <f>IF(E7,"Gluc","")</f>
        <v/>
      </c>
      <c r="E7" s="576"/>
      <c r="F7" s="271" t="str">
        <f>IF(G7,"Gluc","")</f>
        <v/>
      </c>
      <c r="G7" s="576"/>
      <c r="H7" s="271" t="str">
        <f>IF(I7,"Gluc","")</f>
        <v/>
      </c>
      <c r="I7" s="576"/>
      <c r="J7" s="271" t="str">
        <f>IF(K7,"Gluc","")</f>
        <v/>
      </c>
      <c r="K7" s="576"/>
      <c r="L7" s="271" t="str">
        <f>IF(M7,"Gluc","")</f>
        <v/>
      </c>
      <c r="M7" s="576"/>
      <c r="N7" s="271" t="str">
        <f>IF(O7,"Gluc","")</f>
        <v/>
      </c>
      <c r="O7" s="576"/>
      <c r="P7" s="271" t="str">
        <f>IF(Q7,"Gluc","")</f>
        <v/>
      </c>
      <c r="Q7" s="576"/>
      <c r="R7" s="271" t="str">
        <f>IF(S7,"Gluc","")</f>
        <v/>
      </c>
      <c r="S7" s="576"/>
      <c r="U7" s="321"/>
    </row>
    <row r="8" spans="1:21" x14ac:dyDescent="0.35">
      <c r="B8" s="271" t="str">
        <f>IF(C8,"Hb Ht","")</f>
        <v/>
      </c>
      <c r="C8" s="576"/>
      <c r="D8" s="271" t="str">
        <f>IF(E8,"Hb Ht","")</f>
        <v/>
      </c>
      <c r="E8" s="576"/>
      <c r="F8" s="271" t="str">
        <f>IF(G8,"Hb Ht","")</f>
        <v/>
      </c>
      <c r="G8" s="576"/>
      <c r="H8" s="271" t="str">
        <f>IF(I8,"Hb Ht","")</f>
        <v/>
      </c>
      <c r="I8" s="576"/>
      <c r="J8" s="271" t="str">
        <f>IF(K8,"Hb Ht","")</f>
        <v/>
      </c>
      <c r="K8" s="576"/>
      <c r="L8" s="271" t="str">
        <f>IF(M8,"Hb Ht","")</f>
        <v/>
      </c>
      <c r="M8" s="576"/>
      <c r="N8" s="271" t="str">
        <f>IF(O8,"Hb Ht","")</f>
        <v/>
      </c>
      <c r="O8" s="576"/>
      <c r="P8" s="271" t="str">
        <f>IF(Q8,"Hb Ht","")</f>
        <v/>
      </c>
      <c r="Q8" s="576"/>
      <c r="R8" s="271" t="str">
        <f>IF(S8,"Hb Ht","")</f>
        <v/>
      </c>
      <c r="S8" s="576"/>
      <c r="U8" s="321"/>
    </row>
    <row r="9" spans="1:21" x14ac:dyDescent="0.35">
      <c r="B9" s="271" t="str">
        <f>IF(C9,"L","")</f>
        <v/>
      </c>
      <c r="C9" s="576"/>
      <c r="D9" s="271" t="str">
        <f>IF(E9,"L","")</f>
        <v/>
      </c>
      <c r="E9" s="576"/>
      <c r="F9" s="271" t="str">
        <f>IF(G9,"L","")</f>
        <v/>
      </c>
      <c r="G9" s="576"/>
      <c r="H9" s="271" t="str">
        <f>IF(I9,"L","")</f>
        <v/>
      </c>
      <c r="I9" s="576"/>
      <c r="J9" s="271" t="str">
        <f>IF(K9,"L","")</f>
        <v/>
      </c>
      <c r="K9" s="576"/>
      <c r="L9" s="271" t="str">
        <f>IF(M9,"L","")</f>
        <v/>
      </c>
      <c r="M9" s="576"/>
      <c r="N9" s="271" t="str">
        <f>IF(O9,"L","")</f>
        <v/>
      </c>
      <c r="O9" s="576"/>
      <c r="P9" s="271" t="str">
        <f>IF(Q9,"L","")</f>
        <v/>
      </c>
      <c r="Q9" s="576"/>
      <c r="R9" s="271" t="str">
        <f>IF(S9,"L","")</f>
        <v/>
      </c>
      <c r="S9" s="576"/>
      <c r="U9" s="321"/>
    </row>
    <row r="10" spans="1:21" x14ac:dyDescent="0.35">
      <c r="B10" s="271" t="str">
        <f>IF(C10,"L+diff","")</f>
        <v/>
      </c>
      <c r="C10" s="576"/>
      <c r="D10" s="271" t="str">
        <f>IF(E10,"L+diff","")</f>
        <v/>
      </c>
      <c r="E10" s="576"/>
      <c r="F10" s="271" t="str">
        <f>IF(G10,"L+diff","")</f>
        <v/>
      </c>
      <c r="G10" s="576"/>
      <c r="H10" s="271" t="str">
        <f>IF(I10,"L+diff","")</f>
        <v/>
      </c>
      <c r="I10" s="576"/>
      <c r="J10" s="271" t="str">
        <f>IF(K10,"L+diff","")</f>
        <v/>
      </c>
      <c r="K10" s="576"/>
      <c r="L10" s="271" t="str">
        <f>IF(M10,"L+diff","")</f>
        <v/>
      </c>
      <c r="M10" s="576"/>
      <c r="N10" s="271" t="str">
        <f>IF(O10,"L+diff","")</f>
        <v/>
      </c>
      <c r="O10" s="576"/>
      <c r="P10" s="271" t="str">
        <f>IF(Q10,"L+diff","")</f>
        <v/>
      </c>
      <c r="Q10" s="576"/>
      <c r="R10" s="271" t="str">
        <f>IF(S10,"L+diff","")</f>
        <v/>
      </c>
      <c r="S10" s="576"/>
      <c r="U10" s="321"/>
    </row>
    <row r="11" spans="1:21" x14ac:dyDescent="0.35">
      <c r="B11" s="271" t="str">
        <f>IF(C11,"T","")</f>
        <v/>
      </c>
      <c r="C11" s="576"/>
      <c r="D11" s="271" t="str">
        <f>IF(E11,"T","")</f>
        <v/>
      </c>
      <c r="E11" s="576"/>
      <c r="F11" s="271" t="str">
        <f>IF(G11,"T","")</f>
        <v/>
      </c>
      <c r="G11" s="576"/>
      <c r="H11" s="271" t="str">
        <f>IF(I11,"T","")</f>
        <v/>
      </c>
      <c r="I11" s="576"/>
      <c r="J11" s="271" t="str">
        <f>IF(K11,"T","")</f>
        <v/>
      </c>
      <c r="K11" s="576"/>
      <c r="L11" s="271" t="str">
        <f>IF(M11,"T","")</f>
        <v/>
      </c>
      <c r="M11" s="576"/>
      <c r="N11" s="271" t="str">
        <f>IF(O11,"T","")</f>
        <v/>
      </c>
      <c r="O11" s="576"/>
      <c r="P11" s="271" t="str">
        <f>IF(Q11,"T","")</f>
        <v/>
      </c>
      <c r="Q11" s="576"/>
      <c r="R11" s="271" t="str">
        <f>IF(S11,"T","")</f>
        <v/>
      </c>
      <c r="S11" s="576"/>
      <c r="U11" s="321"/>
    </row>
    <row r="12" spans="1:21" x14ac:dyDescent="0.35">
      <c r="B12" s="271" t="str">
        <f>IF(C12,"CRP","")</f>
        <v/>
      </c>
      <c r="C12" s="576"/>
      <c r="D12" s="271" t="str">
        <f>IF(E12,"CRP","")</f>
        <v/>
      </c>
      <c r="E12" s="576"/>
      <c r="F12" s="271" t="str">
        <f>IF(G12,"CRP","")</f>
        <v/>
      </c>
      <c r="G12" s="576"/>
      <c r="H12" s="271" t="str">
        <f>IF(I12,"CRP","")</f>
        <v/>
      </c>
      <c r="I12" s="576"/>
      <c r="J12" s="271" t="str">
        <f>IF(K12,"CRP","")</f>
        <v/>
      </c>
      <c r="K12" s="576"/>
      <c r="L12" s="271" t="str">
        <f>IF(M12,"CRP","")</f>
        <v/>
      </c>
      <c r="M12" s="576"/>
      <c r="N12" s="271" t="str">
        <f>IF(O12,"CRP","")</f>
        <v/>
      </c>
      <c r="O12" s="576"/>
      <c r="P12" s="271" t="str">
        <f>IF(Q12,"CRP","")</f>
        <v/>
      </c>
      <c r="Q12" s="576"/>
      <c r="R12" s="271" t="str">
        <f>IF(S12,"CRP","")</f>
        <v/>
      </c>
      <c r="S12" s="576"/>
      <c r="U12" s="321"/>
    </row>
    <row r="13" spans="1:21" x14ac:dyDescent="0.35">
      <c r="B13" s="271" t="str">
        <f>IF(C13,"Lac","")</f>
        <v/>
      </c>
      <c r="C13" s="576"/>
      <c r="D13" s="271" t="str">
        <f>IF(E13,"Lac","")</f>
        <v/>
      </c>
      <c r="E13" s="576"/>
      <c r="F13" s="271" t="str">
        <f>IF(G13,"Lac","")</f>
        <v/>
      </c>
      <c r="G13" s="576"/>
      <c r="H13" s="271" t="str">
        <f>IF(I13,"Lac","")</f>
        <v/>
      </c>
      <c r="I13" s="576"/>
      <c r="J13" s="271" t="str">
        <f>IF(K13,"Lac","")</f>
        <v/>
      </c>
      <c r="K13" s="576"/>
      <c r="L13" s="271" t="str">
        <f>IF(M13,"Lac","")</f>
        <v/>
      </c>
      <c r="M13" s="576"/>
      <c r="N13" s="271" t="str">
        <f>IF(O13,"Lac","")</f>
        <v/>
      </c>
      <c r="O13" s="576"/>
      <c r="P13" s="271" t="str">
        <f>IF(Q13,"Lac","")</f>
        <v/>
      </c>
      <c r="Q13" s="576"/>
      <c r="R13" s="271" t="str">
        <f>IF(S13,"Lac","")</f>
        <v/>
      </c>
      <c r="S13" s="576"/>
      <c r="U13" s="321"/>
    </row>
    <row r="14" spans="1:21" x14ac:dyDescent="0.35">
      <c r="B14" s="271" t="str">
        <f>IF(C14,"Ur","")</f>
        <v/>
      </c>
      <c r="C14" s="576"/>
      <c r="D14" s="271" t="str">
        <f>IF(E14,"Ur","")</f>
        <v/>
      </c>
      <c r="E14" s="576"/>
      <c r="F14" s="271" t="str">
        <f>IF(G14,"Ur","")</f>
        <v/>
      </c>
      <c r="G14" s="576"/>
      <c r="H14" s="271" t="str">
        <f>IF(I14,"Ur","")</f>
        <v/>
      </c>
      <c r="I14" s="576"/>
      <c r="J14" s="271" t="str">
        <f>IF(K14,"Ur","")</f>
        <v/>
      </c>
      <c r="K14" s="576"/>
      <c r="L14" s="271" t="str">
        <f>IF(M14,"Ur","")</f>
        <v/>
      </c>
      <c r="M14" s="576"/>
      <c r="N14" s="271" t="str">
        <f>IF(O14,"Ur","")</f>
        <v/>
      </c>
      <c r="O14" s="576"/>
      <c r="P14" s="271" t="str">
        <f>IF(Q14,"Ur","")</f>
        <v/>
      </c>
      <c r="Q14" s="576"/>
      <c r="R14" s="271" t="str">
        <f>IF(S14,"Ur","")</f>
        <v/>
      </c>
      <c r="S14" s="576"/>
      <c r="U14" s="321"/>
    </row>
    <row r="15" spans="1:21" x14ac:dyDescent="0.35">
      <c r="B15" s="271" t="str">
        <f>IF(C15,"Kr","")</f>
        <v/>
      </c>
      <c r="C15" s="576"/>
      <c r="D15" s="271" t="str">
        <f>IF(E15,"Kr++","")</f>
        <v/>
      </c>
      <c r="E15" s="576"/>
      <c r="F15" s="271" t="str">
        <f>IF(G15,"Kr","")</f>
        <v/>
      </c>
      <c r="G15" s="576"/>
      <c r="H15" s="271" t="str">
        <f>IF(I15,"Kr","")</f>
        <v/>
      </c>
      <c r="I15" s="576"/>
      <c r="J15" s="271" t="str">
        <f>IF(K15,"Kr","")</f>
        <v/>
      </c>
      <c r="K15" s="576"/>
      <c r="L15" s="271" t="str">
        <f>IF(M15,"Kr","")</f>
        <v/>
      </c>
      <c r="M15" s="576"/>
      <c r="N15" s="271" t="str">
        <f>IF(O15,"Kr","")</f>
        <v/>
      </c>
      <c r="O15" s="576"/>
      <c r="P15" s="271" t="str">
        <f>IF(Q15,"Kr","")</f>
        <v/>
      </c>
      <c r="Q15" s="576"/>
      <c r="R15" s="271" t="str">
        <f>IF(S15,"Kr","")</f>
        <v/>
      </c>
      <c r="S15" s="576"/>
      <c r="U15" s="321"/>
    </row>
    <row r="16" spans="1:21" x14ac:dyDescent="0.35">
      <c r="B16" s="271" t="str">
        <f>IF(C16,"Ca++","")</f>
        <v/>
      </c>
      <c r="C16" s="576"/>
      <c r="D16" s="271" t="str">
        <f>IF(E16,"Ca++","")</f>
        <v/>
      </c>
      <c r="E16" s="576"/>
      <c r="F16" s="271" t="str">
        <f>IF(G16,"Ca++","")</f>
        <v/>
      </c>
      <c r="G16" s="576"/>
      <c r="H16" s="271" t="str">
        <f>IF(I16,"Ca++","")</f>
        <v/>
      </c>
      <c r="I16" s="576"/>
      <c r="J16" s="271" t="str">
        <f>IF(K16,"Ca++","")</f>
        <v/>
      </c>
      <c r="K16" s="576"/>
      <c r="L16" s="271" t="str">
        <f>IF(M16,"Ca++","")</f>
        <v/>
      </c>
      <c r="M16" s="576"/>
      <c r="N16" s="271" t="str">
        <f>IF(O16,"Ca++","")</f>
        <v/>
      </c>
      <c r="O16" s="576"/>
      <c r="P16" s="271" t="str">
        <f>IF(Q16,"Ca++","")</f>
        <v/>
      </c>
      <c r="Q16" s="576"/>
      <c r="R16" s="271" t="str">
        <f>IF(S16,"Ca++","")</f>
        <v/>
      </c>
      <c r="S16" s="576"/>
      <c r="U16" s="321"/>
    </row>
    <row r="17" spans="2:21" x14ac:dyDescent="0.35">
      <c r="B17" s="271" t="str">
        <f>IF(C17,"Mg++","")</f>
        <v/>
      </c>
      <c r="C17" s="576"/>
      <c r="D17" s="271" t="str">
        <f>IF(E17,"Mg++","")</f>
        <v/>
      </c>
      <c r="E17" s="576"/>
      <c r="F17" s="271" t="str">
        <f>IF(G17,"Mg++","")</f>
        <v/>
      </c>
      <c r="G17" s="576"/>
      <c r="H17" s="271" t="str">
        <f>IF(I17,"Mg++","")</f>
        <v/>
      </c>
      <c r="I17" s="576"/>
      <c r="J17" s="271" t="str">
        <f>IF(K17,"Mg++","")</f>
        <v/>
      </c>
      <c r="K17" s="576"/>
      <c r="L17" s="271" t="str">
        <f>IF(M17,"Mg++","")</f>
        <v/>
      </c>
      <c r="M17" s="576"/>
      <c r="N17" s="271" t="str">
        <f>IF(O17,"Mg++","")</f>
        <v/>
      </c>
      <c r="O17" s="576"/>
      <c r="P17" s="271" t="str">
        <f>IF(Q17,"Mg++","")</f>
        <v/>
      </c>
      <c r="Q17" s="576"/>
      <c r="R17" s="271" t="str">
        <f>IF(S17,"Mg++","")</f>
        <v/>
      </c>
      <c r="S17" s="576"/>
      <c r="U17" s="321"/>
    </row>
    <row r="18" spans="2:21" x14ac:dyDescent="0.35">
      <c r="B18" s="271" t="str">
        <f>IF(C18,"Fosfaat","")</f>
        <v/>
      </c>
      <c r="C18" s="576"/>
      <c r="D18" s="271" t="str">
        <f>IF(E18,"Fosfaat","")</f>
        <v/>
      </c>
      <c r="E18" s="576"/>
      <c r="F18" s="271" t="str">
        <f>IF(G18,"Fosfaat","")</f>
        <v/>
      </c>
      <c r="G18" s="576"/>
      <c r="H18" s="271" t="str">
        <f>IF(I18,"Fosfaat","")</f>
        <v/>
      </c>
      <c r="I18" s="576"/>
      <c r="J18" s="271" t="str">
        <f>IF(K18,"Fosfaat","")</f>
        <v/>
      </c>
      <c r="K18" s="576"/>
      <c r="L18" s="271" t="str">
        <f>IF(M18,"Fosfaat","")</f>
        <v/>
      </c>
      <c r="M18" s="576"/>
      <c r="N18" s="271" t="str">
        <f>IF(O18,"Fosfaat","")</f>
        <v/>
      </c>
      <c r="O18" s="576"/>
      <c r="P18" s="271" t="str">
        <f>IF(Q18,"Fosfaat","")</f>
        <v/>
      </c>
      <c r="Q18" s="576"/>
      <c r="R18" s="271" t="str">
        <f>IF(S18,"Fosfaat","")</f>
        <v/>
      </c>
      <c r="S18" s="576"/>
      <c r="U18" s="321"/>
    </row>
    <row r="19" spans="2:21" x14ac:dyDescent="0.35">
      <c r="B19" s="271" t="str">
        <f>IF(C19,"Alb","")</f>
        <v/>
      </c>
      <c r="C19" s="576"/>
      <c r="D19" s="271" t="str">
        <f>IF(E19,"Alb","")</f>
        <v/>
      </c>
      <c r="E19" s="576"/>
      <c r="F19" s="271" t="str">
        <f>IF(G19,"Alb","")</f>
        <v/>
      </c>
      <c r="G19" s="576"/>
      <c r="H19" s="271" t="str">
        <f>IF(I19,"Alb","")</f>
        <v/>
      </c>
      <c r="I19" s="576"/>
      <c r="J19" s="271" t="str">
        <f>IF(K19,"Alb","")</f>
        <v/>
      </c>
      <c r="K19" s="576"/>
      <c r="L19" s="271" t="str">
        <f>IF(M19,"Alb","")</f>
        <v/>
      </c>
      <c r="M19" s="576"/>
      <c r="N19" s="271" t="str">
        <f>IF(O19,"Alb","")</f>
        <v/>
      </c>
      <c r="O19" s="576"/>
      <c r="P19" s="271" t="str">
        <f>IF(Q19,"Alb","")</f>
        <v/>
      </c>
      <c r="Q19" s="576"/>
      <c r="R19" s="271" t="str">
        <f>IF(S19,"Alb","")</f>
        <v/>
      </c>
      <c r="S19" s="576"/>
      <c r="U19" s="321"/>
    </row>
    <row r="20" spans="2:21" x14ac:dyDescent="0.35">
      <c r="B20" s="271" t="str">
        <f>IF(C20,"Ca","")</f>
        <v/>
      </c>
      <c r="C20" s="576"/>
      <c r="D20" s="271" t="str">
        <f>IF(E20,"Ca","")</f>
        <v/>
      </c>
      <c r="E20" s="576"/>
      <c r="F20" s="271" t="str">
        <f>IF(G20,"Ca","")</f>
        <v/>
      </c>
      <c r="G20" s="576"/>
      <c r="H20" s="271" t="str">
        <f>IF(I20,"Ca","")</f>
        <v/>
      </c>
      <c r="I20" s="576"/>
      <c r="J20" s="271" t="str">
        <f>IF(K20,"Ca","")</f>
        <v/>
      </c>
      <c r="K20" s="576"/>
      <c r="L20" s="271" t="str">
        <f>IF(M20,"Ca","")</f>
        <v/>
      </c>
      <c r="M20" s="576"/>
      <c r="N20" s="271" t="str">
        <f>IF(O20,"Ca","")</f>
        <v/>
      </c>
      <c r="O20" s="576"/>
      <c r="P20" s="271" t="str">
        <f>IF(Q20,"Ca","")</f>
        <v/>
      </c>
      <c r="Q20" s="576"/>
      <c r="R20" s="271" t="str">
        <f>IF(S20,"Ca","")</f>
        <v/>
      </c>
      <c r="S20" s="576"/>
      <c r="U20" s="321"/>
    </row>
    <row r="21" spans="2:21" x14ac:dyDescent="0.35">
      <c r="B21" s="271" t="str">
        <f>IF(C21,"ASAT","")</f>
        <v/>
      </c>
      <c r="C21" s="576"/>
      <c r="D21" s="271" t="str">
        <f>IF(E21,"ASAT","")</f>
        <v/>
      </c>
      <c r="E21" s="576"/>
      <c r="F21" s="271" t="str">
        <f>IF(G21,"ASAT","")</f>
        <v/>
      </c>
      <c r="G21" s="576"/>
      <c r="H21" s="271" t="str">
        <f>IF(I21,"ASAT","")</f>
        <v/>
      </c>
      <c r="I21" s="576"/>
      <c r="J21" s="271" t="str">
        <f>IF(K21,"ASAT","")</f>
        <v/>
      </c>
      <c r="K21" s="576"/>
      <c r="L21" s="271" t="str">
        <f>IF(M21,"ASAT","")</f>
        <v/>
      </c>
      <c r="M21" s="576"/>
      <c r="N21" s="271" t="str">
        <f>IF(O21,"ASAT","")</f>
        <v/>
      </c>
      <c r="O21" s="576"/>
      <c r="P21" s="271" t="str">
        <f>IF(Q21,"ASAT","")</f>
        <v/>
      </c>
      <c r="Q21" s="576"/>
      <c r="R21" s="271" t="str">
        <f>IF(S21,"ASAT","")</f>
        <v/>
      </c>
      <c r="S21" s="576"/>
      <c r="U21" s="321"/>
    </row>
    <row r="22" spans="2:21" x14ac:dyDescent="0.35">
      <c r="B22" s="271" t="str">
        <f>IF(C22,"ALAT","")</f>
        <v/>
      </c>
      <c r="C22" s="576"/>
      <c r="D22" s="271" t="str">
        <f>IF(E22,"ALAT","")</f>
        <v/>
      </c>
      <c r="E22" s="576"/>
      <c r="F22" s="271" t="str">
        <f>IF(G22,"ALAT","")</f>
        <v/>
      </c>
      <c r="G22" s="576"/>
      <c r="H22" s="271" t="str">
        <f>IF(I22,"ALAT","")</f>
        <v/>
      </c>
      <c r="I22" s="576"/>
      <c r="J22" s="271" t="str">
        <f>IF(K22,"ALAT","")</f>
        <v/>
      </c>
      <c r="K22" s="576"/>
      <c r="L22" s="271" t="str">
        <f>IF(M22,"ALAT","")</f>
        <v/>
      </c>
      <c r="M22" s="576"/>
      <c r="N22" s="271" t="str">
        <f>IF(O22,"ALAT","")</f>
        <v/>
      </c>
      <c r="O22" s="576"/>
      <c r="P22" s="271" t="str">
        <f>IF(Q22,"ALAT","")</f>
        <v/>
      </c>
      <c r="Q22" s="576"/>
      <c r="R22" s="271" t="str">
        <f>IF(S22,"ALAT","")</f>
        <v/>
      </c>
      <c r="S22" s="576"/>
      <c r="U22" s="321"/>
    </row>
    <row r="23" spans="2:21" x14ac:dyDescent="0.35">
      <c r="B23" s="271" t="str">
        <f>IF(C23,"GGT","")</f>
        <v/>
      </c>
      <c r="C23" s="576"/>
      <c r="D23" s="271" t="str">
        <f>IF(E23,"GGT","")</f>
        <v/>
      </c>
      <c r="E23" s="576"/>
      <c r="F23" s="271" t="str">
        <f>IF(G23,"GGT","")</f>
        <v/>
      </c>
      <c r="G23" s="576"/>
      <c r="H23" s="271" t="str">
        <f>IF(I23,"GGT","")</f>
        <v/>
      </c>
      <c r="I23" s="576"/>
      <c r="J23" s="271" t="str">
        <f>IF(K23,"GGT","")</f>
        <v/>
      </c>
      <c r="K23" s="576"/>
      <c r="L23" s="271" t="str">
        <f>IF(M23,"GGT","")</f>
        <v/>
      </c>
      <c r="M23" s="576"/>
      <c r="N23" s="271" t="str">
        <f>IF(O23,"GGT","")</f>
        <v/>
      </c>
      <c r="O23" s="576"/>
      <c r="P23" s="271" t="str">
        <f>IF(Q23,"GGT","")</f>
        <v/>
      </c>
      <c r="Q23" s="576"/>
      <c r="R23" s="271" t="str">
        <f>IF(S23,"GGT","")</f>
        <v/>
      </c>
      <c r="S23" s="576"/>
      <c r="U23" s="321"/>
    </row>
    <row r="24" spans="2:21" x14ac:dyDescent="0.35">
      <c r="B24" s="271" t="str">
        <f>IF(C24,"AF","")</f>
        <v/>
      </c>
      <c r="C24" s="576"/>
      <c r="D24" s="271" t="str">
        <f>IF(E24,"AF","")</f>
        <v/>
      </c>
      <c r="E24" s="576"/>
      <c r="F24" s="271" t="str">
        <f>IF(G24,"AF","")</f>
        <v/>
      </c>
      <c r="G24" s="576"/>
      <c r="H24" s="271" t="str">
        <f>IF(I24,"AF","")</f>
        <v/>
      </c>
      <c r="I24" s="576"/>
      <c r="J24" s="271" t="str">
        <f>IF(K24,"AF","")</f>
        <v/>
      </c>
      <c r="K24" s="576"/>
      <c r="L24" s="271" t="str">
        <f>IF(M24,"AF","")</f>
        <v/>
      </c>
      <c r="M24" s="576"/>
      <c r="N24" s="271" t="str">
        <f>IF(O24,"AF","")</f>
        <v/>
      </c>
      <c r="O24" s="576"/>
      <c r="P24" s="271" t="str">
        <f>IF(Q24,"AF","")</f>
        <v/>
      </c>
      <c r="Q24" s="576"/>
      <c r="R24" s="271" t="str">
        <f>IF(S24,"AF","")</f>
        <v/>
      </c>
      <c r="S24" s="576"/>
      <c r="U24" s="321"/>
    </row>
    <row r="25" spans="2:21" x14ac:dyDescent="0.35">
      <c r="B25" s="271" t="str">
        <f>IF(C25,"LDH","")</f>
        <v/>
      </c>
      <c r="C25" s="576"/>
      <c r="D25" s="271" t="str">
        <f>IF(E25,"LDH","")</f>
        <v/>
      </c>
      <c r="E25" s="576"/>
      <c r="F25" s="271" t="str">
        <f>IF(G25,"LDH","")</f>
        <v/>
      </c>
      <c r="G25" s="576"/>
      <c r="H25" s="271" t="str">
        <f>IF(I25,"LDH","")</f>
        <v/>
      </c>
      <c r="I25" s="576"/>
      <c r="J25" s="271" t="str">
        <f>IF(K25,"LDH","")</f>
        <v/>
      </c>
      <c r="K25" s="576"/>
      <c r="L25" s="271" t="str">
        <f>IF(M25,"LDH","")</f>
        <v/>
      </c>
      <c r="M25" s="576"/>
      <c r="N25" s="271" t="str">
        <f>IF(O25,"LDH","")</f>
        <v/>
      </c>
      <c r="O25" s="576"/>
      <c r="P25" s="271" t="str">
        <f>IF(Q25,"LDH","")</f>
        <v/>
      </c>
      <c r="Q25" s="576"/>
      <c r="R25" s="271" t="str">
        <f>IF(S25,"LDH","")</f>
        <v/>
      </c>
      <c r="S25" s="576"/>
      <c r="U25" s="321"/>
    </row>
    <row r="26" spans="2:21" x14ac:dyDescent="0.35">
      <c r="B26" s="271" t="str">
        <f>IF(C26,"Bili","")</f>
        <v/>
      </c>
      <c r="C26" s="576"/>
      <c r="D26" s="271" t="str">
        <f>IF(E26,"Bili","")</f>
        <v/>
      </c>
      <c r="E26" s="576"/>
      <c r="F26" s="271" t="str">
        <f>IF(G26,"Bili","")</f>
        <v/>
      </c>
      <c r="G26" s="576"/>
      <c r="H26" s="271" t="str">
        <f>IF(I26,"Bili","")</f>
        <v/>
      </c>
      <c r="I26" s="576"/>
      <c r="J26" s="271" t="str">
        <f>IF(K26,"Bili","")</f>
        <v/>
      </c>
      <c r="K26" s="576"/>
      <c r="L26" s="271" t="str">
        <f>IF(M26,"Bili","")</f>
        <v/>
      </c>
      <c r="M26" s="576"/>
      <c r="N26" s="271" t="str">
        <f>IF(O26,"Bili","")</f>
        <v/>
      </c>
      <c r="O26" s="576"/>
      <c r="P26" s="271" t="str">
        <f>IF(Q26,"Bili","")</f>
        <v/>
      </c>
      <c r="Q26" s="576"/>
      <c r="R26" s="271" t="str">
        <f>IF(S26,"Bili","")</f>
        <v/>
      </c>
      <c r="S26" s="576"/>
      <c r="U26" s="321"/>
    </row>
    <row r="27" spans="2:21" x14ac:dyDescent="0.35">
      <c r="B27" s="271" t="str">
        <f>IF(C27,"TG","")</f>
        <v/>
      </c>
      <c r="C27" s="576"/>
      <c r="D27" s="271" t="str">
        <f>IF(E27,"TG","")</f>
        <v/>
      </c>
      <c r="E27" s="576"/>
      <c r="F27" s="271" t="str">
        <f>IF(G27,"TG","")</f>
        <v/>
      </c>
      <c r="G27" s="576"/>
      <c r="H27" s="271" t="str">
        <f>IF(I27,"TG","")</f>
        <v/>
      </c>
      <c r="I27" s="576"/>
      <c r="J27" s="271" t="str">
        <f>IF(K27,"TG","")</f>
        <v/>
      </c>
      <c r="K27" s="576"/>
      <c r="L27" s="271" t="str">
        <f>IF(M27,"TG","")</f>
        <v/>
      </c>
      <c r="M27" s="576"/>
      <c r="N27" s="271" t="str">
        <f>IF(O27,"TG","")</f>
        <v/>
      </c>
      <c r="O27" s="576"/>
      <c r="P27" s="271" t="str">
        <f>IF(Q27,"TG","")</f>
        <v/>
      </c>
      <c r="Q27" s="576"/>
      <c r="R27" s="271" t="str">
        <f>IF(S27,"TG","")</f>
        <v/>
      </c>
      <c r="S27" s="576"/>
      <c r="U27" s="321"/>
    </row>
    <row r="28" spans="2:21" x14ac:dyDescent="0.35">
      <c r="B28" s="271" t="str">
        <f>IF(C28,"PT","")</f>
        <v/>
      </c>
      <c r="C28" s="576"/>
      <c r="D28" s="271" t="str">
        <f>IF(E28,"PT","")</f>
        <v/>
      </c>
      <c r="E28" s="576"/>
      <c r="F28" s="271" t="str">
        <f>IF(G28,"PT","")</f>
        <v/>
      </c>
      <c r="G28" s="576"/>
      <c r="H28" s="271" t="str">
        <f>IF(I28,"PT","")</f>
        <v/>
      </c>
      <c r="I28" s="576"/>
      <c r="J28" s="271" t="str">
        <f>IF(K28,"PT","")</f>
        <v/>
      </c>
      <c r="K28" s="576"/>
      <c r="L28" s="271" t="str">
        <f>IF(M28,"PT","")</f>
        <v/>
      </c>
      <c r="M28" s="576"/>
      <c r="N28" s="271" t="str">
        <f>IF(O28,"PT","")</f>
        <v/>
      </c>
      <c r="O28" s="576"/>
      <c r="P28" s="271" t="str">
        <f>IF(Q28,"PT","")</f>
        <v/>
      </c>
      <c r="Q28" s="576"/>
      <c r="R28" s="271" t="str">
        <f>IF(S28,"PT","")</f>
        <v/>
      </c>
      <c r="S28" s="576"/>
      <c r="U28" s="321"/>
    </row>
    <row r="29" spans="2:21" x14ac:dyDescent="0.35">
      <c r="B29" s="271" t="str">
        <f>IF(C29,"APPT","")</f>
        <v/>
      </c>
      <c r="C29" s="576"/>
      <c r="D29" s="271" t="str">
        <f>IF(E29,"APPT","")</f>
        <v/>
      </c>
      <c r="E29" s="576"/>
      <c r="F29" s="271" t="str">
        <f>IF(G29,"APPT","")</f>
        <v/>
      </c>
      <c r="G29" s="576"/>
      <c r="H29" s="271" t="str">
        <f>IF(I29,"APPT","")</f>
        <v/>
      </c>
      <c r="I29" s="576"/>
      <c r="J29" s="271" t="str">
        <f>IF(K29,"APPT","")</f>
        <v/>
      </c>
      <c r="K29" s="576"/>
      <c r="L29" s="271" t="str">
        <f>IF(M29,"APPT","")</f>
        <v/>
      </c>
      <c r="M29" s="576"/>
      <c r="N29" s="271" t="str">
        <f>IF(O29,"APPT","")</f>
        <v/>
      </c>
      <c r="O29" s="576"/>
      <c r="P29" s="271" t="str">
        <f>IF(Q29,"APPT","")</f>
        <v/>
      </c>
      <c r="Q29" s="576"/>
      <c r="R29" s="271" t="str">
        <f>IF(S29,"APPT","")</f>
        <v/>
      </c>
      <c r="S29" s="576"/>
      <c r="U29" s="321"/>
    </row>
    <row r="30" spans="2:21" x14ac:dyDescent="0.35">
      <c r="B30" s="271" t="str">
        <f>IF(C30,"NICU APPT","")</f>
        <v/>
      </c>
      <c r="C30" s="576"/>
      <c r="D30" s="271" t="str">
        <f>IF(E30,"NICU APPT","")</f>
        <v/>
      </c>
      <c r="E30" s="576"/>
      <c r="F30" s="271" t="str">
        <f>IF(G30,"NICU APPT","")</f>
        <v/>
      </c>
      <c r="G30" s="576"/>
      <c r="H30" s="271" t="str">
        <f>IF(I30,"NICU APPT","")</f>
        <v/>
      </c>
      <c r="I30" s="576"/>
      <c r="J30" s="271" t="str">
        <f>IF(K30,"NICU APPT","")</f>
        <v/>
      </c>
      <c r="K30" s="576"/>
      <c r="L30" s="271" t="str">
        <f>IF(M30,"NICU APPT","")</f>
        <v/>
      </c>
      <c r="M30" s="576"/>
      <c r="N30" s="271" t="str">
        <f>IF(O30,"NICU APPT","")</f>
        <v/>
      </c>
      <c r="O30" s="576"/>
      <c r="P30" s="271" t="str">
        <f>IF(Q30,"NICU APPT","")</f>
        <v/>
      </c>
      <c r="Q30" s="576"/>
      <c r="R30" s="271" t="str">
        <f>IF(S30,"NICU APPT","")</f>
        <v/>
      </c>
      <c r="S30" s="576"/>
      <c r="U30" s="321"/>
    </row>
    <row r="31" spans="2:21" x14ac:dyDescent="0.35">
      <c r="B31" s="271" t="str">
        <f>IF(C31,"BG","")</f>
        <v/>
      </c>
      <c r="C31" s="576"/>
      <c r="D31" s="271" t="str">
        <f>IF(E31,"BG","")</f>
        <v/>
      </c>
      <c r="E31" s="576"/>
      <c r="F31" s="271" t="str">
        <f>IF(G31,"BG","")</f>
        <v/>
      </c>
      <c r="G31" s="576"/>
      <c r="H31" s="271" t="str">
        <f>IF(I31,"BG","")</f>
        <v/>
      </c>
      <c r="I31" s="576"/>
      <c r="J31" s="271" t="str">
        <f>IF(K31,"BG","")</f>
        <v/>
      </c>
      <c r="K31" s="576"/>
      <c r="L31" s="271" t="str">
        <f>IF(M31,"BG","")</f>
        <v/>
      </c>
      <c r="M31" s="576"/>
      <c r="N31" s="271" t="str">
        <f>IF(O31,"BG","")</f>
        <v/>
      </c>
      <c r="O31" s="576"/>
      <c r="P31" s="271" t="str">
        <f>IF(Q31,"BG","")</f>
        <v/>
      </c>
      <c r="Q31" s="576"/>
      <c r="R31" s="271" t="str">
        <f>IF(S31,"BG","")</f>
        <v/>
      </c>
      <c r="S31" s="576"/>
      <c r="U31" s="321"/>
    </row>
    <row r="32" spans="2:21" x14ac:dyDescent="0.35">
      <c r="B32" s="271" t="str">
        <f>IF(C32,"antiAx","")</f>
        <v/>
      </c>
      <c r="C32" s="576"/>
      <c r="D32" s="271" t="str">
        <f>IF(E32,"antiAx","")</f>
        <v/>
      </c>
      <c r="E32" s="576"/>
      <c r="F32" s="271" t="str">
        <f>IF(G32,"antiAx","")</f>
        <v/>
      </c>
      <c r="G32" s="576"/>
      <c r="H32" s="271" t="str">
        <f>IF(I32,"antiAx","")</f>
        <v/>
      </c>
      <c r="I32" s="576"/>
      <c r="J32" s="271" t="str">
        <f>IF(K32,"antiAx","")</f>
        <v/>
      </c>
      <c r="K32" s="576"/>
      <c r="L32" s="271" t="str">
        <f>IF(M32,"antiAx","")</f>
        <v/>
      </c>
      <c r="M32" s="576"/>
      <c r="N32" s="271" t="str">
        <f>IF(O32,"antiAx","")</f>
        <v/>
      </c>
      <c r="O32" s="576"/>
      <c r="P32" s="271" t="str">
        <f>IF(Q32,"antiAx","")</f>
        <v/>
      </c>
      <c r="Q32" s="576"/>
      <c r="R32" s="271" t="str">
        <f>IF(S32,"antiAx","")</f>
        <v/>
      </c>
      <c r="S32" s="576"/>
      <c r="U32" s="321"/>
    </row>
    <row r="33" spans="2:21" x14ac:dyDescent="0.35">
      <c r="B33" s="271" t="str">
        <f>IF(C33,"BNP","")</f>
        <v/>
      </c>
      <c r="C33" s="576"/>
      <c r="D33" s="271" t="str">
        <f>IF(E33,"BNP","")</f>
        <v/>
      </c>
      <c r="E33" s="576"/>
      <c r="F33" s="271" t="str">
        <f>IF(G33,"BNP","")</f>
        <v/>
      </c>
      <c r="G33" s="576"/>
      <c r="H33" s="271" t="str">
        <f>IF(I33,"BNP","")</f>
        <v/>
      </c>
      <c r="I33" s="576"/>
      <c r="J33" s="271" t="str">
        <f>IF(K33,"BNP","")</f>
        <v/>
      </c>
      <c r="K33" s="576"/>
      <c r="L33" s="271" t="str">
        <f>IF(M33,"BNP","")</f>
        <v/>
      </c>
      <c r="M33" s="576"/>
      <c r="N33" s="271" t="str">
        <f>IF(O33,"BNP","")</f>
        <v/>
      </c>
      <c r="O33" s="576"/>
      <c r="P33" s="271" t="str">
        <f>IF(Q33,"BNP","")</f>
        <v/>
      </c>
      <c r="Q33" s="576"/>
      <c r="R33" s="271" t="str">
        <f>IF(S33,"BNP","")</f>
        <v/>
      </c>
      <c r="S33" s="576"/>
      <c r="U33" s="321"/>
    </row>
    <row r="34" spans="2:21" x14ac:dyDescent="0.35">
      <c r="B34" s="271" t="str">
        <f>IF(C34,"Troponine","")</f>
        <v/>
      </c>
      <c r="C34" s="576"/>
      <c r="D34" s="271" t="str">
        <f>IF(E34,"Troponine","")</f>
        <v/>
      </c>
      <c r="E34" s="576"/>
      <c r="F34" s="271" t="str">
        <f>IF(G34,"Troponine","")</f>
        <v/>
      </c>
      <c r="G34" s="576"/>
      <c r="H34" s="271" t="str">
        <f>IF(I34,"Troponine","")</f>
        <v/>
      </c>
      <c r="I34" s="576"/>
      <c r="J34" s="271" t="str">
        <f>IF(K34,"Troponine","")</f>
        <v/>
      </c>
      <c r="K34" s="576"/>
      <c r="L34" s="271" t="str">
        <f>IF(M34,"Troponine","")</f>
        <v/>
      </c>
      <c r="M34" s="576"/>
      <c r="N34" s="271" t="str">
        <f>IF(O34,"Troponine","")</f>
        <v/>
      </c>
      <c r="O34" s="576"/>
      <c r="P34" s="271" t="str">
        <f>IF(Q34,"Troponine","")</f>
        <v/>
      </c>
      <c r="Q34" s="576"/>
      <c r="R34" s="271" t="str">
        <f>IF(S34,"Troponine","")</f>
        <v/>
      </c>
      <c r="S34" s="576"/>
      <c r="U34" s="321"/>
    </row>
    <row r="35" spans="2:21" x14ac:dyDescent="0.35">
      <c r="B35" s="271" t="str">
        <f>IF(C35,"Coombs-test","")</f>
        <v/>
      </c>
      <c r="C35" s="576"/>
    </row>
    <row r="38" spans="2:21" x14ac:dyDescent="0.35">
      <c r="B38" s="271" t="s">
        <v>1641</v>
      </c>
      <c r="D38" s="576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1521</v>
      </c>
      <c r="M1" s="544" t="s">
        <v>1529</v>
      </c>
      <c r="N1" s="544" t="s">
        <v>1522</v>
      </c>
      <c r="O1" s="544"/>
      <c r="P1" s="544"/>
      <c r="Q1" s="544"/>
      <c r="R1" s="544"/>
      <c r="S1" s="544" t="s">
        <v>1530</v>
      </c>
      <c r="T1" s="544" t="s">
        <v>1531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1267</v>
      </c>
      <c r="D4" s="172" t="s">
        <v>1268</v>
      </c>
      <c r="E4" s="172" t="s">
        <v>1269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_Weken</f>
        <v>30</v>
      </c>
      <c r="D5" s="172">
        <f>_Dagen</f>
        <v>0</v>
      </c>
      <c r="E5" s="172">
        <f>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641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2628</v>
      </c>
      <c r="D10" s="832">
        <f>(1.5*_Gewicht)+5.5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2629</v>
      </c>
      <c r="D11" s="832">
        <f>(4*_Gewicht)+7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250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1044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1523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772</v>
      </c>
      <c r="C17" s="178" t="s">
        <v>1524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1270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33"/>
      <c r="F18" s="833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565</v>
      </c>
      <c r="C19" s="178" t="s">
        <v>1525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1526</v>
      </c>
      <c r="D20" s="47" t="str">
        <f>IF(0.01*E5&gt;0.4,"0,4 mg iv",0.01*E5&amp;" mg iv")</f>
        <v>0,1 mg iv</v>
      </c>
      <c r="E20" s="876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6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7"/>
      <c r="F21" s="877"/>
      <c r="G21" s="241"/>
      <c r="H21" s="46"/>
      <c r="I21" s="46"/>
      <c r="J21" s="544"/>
      <c r="K21" s="544"/>
      <c r="L21" s="544" t="s">
        <v>2626</v>
      </c>
      <c r="M21" s="544" t="s">
        <v>2627</v>
      </c>
      <c r="N21" s="544" t="s">
        <v>1522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33"/>
      <c r="F22" s="833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566</v>
      </c>
      <c r="C23" s="178" t="s">
        <v>1492</v>
      </c>
      <c r="D23" s="835" t="str">
        <f>CONCATENATE(0.0144*_Gewicht, " mg in 12 ml glucose 10%")</f>
        <v>0,144 mg in 12 ml glucose 10%</v>
      </c>
      <c r="E23" s="180" t="s">
        <v>2630</v>
      </c>
      <c r="F23" s="180"/>
      <c r="G23" s="239" t="s">
        <v>1271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1527</v>
      </c>
      <c r="D24" s="47" t="str">
        <f>CONCATENATE(7.2*_Gewicht, " mg in 12 ml glucose 10%")</f>
        <v>72 mg in 12 ml glucose 10%</v>
      </c>
      <c r="E24" s="46" t="s">
        <v>2631</v>
      </c>
      <c r="F24" s="46"/>
      <c r="G24" s="240" t="s">
        <v>682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1528</v>
      </c>
      <c r="D25" s="182" t="str">
        <f>CONCATENATE(0.072*_Gewicht, " mg in 12 ml glucose 10%")</f>
        <v>0,72 mg in 12 ml glucose 10%</v>
      </c>
      <c r="E25" s="836" t="s">
        <v>2632</v>
      </c>
      <c r="F25" s="183"/>
      <c r="G25" s="241" t="s">
        <v>837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44" t="s">
        <v>189</v>
      </c>
      <c r="C27" s="840" t="s">
        <v>569</v>
      </c>
      <c r="D27" s="838" t="str">
        <f>CONCATENATE(0.1*_Gewicht, " mg")</f>
        <v>1 mg</v>
      </c>
      <c r="E27" s="839" t="str">
        <f>"= "&amp;0.02*_Gewicht&amp;" ml van Midazolam 5mg/ml oplossing"</f>
        <v>= 0,2 ml van Midazolam 5mg/ml oplossing</v>
      </c>
      <c r="F27" s="839"/>
      <c r="G27" s="845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7"/>
      <c r="C28" s="840" t="s">
        <v>2633</v>
      </c>
      <c r="D28" s="841" t="str">
        <f>CONCATENATE(20*_Gewicht, " mg")</f>
        <v>200 mg</v>
      </c>
      <c r="E28" s="842" t="str">
        <f>"= "&amp;0.4*_Gewicht&amp;" ml van Fenobarbital 50mg/ml oplossing"</f>
        <v>= 4 ml van Fenobarbital 50mg/ml oplossing</v>
      </c>
      <c r="F28" s="842"/>
      <c r="G28" s="843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54" t="s">
        <v>1332</v>
      </c>
      <c r="C30" s="855" t="s">
        <v>2634</v>
      </c>
      <c r="D30" s="867" t="str">
        <f>CONCATENATE(0.225*_Gewicht," (mmol IV)")</f>
        <v>2,25 (mmol IV)</v>
      </c>
      <c r="E30" s="856" t="str">
        <f>"= "&amp;1*_Gewicht&amp;" ml IV van Calcium gluconaat 10%"</f>
        <v>= 10 ml IV van Calcium gluconaat 10%</v>
      </c>
      <c r="F30" s="856"/>
      <c r="G30" s="861"/>
      <c r="H30" s="849"/>
      <c r="I30" s="849"/>
      <c r="J30" s="865"/>
      <c r="K30" s="865"/>
      <c r="L30" s="865"/>
      <c r="M30" s="865"/>
      <c r="N30" s="865"/>
      <c r="O30" s="865"/>
      <c r="P30" s="865"/>
      <c r="Q30" s="865"/>
      <c r="R30" s="865"/>
      <c r="S30" s="865">
        <v>45</v>
      </c>
      <c r="T30" s="865">
        <v>50</v>
      </c>
      <c r="U30" s="865"/>
      <c r="V30" s="865"/>
      <c r="W30" s="865"/>
      <c r="X30" s="865"/>
      <c r="Y30" s="860"/>
      <c r="Z30" s="185"/>
    </row>
    <row r="31" spans="2:26" ht="19.55" customHeight="1" x14ac:dyDescent="0.45">
      <c r="B31" s="854"/>
      <c r="C31" s="853" t="s">
        <v>260</v>
      </c>
      <c r="D31" s="850" t="str">
        <f>CONCATENATE(0.1*_Gewicht," mg")</f>
        <v>1 mg</v>
      </c>
      <c r="E31" s="849" t="str">
        <f>"= "&amp;0.1*_Gewicht&amp;" ml van Morfine 1mg/1ml oplossing"</f>
        <v>= 1 ml van Morfine 1mg/1ml oplossing</v>
      </c>
      <c r="F31" s="849"/>
      <c r="G31" s="862"/>
      <c r="H31" s="849"/>
      <c r="I31" s="849"/>
      <c r="J31" s="866"/>
      <c r="K31" s="865"/>
      <c r="L31" s="865"/>
      <c r="M31" s="865"/>
      <c r="N31" s="865"/>
      <c r="O31" s="865"/>
      <c r="P31" s="865"/>
      <c r="Q31" s="865"/>
      <c r="R31" s="865"/>
      <c r="S31" s="865">
        <v>46</v>
      </c>
      <c r="T31" s="865">
        <v>50</v>
      </c>
      <c r="U31" s="865"/>
      <c r="V31" s="865"/>
      <c r="W31" s="865"/>
      <c r="X31" s="865"/>
      <c r="Y31" s="860"/>
    </row>
    <row r="32" spans="2:26" ht="19.55" customHeight="1" thickBot="1" x14ac:dyDescent="0.45">
      <c r="B32" s="854"/>
      <c r="C32" s="857" t="s">
        <v>1513</v>
      </c>
      <c r="D32" s="858" t="str">
        <f>CONCATENATE(0.6*_Gewicht," mg")</f>
        <v>6 mg</v>
      </c>
      <c r="E32" s="859" t="str">
        <f>"= "&amp;0.06*_Gewicht&amp;" ml van Rocorium 10mg/1ml oplossing"</f>
        <v>= 0,6 ml van Rocorium 10mg/1ml oplossing</v>
      </c>
      <c r="F32" s="859"/>
      <c r="G32" s="863"/>
      <c r="H32" s="849"/>
      <c r="I32" s="849"/>
      <c r="J32" s="865"/>
      <c r="K32" s="865"/>
      <c r="L32" s="865"/>
      <c r="M32" s="865"/>
      <c r="N32" s="865"/>
      <c r="O32" s="865"/>
      <c r="P32" s="865"/>
      <c r="Q32" s="865"/>
      <c r="R32" s="865"/>
      <c r="S32" s="865">
        <v>47</v>
      </c>
      <c r="T32" s="865">
        <v>50</v>
      </c>
      <c r="U32" s="865"/>
      <c r="V32" s="865"/>
      <c r="W32" s="865"/>
      <c r="X32" s="865"/>
      <c r="Y32" s="860"/>
    </row>
    <row r="33" spans="2:25" ht="19.55" customHeight="1" x14ac:dyDescent="0.35">
      <c r="B33" s="848"/>
      <c r="C33" s="846"/>
      <c r="D33" s="846"/>
      <c r="E33" s="846"/>
      <c r="F33" s="846"/>
      <c r="G33" s="846"/>
      <c r="H33" s="849"/>
      <c r="I33" s="849"/>
      <c r="J33" s="865"/>
      <c r="K33" s="865"/>
      <c r="L33" s="865"/>
      <c r="M33" s="865"/>
      <c r="N33" s="865"/>
      <c r="O33" s="865"/>
      <c r="P33" s="865"/>
      <c r="Q33" s="865"/>
      <c r="R33" s="865"/>
      <c r="S33" s="865">
        <v>48</v>
      </c>
      <c r="T33" s="865">
        <v>50</v>
      </c>
      <c r="U33" s="865"/>
      <c r="V33" s="865"/>
      <c r="W33" s="865"/>
      <c r="X33" s="865"/>
      <c r="Y33" s="860"/>
    </row>
    <row r="34" spans="2:25" ht="13.2" x14ac:dyDescent="0.4">
      <c r="B34" s="848"/>
      <c r="C34" s="849"/>
      <c r="D34" s="850"/>
      <c r="E34" s="849"/>
      <c r="F34" s="849"/>
      <c r="G34" s="864"/>
      <c r="H34" s="849"/>
      <c r="I34" s="849"/>
      <c r="J34" s="865"/>
      <c r="K34" s="865"/>
      <c r="L34" s="865"/>
      <c r="M34" s="865"/>
      <c r="N34" s="865"/>
      <c r="O34" s="865"/>
      <c r="P34" s="865"/>
      <c r="Q34" s="865"/>
      <c r="R34" s="865"/>
      <c r="S34" s="865">
        <v>49</v>
      </c>
      <c r="T34" s="865">
        <v>50</v>
      </c>
      <c r="U34" s="865"/>
      <c r="V34" s="865"/>
      <c r="W34" s="865"/>
      <c r="X34" s="865"/>
      <c r="Y34" s="860"/>
    </row>
    <row r="35" spans="2:25" x14ac:dyDescent="0.35">
      <c r="B35" s="847"/>
      <c r="C35" s="849"/>
      <c r="D35" s="849"/>
      <c r="E35" s="849"/>
      <c r="F35" s="849"/>
      <c r="G35" s="849"/>
      <c r="H35" s="849"/>
      <c r="I35" s="849"/>
      <c r="J35" s="865"/>
      <c r="K35" s="865"/>
      <c r="L35" s="865"/>
      <c r="M35" s="865"/>
      <c r="N35" s="865"/>
      <c r="O35" s="865"/>
      <c r="P35" s="865"/>
      <c r="Q35" s="865"/>
      <c r="R35" s="865"/>
      <c r="S35" s="865">
        <v>50</v>
      </c>
      <c r="T35" s="865">
        <v>50</v>
      </c>
      <c r="U35" s="865">
        <v>50</v>
      </c>
      <c r="V35" s="865"/>
      <c r="W35" s="865"/>
      <c r="X35" s="865"/>
      <c r="Y35" s="860"/>
    </row>
    <row r="36" spans="2:25" x14ac:dyDescent="0.35">
      <c r="B36" s="852" t="s">
        <v>182</v>
      </c>
      <c r="C36" s="851"/>
      <c r="D36" s="849"/>
      <c r="E36" s="849"/>
      <c r="F36" s="849"/>
      <c r="G36" s="849"/>
      <c r="H36" s="849"/>
      <c r="I36" s="849"/>
      <c r="J36" s="865"/>
      <c r="K36" s="865"/>
      <c r="L36" s="865"/>
      <c r="M36" s="865"/>
      <c r="N36" s="865"/>
      <c r="O36" s="865"/>
      <c r="P36" s="865"/>
      <c r="Q36" s="865"/>
      <c r="R36" s="865"/>
      <c r="S36" s="865">
        <v>51</v>
      </c>
      <c r="T36" s="865">
        <v>70</v>
      </c>
      <c r="U36" s="865"/>
      <c r="V36" s="865"/>
      <c r="W36" s="865"/>
      <c r="X36" s="865"/>
      <c r="Y36" s="860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1005</v>
      </c>
      <c r="D1" s="272">
        <f>_Bed</f>
        <v>0</v>
      </c>
      <c r="L1" s="271" t="s">
        <v>1006</v>
      </c>
      <c r="M1" s="948">
        <f ca="1">TODAY()</f>
        <v>42728</v>
      </c>
      <c r="N1" s="949"/>
      <c r="O1" s="273">
        <f ca="1">NOW()</f>
        <v>42728.838322569442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707</v>
      </c>
      <c r="M3" s="950">
        <f>_PatNum</f>
        <v>0</v>
      </c>
      <c r="N3" s="950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51">
        <f>NeoAfspr1700!I12</f>
        <v>42370</v>
      </c>
      <c r="N5" s="951"/>
      <c r="O5" s="951"/>
      <c r="P5" s="951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359 dag(-en)</v>
      </c>
      <c r="N6" s="279" t="s">
        <v>1007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1008</v>
      </c>
      <c r="Q8" s="284"/>
    </row>
    <row r="9" spans="1:17" x14ac:dyDescent="0.35">
      <c r="B9" s="271" t="str">
        <f>NeoAfspr1700!B14</f>
        <v>Datum:</v>
      </c>
      <c r="D9" s="952">
        <f>NeoAfspr1700!C14</f>
        <v>42370</v>
      </c>
      <c r="E9" s="952"/>
      <c r="F9" s="949"/>
      <c r="I9" s="271" t="str">
        <f>NeoAfspr1700!G16</f>
        <v>Gewicht:</v>
      </c>
      <c r="K9" s="271" t="str">
        <f>NeoAfspr1700!H16</f>
        <v>10 kg</v>
      </c>
      <c r="P9" s="283" t="s">
        <v>1009</v>
      </c>
      <c r="Q9" s="284"/>
    </row>
    <row r="10" spans="1:17" x14ac:dyDescent="0.35">
      <c r="B10" s="271" t="str">
        <f>NeoAfspr1700!B15</f>
        <v>Bed:</v>
      </c>
      <c r="F10" s="271">
        <f>_Arts</f>
        <v>0</v>
      </c>
      <c r="I10" s="953" t="str">
        <f ca="1">"Leeftijd: "&amp;NeoAfspr1700!$H$15</f>
        <v>Leeftijd: 81 weken en 1 dag(-en)</v>
      </c>
      <c r="J10" s="949"/>
      <c r="K10" s="949"/>
      <c r="L10" s="949"/>
      <c r="M10" s="949"/>
      <c r="N10" s="949"/>
      <c r="O10" s="954"/>
      <c r="P10" s="283"/>
      <c r="Q10" s="284"/>
    </row>
    <row r="11" spans="1:17" x14ac:dyDescent="0.35">
      <c r="B11" s="281" t="s">
        <v>1010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"&amp;NeoBer1700!L47&amp;"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1743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INDEX(Pos,NeoBer1700!D14,1)</f>
        <v>0</v>
      </c>
      <c r="I16" s="271" t="str">
        <f>IF(OR(J16&lt;&gt;0,J17&lt;&gt;0,J18&lt;&gt;0,J19&lt;&gt;0,J20&lt;&gt;0),"met","")</f>
        <v>met</v>
      </c>
      <c r="J16" s="271" t="str">
        <f>IF(NeoBer1700!L52=0,"","BMF in MM")</f>
        <v/>
      </c>
      <c r="M16" s="277">
        <f>IF(J16&lt;&gt;0,NeoBer1700!L52,0)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INDEX(lijstToevoegingenMMPrint,NeoBer1700!B53,1)</f>
        <v>0</v>
      </c>
      <c r="M17" s="277">
        <f>IF(J17&lt;&gt;0,NeoBer1700!L53,0)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INDEX(lijstToevoegingenMMPrint,NeoBer1700!B54,1)</f>
        <v>0</v>
      </c>
      <c r="M18" s="277">
        <f>IF(J18&lt;&gt;0,NeoBer1700!L54,0)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INDEX(lijstToevoegingenMMPrint,NeoBer1700!B55,1)</f>
        <v>0</v>
      </c>
      <c r="M19" s="277">
        <f>IF(J19&lt;&gt;0,NeoBer1700!L55,0)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INDEX(lijstToevoegingenMMPrint,NeoBer1700!B56,1)</f>
        <v>0</v>
      </c>
      <c r="K20" s="279"/>
      <c r="L20" s="289"/>
      <c r="M20" s="277">
        <f>IF(J20&lt;&gt;0,NeoBer1700!L56,0)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1744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INDEX(lijstToevoegingenKVPrint,NeoBer1700!B58,1)</f>
        <v>0</v>
      </c>
      <c r="M23" s="277">
        <f>IF(J23&lt;&gt;0,NeoBer1700!L58,0)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INDEX(lijstToevoegingenKVPrint,NeoBer1700!B59,1)</f>
        <v>0</v>
      </c>
      <c r="M24" s="277">
        <f>IF(J24&lt;&gt;0,NeoBer1700!L59,0)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INDEX(lijstToevoegingenKVPrint,NeoBer1700!B60,1)</f>
        <v>0</v>
      </c>
      <c r="M25" s="277">
        <f>IF(J25&lt;&gt;0,NeoBer1700!L60,0)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INDEX(lijstToevoegingenKVPrint,NeoBer1700!B61,1)</f>
        <v>0</v>
      </c>
      <c r="M26" s="277">
        <f>IF(J26&lt;&gt;0,NeoBer1700!L61,0)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1011</v>
      </c>
      <c r="Q31" s="284"/>
    </row>
    <row r="32" spans="1:17" ht="15.95" customHeight="1" x14ac:dyDescent="0.4">
      <c r="A32" s="271">
        <v>1</v>
      </c>
      <c r="B32" s="294" t="str">
        <f>IF(_ArtLijn&gt;0,NeoAfspr1700!B30,"")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IF(B32="","",IF(NeoBer1700!K18,"ja","nee"))</f>
        <v/>
      </c>
      <c r="Q32" s="298"/>
    </row>
    <row r="33" spans="1:17" ht="15.95" customHeight="1" x14ac:dyDescent="0.4">
      <c r="A33" s="271">
        <v>2</v>
      </c>
      <c r="B33" s="299">
        <f>INDEX(Medicamenten,NeoBer1700!B20,1)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INDEX(Dos,NeoBer1700!H20,1)</f>
        <v>0</v>
      </c>
      <c r="O33" s="305"/>
      <c r="P33" s="302" t="str">
        <f>IF(B33&lt;&gt;0,IF(NeoBer1700!K20,"ja","nee"),"")</f>
        <v/>
      </c>
      <c r="Q33" s="306"/>
    </row>
    <row r="34" spans="1:17" ht="15.95" customHeight="1" x14ac:dyDescent="0.4">
      <c r="A34" s="271">
        <v>3</v>
      </c>
      <c r="B34" s="299">
        <f>INDEX(Medicamenten,NeoBer1700!B21,1)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INDEX(Dos,NeoBer1700!H21,1)</f>
        <v>0</v>
      </c>
      <c r="O34" s="305"/>
      <c r="P34" s="302" t="str">
        <f>IF(B34&lt;&gt;0,IF(NeoBer1700!K21,"ja","nee"),"")</f>
        <v/>
      </c>
      <c r="Q34" s="298"/>
    </row>
    <row r="35" spans="1:17" ht="15.95" customHeight="1" x14ac:dyDescent="0.4">
      <c r="A35" s="271">
        <v>4</v>
      </c>
      <c r="B35" s="299">
        <f>INDEX(Medicamenten,NeoBer1700!B22,1)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INDEX(Dos,NeoBer1700!H22,1)</f>
        <v>0</v>
      </c>
      <c r="O35" s="305"/>
      <c r="P35" s="302" t="str">
        <f>IF(B35&lt;&gt;0,IF(NeoBer1700!K22,"ja","nee"),"")</f>
        <v/>
      </c>
      <c r="Q35" s="306"/>
    </row>
    <row r="36" spans="1:17" ht="15.95" customHeight="1" x14ac:dyDescent="0.4">
      <c r="A36" s="271">
        <v>5</v>
      </c>
      <c r="B36" s="299">
        <f>INDEX(Medicamenten,NeoBer1700!B23,1)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INDEX(Dos,NeoBer1700!H23,1)</f>
        <v>0</v>
      </c>
      <c r="O36" s="305"/>
      <c r="P36" s="302" t="str">
        <f>IF(B36&lt;&gt;0,IF(NeoBer1700!K23,"ja","nee"),"")</f>
        <v/>
      </c>
      <c r="Q36" s="298"/>
    </row>
    <row r="37" spans="1:17" ht="15.95" customHeight="1" x14ac:dyDescent="0.4">
      <c r="A37" s="271">
        <v>6</v>
      </c>
      <c r="B37" s="299">
        <f>INDEX(Medicamenten,NeoBer1700!B24,1)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INDEX(Dos,NeoBer1700!H24,1)</f>
        <v>0</v>
      </c>
      <c r="O37" s="305"/>
      <c r="P37" s="302" t="str">
        <f>IF(B37&lt;&gt;0,IF(NeoBer1700!K24,"ja","nee"),"")</f>
        <v/>
      </c>
      <c r="Q37" s="306"/>
    </row>
    <row r="38" spans="1:17" ht="15.95" customHeight="1" x14ac:dyDescent="0.4">
      <c r="A38" s="271">
        <v>7</v>
      </c>
      <c r="B38" s="299">
        <f>INDEX(Medicamenten,NeoBer1700!B25,1)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INDEX(Dos,NeoBer1700!H25,1)</f>
        <v>0</v>
      </c>
      <c r="O38" s="305"/>
      <c r="P38" s="302" t="str">
        <f>IF(B38&lt;&gt;0,IF(NeoBer1700!K25,"ja","nee"),"")</f>
        <v/>
      </c>
      <c r="Q38" s="298"/>
    </row>
    <row r="39" spans="1:17" ht="15.95" customHeight="1" x14ac:dyDescent="0.4">
      <c r="A39" s="271">
        <v>8</v>
      </c>
      <c r="B39" s="299">
        <f>INDEX(Medicamenten,NeoBer1700!B26,1)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INDEX(Dos,NeoBer1700!H26,1)</f>
        <v>0</v>
      </c>
      <c r="O39" s="305"/>
      <c r="P39" s="302" t="str">
        <f>IF(B39&lt;&gt;0,IF(NeoBer1700!K26,"ja","nee"),"")</f>
        <v/>
      </c>
      <c r="Q39" s="306"/>
    </row>
    <row r="40" spans="1:17" ht="15.95" customHeight="1" x14ac:dyDescent="0.4">
      <c r="A40" s="271">
        <v>9</v>
      </c>
      <c r="B40" s="299">
        <f>INDEX(Medicamenten,NeoBer1700!B27,1)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INDEX(Dos,NeoBer1700!H27,1)</f>
        <v>0</v>
      </c>
      <c r="O40" s="305"/>
      <c r="P40" s="302" t="str">
        <f>IF(B40&lt;&gt;0,IF(NeoBer1700!K27,"ja","nee"),"")</f>
        <v/>
      </c>
      <c r="Q40" s="298"/>
    </row>
    <row r="41" spans="1:17" ht="15.95" customHeight="1" x14ac:dyDescent="0.4">
      <c r="A41" s="271">
        <v>10</v>
      </c>
      <c r="B41" s="299">
        <f>INDEX(Medicamenten,NeoBer1700!B28,1)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INDEX(Dos,NeoBer1700!H28,1)</f>
        <v>0</v>
      </c>
      <c r="O41" s="305"/>
      <c r="P41" s="302" t="str">
        <f>IF(B41&lt;&gt;0,IF(NeoBer1700!K28,"ja","nee"),"")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IF(B42&lt;&gt;"",IF(NeoBer1700!K29,"ja","nee"),"")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IF(B43&lt;&gt;"",IF(NeoBer1700!K30,"ja","nee"),"")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IF(B44&lt;&gt;"",IF(NeoBer1700!K31,"ja","nee"),"")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1012</v>
      </c>
      <c r="I49" s="271" t="s">
        <v>1013</v>
      </c>
      <c r="L49" s="271" t="s">
        <v>1014</v>
      </c>
      <c r="P49" s="283"/>
      <c r="Q49" s="284"/>
    </row>
    <row r="50" spans="2:17" x14ac:dyDescent="0.35">
      <c r="F50" s="307" t="s">
        <v>1015</v>
      </c>
      <c r="G50" s="308"/>
      <c r="H50" s="309"/>
      <c r="I50" s="310" t="s">
        <v>1016</v>
      </c>
      <c r="J50" s="308"/>
      <c r="K50" s="311"/>
      <c r="L50" s="307" t="s">
        <v>1016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728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7" t="s">
        <v>246</v>
      </c>
      <c r="C70" s="947"/>
      <c r="D70" s="947"/>
      <c r="E70" s="947"/>
      <c r="F70" s="947"/>
      <c r="G70" s="947"/>
      <c r="H70" s="947"/>
      <c r="I70" s="947"/>
      <c r="J70" s="947"/>
      <c r="K70" s="947"/>
      <c r="L70" s="947"/>
      <c r="M70" s="947"/>
      <c r="N70" s="947"/>
      <c r="O70" s="947"/>
      <c r="P70" s="947"/>
      <c r="Q70" s="947"/>
    </row>
    <row r="71" spans="2:17" x14ac:dyDescent="0.35">
      <c r="B71" s="271" t="s">
        <v>770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1340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1341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1342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286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1343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1347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596</v>
      </c>
      <c r="D78" s="271" t="str">
        <f>IF(LabNeoOpmerkingen=0,"",LabNeoOpmerkingen)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7" t="s">
        <v>131</v>
      </c>
      <c r="C81" s="947"/>
      <c r="D81" s="947"/>
      <c r="E81" s="947"/>
      <c r="F81" s="947"/>
      <c r="G81" s="947"/>
      <c r="H81" s="947"/>
      <c r="I81" s="947"/>
      <c r="J81" s="947"/>
      <c r="K81" s="947"/>
      <c r="L81" s="947"/>
      <c r="M81" s="947"/>
      <c r="N81" s="947"/>
      <c r="O81" s="947"/>
      <c r="P81" s="947"/>
      <c r="Q81" s="947"/>
    </row>
    <row r="82" spans="2:17" x14ac:dyDescent="0.35">
      <c r="B82" s="271" t="s">
        <v>1474</v>
      </c>
      <c r="D82" s="271" t="str">
        <f>IFERROR(LEFT(_Aanvullend_Controles,LEN(_Aanvullend_Controles)-3),"")</f>
        <v/>
      </c>
      <c r="P82" s="279"/>
      <c r="Q82" s="279"/>
    </row>
    <row r="83" spans="2:17" x14ac:dyDescent="0.35">
      <c r="B83" s="271" t="s">
        <v>1480</v>
      </c>
      <c r="D83" s="271" t="str">
        <f>IFERROR(LEFT(_Aanvullend_Onderzoek,LEN(_Aanvullend_Onderzoek)-3),"")</f>
        <v/>
      </c>
      <c r="P83" s="279"/>
      <c r="Q83" s="279"/>
    </row>
    <row r="84" spans="2:17" x14ac:dyDescent="0.35">
      <c r="B84" s="271" t="s">
        <v>1286</v>
      </c>
      <c r="D84" s="271" t="str">
        <f>IFERROR(LEFT(_Aanvullend_Kweken,LEN(_Aanvullend_Kweken)-3),"")</f>
        <v/>
      </c>
      <c r="P84" s="279"/>
      <c r="Q84" s="279"/>
    </row>
    <row r="85" spans="2:17" x14ac:dyDescent="0.35">
      <c r="B85" s="271" t="s">
        <v>1723</v>
      </c>
      <c r="D85" s="271" t="str">
        <f>IFERROR(LEFT(_Aanvullend_Instellingen,LEN(_Aanvullend_Instellingen)-3),"")</f>
        <v/>
      </c>
      <c r="P85" s="279"/>
      <c r="Q85" s="279"/>
    </row>
    <row r="86" spans="2:17" x14ac:dyDescent="0.35">
      <c r="B86" s="271" t="s">
        <v>1332</v>
      </c>
      <c r="D86" s="271" t="str">
        <f>IFERROR(LEFT(_Aanvullend_Overig,LEN(_Aanvullend_Overig)-3),"")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1039</v>
      </c>
      <c r="H1" s="271" t="s">
        <v>1019</v>
      </c>
      <c r="J1" s="955">
        <f ca="1">TODAY()</f>
        <v>42728</v>
      </c>
      <c r="K1" s="955"/>
      <c r="L1" s="955"/>
      <c r="M1" s="271" t="s">
        <v>1002</v>
      </c>
      <c r="N1" s="293">
        <f>_Bed</f>
        <v>0</v>
      </c>
    </row>
    <row r="2" spans="1:20" ht="13.2" x14ac:dyDescent="0.4">
      <c r="B2" s="271" t="s">
        <v>1018</v>
      </c>
      <c r="D2" s="277" t="str">
        <f>__3_VoorNaam&amp;" "&amp;__2_AchterNaam</f>
        <v>Voornaam Achternaam</v>
      </c>
      <c r="H2" s="271" t="s">
        <v>1022</v>
      </c>
      <c r="J2" s="277" t="str">
        <f>IF(_Arts&gt;0,_Arts,"")</f>
        <v/>
      </c>
      <c r="M2" s="271" t="s">
        <v>1020</v>
      </c>
      <c r="N2" s="956">
        <f ca="1">NOW()</f>
        <v>42728.838322569442</v>
      </c>
      <c r="O2" s="956"/>
    </row>
    <row r="3" spans="1:20" ht="13.2" x14ac:dyDescent="0.4">
      <c r="B3" s="271" t="s">
        <v>1021</v>
      </c>
      <c r="D3" s="277">
        <f>_Gewicht</f>
        <v>10</v>
      </c>
      <c r="E3" s="271" t="s">
        <v>1260</v>
      </c>
      <c r="J3" s="279"/>
      <c r="K3" s="279"/>
      <c r="L3" s="279"/>
      <c r="M3" s="271" t="s">
        <v>1040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1041</v>
      </c>
      <c r="E7" s="386"/>
      <c r="F7" s="387" t="str">
        <f>IF(D5&lt;&gt;"",INDEX(Medicamenten,NeoBerIV!B20,2),"")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1041</v>
      </c>
      <c r="E11" s="403"/>
      <c r="F11" s="404" t="str">
        <f>IF(D9&lt;&gt;"",INDEX(Medicamenten,NeoBerIV!B21,2),"")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1041</v>
      </c>
      <c r="E15" s="386"/>
      <c r="F15" s="387" t="str">
        <f>IF(D13&lt;&gt;"",INDEX(Medicamenten,NeoBerIV!B22,2),"")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1041</v>
      </c>
      <c r="E19" s="403"/>
      <c r="F19" s="404" t="str">
        <f>IF(D17&lt;&gt;"",INDEX(Medicamenten,NeoBerIV!B23,2),"")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1041</v>
      </c>
      <c r="E23" s="386"/>
      <c r="F23" s="387" t="str">
        <f>IF(D21&lt;&gt;"",INDEX(Medicamenten,NeoBerIV!B24,2),"")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1041</v>
      </c>
      <c r="E27" s="403"/>
      <c r="F27" s="404" t="str">
        <f>IF(D25&lt;&gt;"",INDEX(Medicamenten,NeoBerIV!B25,2),"")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1041</v>
      </c>
      <c r="E31" s="386"/>
      <c r="F31" s="386" t="str">
        <f>IF(D29&lt;&gt;"",INDEX(Medicamenten,NeoBerIV!B26,2),"")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1041</v>
      </c>
      <c r="E35" s="403"/>
      <c r="F35" s="403" t="str">
        <f>IF(D33&lt;&gt;"",INDEX(Medicamenten,NeoBerIV!B27,2),"")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1041</v>
      </c>
      <c r="E39" s="386"/>
      <c r="F39" s="386" t="str">
        <f>IF(D37&lt;&gt;"",INDEX(Medicamenten,NeoBerIV!B28,2),"")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7">
        <f ca="1">TODAY()</f>
        <v>42728</v>
      </c>
      <c r="B47" s="957"/>
      <c r="C47" s="320" t="str">
        <f>"Bed "&amp;_Bed</f>
        <v>Bed 0</v>
      </c>
      <c r="E47" s="320">
        <v>1</v>
      </c>
      <c r="G47" s="957">
        <f ca="1">TODAY()</f>
        <v>42728</v>
      </c>
      <c r="H47" s="957"/>
      <c r="I47" s="320" t="str">
        <f>"Bed "&amp;_Bed</f>
        <v>Bed 0</v>
      </c>
      <c r="K47" s="320">
        <v>2</v>
      </c>
      <c r="M47" s="957">
        <f ca="1">TODAY()</f>
        <v>42728</v>
      </c>
      <c r="N47" s="958"/>
      <c r="O47" s="320" t="str">
        <f>"Bed "&amp;_Bed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7">
        <f ca="1">TODAY()+1</f>
        <v>42729</v>
      </c>
      <c r="F52" s="957"/>
      <c r="G52" s="320"/>
      <c r="H52" s="320"/>
      <c r="I52" s="320"/>
      <c r="J52" s="320" t="str">
        <f>"Exp: "</f>
        <v xml:space="preserve">Exp: </v>
      </c>
      <c r="K52" s="957">
        <f ca="1">TODAY()+1</f>
        <v>42729</v>
      </c>
      <c r="L52" s="957"/>
      <c r="M52" s="320"/>
      <c r="N52" s="320"/>
      <c r="O52" s="320"/>
      <c r="P52" s="320" t="str">
        <f>"Exp: "</f>
        <v xml:space="preserve">Exp: </v>
      </c>
      <c r="Q52" s="957">
        <f ca="1">TODAY()+1</f>
        <v>42729</v>
      </c>
      <c r="R52" s="957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7">
        <f ca="1">TODAY()</f>
        <v>42728</v>
      </c>
      <c r="B58" s="958"/>
      <c r="C58" s="320" t="str">
        <f>"Bed "&amp;_Bed</f>
        <v>Bed 0</v>
      </c>
      <c r="D58" s="320"/>
      <c r="E58" s="320">
        <v>4</v>
      </c>
      <c r="F58" s="320"/>
      <c r="G58" s="957">
        <f ca="1">TODAY()</f>
        <v>42728</v>
      </c>
      <c r="H58" s="958"/>
      <c r="I58" s="320" t="str">
        <f>"Bed "&amp;_Bed</f>
        <v>Bed 0</v>
      </c>
      <c r="J58" s="320"/>
      <c r="K58" s="320">
        <v>5</v>
      </c>
      <c r="L58" s="320"/>
      <c r="M58" s="957">
        <f ca="1">TODAY()</f>
        <v>42728</v>
      </c>
      <c r="N58" s="958"/>
      <c r="O58" s="320" t="str">
        <f>"Bed "&amp;_Bed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7">
        <f ca="1">TODAY()+1</f>
        <v>42729</v>
      </c>
      <c r="F63" s="957"/>
      <c r="G63" s="320"/>
      <c r="H63" s="320"/>
      <c r="I63" s="320"/>
      <c r="J63" s="320" t="str">
        <f>"Exp: "</f>
        <v xml:space="preserve">Exp: </v>
      </c>
      <c r="K63" s="957">
        <f ca="1">TODAY()+1</f>
        <v>42729</v>
      </c>
      <c r="L63" s="957"/>
      <c r="M63" s="320"/>
      <c r="N63" s="320"/>
      <c r="O63" s="320"/>
      <c r="P63" s="320" t="str">
        <f>"Exp: "</f>
        <v xml:space="preserve">Exp: </v>
      </c>
      <c r="Q63" s="957">
        <f ca="1">TODAY()+1</f>
        <v>42729</v>
      </c>
      <c r="R63" s="957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21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1952</vt:i4>
      </vt:variant>
    </vt:vector>
  </HeadingPairs>
  <TitlesOfParts>
    <vt:vector size="2013" baseType="lpstr">
      <vt:lpstr>Global--&gt;</vt:lpstr>
      <vt:lpstr>GlobSettings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_Med_ATC_1</vt:lpstr>
      <vt:lpstr>_Med_ATC_10</vt:lpstr>
      <vt:lpstr>_Med_ATC_11</vt:lpstr>
      <vt:lpstr>_Med_ATC_12</vt:lpstr>
      <vt:lpstr>_Med_ATC_13</vt:lpstr>
      <vt:lpstr>_Med_ATC_14</vt:lpstr>
      <vt:lpstr>_Med_ATC_15</vt:lpstr>
      <vt:lpstr>_Med_ATC_16</vt:lpstr>
      <vt:lpstr>_Med_ATC_17</vt:lpstr>
      <vt:lpstr>_Med_ATC_18</vt:lpstr>
      <vt:lpstr>_Med_ATC_19</vt:lpstr>
      <vt:lpstr>_Med_ATC_2</vt:lpstr>
      <vt:lpstr>_Med_ATC_20</vt:lpstr>
      <vt:lpstr>_Med_ATC_21</vt:lpstr>
      <vt:lpstr>_Med_ATC_22</vt:lpstr>
      <vt:lpstr>_Med_ATC_23</vt:lpstr>
      <vt:lpstr>_Med_ATC_24</vt:lpstr>
      <vt:lpstr>_Med_ATC_25</vt:lpstr>
      <vt:lpstr>_Med_ATC_26</vt:lpstr>
      <vt:lpstr>_Med_ATC_27</vt:lpstr>
      <vt:lpstr>_Med_ATC_28</vt:lpstr>
      <vt:lpstr>_Med_ATC_29</vt:lpstr>
      <vt:lpstr>_Med_ATC_3</vt:lpstr>
      <vt:lpstr>_Med_ATC_30</vt:lpstr>
      <vt:lpstr>_Med_ATC_4</vt:lpstr>
      <vt:lpstr>_Med_ATC_5</vt:lpstr>
      <vt:lpstr>_Med_ATC_6</vt:lpstr>
      <vt:lpstr>_Med_ATC_7</vt:lpstr>
      <vt:lpstr>_Med_ATC_8</vt:lpstr>
      <vt:lpstr>_Med_ATC_9</vt:lpstr>
      <vt:lpstr>_Med_Etiket_1</vt:lpstr>
      <vt:lpstr>_Med_Etiket_10</vt:lpstr>
      <vt:lpstr>_Med_Etiket_11</vt:lpstr>
      <vt:lpstr>_Med_Etiket_12</vt:lpstr>
      <vt:lpstr>_Med_Etiket_13</vt:lpstr>
      <vt:lpstr>_Med_Etiket_14</vt:lpstr>
      <vt:lpstr>_Med_Etiket_15</vt:lpstr>
      <vt:lpstr>_Med_Etiket_16</vt:lpstr>
      <vt:lpstr>_Med_Etiket_17</vt:lpstr>
      <vt:lpstr>_Med_Etiket_18</vt:lpstr>
      <vt:lpstr>_Med_Etiket_19</vt:lpstr>
      <vt:lpstr>_Med_Etiket_2</vt:lpstr>
      <vt:lpstr>_Med_Etiket_20</vt:lpstr>
      <vt:lpstr>_Med_Etiket_21</vt:lpstr>
      <vt:lpstr>_Med_Etiket_22</vt:lpstr>
      <vt:lpstr>_Med_Etiket_23</vt:lpstr>
      <vt:lpstr>_Med_Etiket_24</vt:lpstr>
      <vt:lpstr>_Med_Etiket_25</vt:lpstr>
      <vt:lpstr>_Med_Etiket_26</vt:lpstr>
      <vt:lpstr>_Med_Etiket_27</vt:lpstr>
      <vt:lpstr>_Med_Etiket_28</vt:lpstr>
      <vt:lpstr>_Med_Etiket_29</vt:lpstr>
      <vt:lpstr>_Med_Etiket_3</vt:lpstr>
      <vt:lpstr>_Med_Etiket_30</vt:lpstr>
      <vt:lpstr>_Med_Etiket_4</vt:lpstr>
      <vt:lpstr>_Med_Etiket_5</vt:lpstr>
      <vt:lpstr>_Med_Etiket_6</vt:lpstr>
      <vt:lpstr>_Med_Etiket_7</vt:lpstr>
      <vt:lpstr>_Med_Etiket_8</vt:lpstr>
      <vt:lpstr>_Med_Etiket_9</vt:lpstr>
      <vt:lpstr>_Med_Sterkte_1</vt:lpstr>
      <vt:lpstr>_Med_Sterkte_10</vt:lpstr>
      <vt:lpstr>_Med_Sterkte_11</vt:lpstr>
      <vt:lpstr>_Med_Sterkte_12</vt:lpstr>
      <vt:lpstr>_Med_Sterkte_13</vt:lpstr>
      <vt:lpstr>_Med_Sterkte_14</vt:lpstr>
      <vt:lpstr>_Med_Sterkte_15</vt:lpstr>
      <vt:lpstr>_Med_Sterkte_16</vt:lpstr>
      <vt:lpstr>_Med_Sterkte_17</vt:lpstr>
      <vt:lpstr>_Med_Sterkte_18</vt:lpstr>
      <vt:lpstr>_Med_Sterkte_19</vt:lpstr>
      <vt:lpstr>_Med_Sterkte_2</vt:lpstr>
      <vt:lpstr>_Med_Sterkte_20</vt:lpstr>
      <vt:lpstr>_Med_Sterkte_21</vt:lpstr>
      <vt:lpstr>_Med_Sterkte_22</vt:lpstr>
      <vt:lpstr>_Med_Sterkte_23</vt:lpstr>
      <vt:lpstr>_Med_Sterkte_24</vt:lpstr>
      <vt:lpstr>_Med_Sterkte_25</vt:lpstr>
      <vt:lpstr>_Med_Sterkte_26</vt:lpstr>
      <vt:lpstr>_Med_Sterkte_27</vt:lpstr>
      <vt:lpstr>_Med_Sterkte_28</vt:lpstr>
      <vt:lpstr>_Med_Sterkte_29</vt:lpstr>
      <vt:lpstr>_Med_Sterkte_3</vt:lpstr>
      <vt:lpstr>_Med_Sterkte_30</vt:lpstr>
      <vt:lpstr>_Med_Sterkte_4</vt:lpstr>
      <vt:lpstr>_Med_Sterkte_5</vt:lpstr>
      <vt:lpstr>_Med_Sterkte_6</vt:lpstr>
      <vt:lpstr>_Med_Sterkte_7</vt:lpstr>
      <vt:lpstr>_Med_Sterkte_8</vt:lpstr>
      <vt:lpstr>_Med_Sterkte_9</vt:lpstr>
      <vt:lpstr>_Med_SterkteEenheid_1</vt:lpstr>
      <vt:lpstr>_Med_SterkteEenheid_10</vt:lpstr>
      <vt:lpstr>_Med_SterkteEenheid_11</vt:lpstr>
      <vt:lpstr>_Med_SterkteEenheid_12</vt:lpstr>
      <vt:lpstr>_Med_SterkteEenheid_13</vt:lpstr>
      <vt:lpstr>_Med_SterkteEenheid_14</vt:lpstr>
      <vt:lpstr>_Med_SterkteEenheid_15</vt:lpstr>
      <vt:lpstr>_Med_SterkteEenheid_16</vt:lpstr>
      <vt:lpstr>_Med_SterkteEenheid_17</vt:lpstr>
      <vt:lpstr>_Med_SterkteEenheid_18</vt:lpstr>
      <vt:lpstr>_Med_SterkteEenheid_19</vt:lpstr>
      <vt:lpstr>_Med_SterkteEenheid_2</vt:lpstr>
      <vt:lpstr>_Med_SterkteEenheid_20</vt:lpstr>
      <vt:lpstr>_Med_SterkteEenheid_21</vt:lpstr>
      <vt:lpstr>_Med_SterkteEenheid_22</vt:lpstr>
      <vt:lpstr>_Med_SterkteEenheid_23</vt:lpstr>
      <vt:lpstr>_Med_SterkteEenheid_24</vt:lpstr>
      <vt:lpstr>_Med_SterkteEenheid_25</vt:lpstr>
      <vt:lpstr>_Med_SterkteEenheid_26</vt:lpstr>
      <vt:lpstr>_Med_SterkteEenheid_27</vt:lpstr>
      <vt:lpstr>_Med_SterkteEenheid_28</vt:lpstr>
      <vt:lpstr>_Med_SterkteEenheid_29</vt:lpstr>
      <vt:lpstr>_Med_SterkteEenheid_3</vt:lpstr>
      <vt:lpstr>_Med_SterkteEenheid_30</vt:lpstr>
      <vt:lpstr>_Med_SterkteEenheid_4</vt:lpstr>
      <vt:lpstr>_Med_SterkteEenheid_5</vt:lpstr>
      <vt:lpstr>_Med_SterkteEenheid_6</vt:lpstr>
      <vt:lpstr>_Med_SterkteEenheid_7</vt:lpstr>
      <vt:lpstr>_Med_SterkteEenheid_8</vt:lpstr>
      <vt:lpstr>_Med_SterkteEenheid_9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Indicatie_1</vt:lpstr>
      <vt:lpstr>Indicatie_10</vt:lpstr>
      <vt:lpstr>Indicatie_11</vt:lpstr>
      <vt:lpstr>Indicatie_12</vt:lpstr>
      <vt:lpstr>Indicatie_13</vt:lpstr>
      <vt:lpstr>Indicatie_14</vt:lpstr>
      <vt:lpstr>Indicatie_15</vt:lpstr>
      <vt:lpstr>Indicatie_16</vt:lpstr>
      <vt:lpstr>Indicatie_17</vt:lpstr>
      <vt:lpstr>Indicatie_18</vt:lpstr>
      <vt:lpstr>Indicatie_19</vt:lpstr>
      <vt:lpstr>Indicatie_2</vt:lpstr>
      <vt:lpstr>Indicatie_20</vt:lpstr>
      <vt:lpstr>Indicatie_21</vt:lpstr>
      <vt:lpstr>Indicatie_22</vt:lpstr>
      <vt:lpstr>Indicatie_23</vt:lpstr>
      <vt:lpstr>Indicatie_24</vt:lpstr>
      <vt:lpstr>Indicatie_25</vt:lpstr>
      <vt:lpstr>Indicatie_26</vt:lpstr>
      <vt:lpstr>Indicatie_27</vt:lpstr>
      <vt:lpstr>Indicatie_28</vt:lpstr>
      <vt:lpstr>Indicatie_29</vt:lpstr>
      <vt:lpstr>Indicatie_3</vt:lpstr>
      <vt:lpstr>Indicatie_30</vt:lpstr>
      <vt:lpstr>Indicatie_4</vt:lpstr>
      <vt:lpstr>Indicatie_5</vt:lpstr>
      <vt:lpstr>Indicatie_6</vt:lpstr>
      <vt:lpstr>Indicatie_7</vt:lpstr>
      <vt:lpstr>Indicatie_8</vt:lpstr>
      <vt:lpstr>Indicatie_9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TotaalVocht</vt:lpstr>
      <vt:lpstr>TPN</vt:lpstr>
      <vt:lpstr>tpnB</vt:lpstr>
      <vt:lpstr>tpnC</vt:lpstr>
      <vt:lpstr>tpnD</vt:lpstr>
      <vt:lpstr>tpnE</vt:lpstr>
      <vt:lpstr>TpnNICU</vt:lpstr>
      <vt:lpstr>tpnNutriflex</vt:lpstr>
      <vt:lpstr>tpnSelected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2016-12-24T19:08:17Z</dcterms:modified>
</cp:coreProperties>
</file>