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9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BerLab" sheetId="86" state="veryHidden" r:id="rId6"/>
    <sheet name="GlobSettings" sheetId="75" state="veryHidden" r:id="rId7"/>
    <sheet name="GlobNames" sheetId="77" state="veryHidden" r:id="rId8"/>
    <sheet name="GlobBerConv" sheetId="25" state="veryHidden" r:id="rId9"/>
    <sheet name="GlobTblParEnt" sheetId="80" state="veryHidden" r:id="rId10"/>
    <sheet name="GlobTblEnt" sheetId="68" state="veryHidden" r:id="rId11"/>
    <sheet name="GlobBerNorm" sheetId="19" state="veryHidden" r:id="rId12"/>
    <sheet name="GlobBerSql" sheetId="88" state="veryHidden" r:id="rId13"/>
    <sheet name="GlobTemp" sheetId="7" state="veryHidden" r:id="rId14"/>
    <sheet name="Patient--&gt;" sheetId="65" state="veryHidden" r:id="rId15"/>
    <sheet name="PatText" sheetId="9" state="veryHidden" r:id="rId16"/>
    <sheet name="PatData" sheetId="8" state="veryHidden" r:id="rId17"/>
    <sheet name="PatDetails" sheetId="6" state="veryHidden" r:id="rId18"/>
    <sheet name="Pediatrie--&gt;" sheetId="63" state="veryHidden" r:id="rId19"/>
    <sheet name="PedGuiMedIV" sheetId="10" r:id="rId20"/>
    <sheet name="PedBerMedIV" sheetId="12" state="veryHidden" r:id="rId21"/>
    <sheet name="PedTblMedIV" sheetId="11" state="veryHidden" r:id="rId22"/>
    <sheet name="PedGuiLijnPM" sheetId="17" r:id="rId23"/>
    <sheet name="PedBerIVenPM" sheetId="18" state="veryHidden" r:id="rId24"/>
    <sheet name="PedTblIV" sheetId="70" state="veryHidden" r:id="rId25"/>
    <sheet name="PedGuiEntTPN" sheetId="20" r:id="rId26"/>
    <sheet name="PedBerEnt" sheetId="27" state="veryHidden" r:id="rId27"/>
    <sheet name="PedBerTPN" sheetId="21" state="veryHidden" r:id="rId28"/>
    <sheet name="PedBerTot" sheetId="24" state="veryHidden" r:id="rId29"/>
    <sheet name="PedTblParEnt" sheetId="81" state="veryHidden" r:id="rId30"/>
    <sheet name="PedTblEnt" sheetId="26" state="veryHidden" r:id="rId31"/>
    <sheet name="PedGuiLab" sheetId="58" r:id="rId32"/>
    <sheet name="PedBerLab" sheetId="57" state="veryHidden" r:id="rId33"/>
    <sheet name="PedGuiAfspr" sheetId="60" r:id="rId34"/>
    <sheet name="PedBerAfspr" sheetId="59" state="veryHidden" r:id="rId35"/>
    <sheet name="PedTblAfspr" sheetId="51" state="veryHidden" r:id="rId36"/>
    <sheet name="PedGuiAcuut" sheetId="3" r:id="rId37"/>
    <sheet name="PedTblLengte" sheetId="1" state="veryHidden" r:id="rId38"/>
    <sheet name="PedTblGew" sheetId="2" state="veryHidden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state="veryHidden" r:id="rId45"/>
    <sheet name="PedPrtTPN50" sheetId="32" r:id="rId46"/>
    <sheet name="Neo--&gt;" sheetId="64" state="veryHidden" r:id="rId47"/>
    <sheet name="NeoGuiInfB" sheetId="39" r:id="rId48"/>
    <sheet name="NeoBerInfB" sheetId="45" state="veryHidden" r:id="rId49"/>
    <sheet name="NeoDataInfB" sheetId="78" state="veryHidden" r:id="rId50"/>
    <sheet name="NeoPrtWerkbr" sheetId="74" r:id="rId51"/>
    <sheet name="NeoTblMedIV" sheetId="71" state="veryHidden" r:id="rId52"/>
    <sheet name="NeoBerAdvies" sheetId="40" state="veryHidden" r:id="rId53"/>
    <sheet name="NeoTblEnt" sheetId="79" state="veryHidden" r:id="rId54"/>
    <sheet name="NeoTblLijst" sheetId="42" state="veryHidden" r:id="rId55"/>
    <sheet name="NeoGuiAfspr" sheetId="50" r:id="rId56"/>
    <sheet name="NeoBerAfspr" sheetId="52" state="veryHidden" r:id="rId57"/>
    <sheet name="NeoGuiLab" sheetId="56" r:id="rId58"/>
    <sheet name="NeoBerLab" sheetId="55" state="veryHidden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GlobNames!$A$1:$I$2209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I13" i="11" l="1"/>
  <c r="I12" i="1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BD4" i="14" l="1"/>
  <c r="BA4" i="14" s="1"/>
  <c r="BD5" i="14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4" i="49"/>
  <c r="D9" i="49"/>
  <c r="D8" i="49"/>
  <c r="D25" i="49"/>
  <c r="D23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7" i="24"/>
  <c r="J6" i="24"/>
  <c r="J5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B27" i="6"/>
  <c r="U27" i="11"/>
  <c r="U35" i="11"/>
  <c r="U9" i="11"/>
  <c r="U23" i="11"/>
  <c r="U17" i="11"/>
  <c r="U13" i="11"/>
  <c r="U26" i="11"/>
  <c r="U20" i="11"/>
  <c r="U22" i="11"/>
  <c r="U32" i="11"/>
  <c r="U34" i="11"/>
  <c r="U25" i="11"/>
  <c r="U11" i="11"/>
  <c r="U8" i="11"/>
  <c r="U16" i="11"/>
  <c r="U6" i="11"/>
  <c r="U31" i="11"/>
  <c r="U5" i="11"/>
  <c r="U33" i="11"/>
  <c r="U14" i="11"/>
  <c r="U19" i="11"/>
  <c r="U30" i="11"/>
  <c r="U21" i="11"/>
  <c r="U10" i="11"/>
  <c r="U12" i="11"/>
  <c r="U7" i="11"/>
  <c r="U18" i="11"/>
  <c r="U24" i="11"/>
  <c r="U28" i="11"/>
  <c r="U15" i="11"/>
  <c r="U29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AK23" i="45"/>
  <c r="G23" i="45"/>
  <c r="B115" i="9"/>
  <c r="AH24" i="45"/>
  <c r="AH25" i="45"/>
  <c r="AH26" i="45"/>
  <c r="AH31" i="45"/>
  <c r="AH30" i="45"/>
  <c r="AH29" i="45"/>
  <c r="AH28" i="45"/>
  <c r="AH23" i="45"/>
  <c r="AH27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AN5" i="12" s="1"/>
  <c r="T48" i="9" s="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B114" i="9"/>
  <c r="F48" i="9" l="1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G60" i="5" l="1"/>
  <c r="T126" i="9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T25" i="11"/>
  <c r="S25" i="11"/>
  <c r="T24" i="11"/>
  <c r="S24" i="11"/>
  <c r="T23" i="11"/>
  <c r="S23" i="11"/>
  <c r="T22" i="11"/>
  <c r="I14" i="12" s="1"/>
  <c r="Y14" i="12" s="1"/>
  <c r="S22" i="1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AG19" i="12"/>
  <c r="H62" i="9" s="1"/>
  <c r="I6" i="12"/>
  <c r="Y6" i="12" s="1"/>
  <c r="I19" i="12"/>
  <c r="Y19" i="12" s="1"/>
  <c r="I11" i="12"/>
  <c r="Y11" i="12" s="1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X5" i="12" s="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7" i="9"/>
  <c r="B76" i="9"/>
  <c r="B62" i="9"/>
  <c r="B59" i="9"/>
  <c r="B65" i="9"/>
  <c r="B66" i="9"/>
  <c r="B60" i="9"/>
  <c r="B67" i="9"/>
  <c r="B58" i="9"/>
  <c r="B64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3" i="9"/>
  <c r="B128" i="9"/>
  <c r="B132" i="9"/>
  <c r="B129" i="9"/>
  <c r="B126" i="9"/>
  <c r="B127" i="9"/>
  <c r="B130" i="9"/>
  <c r="B134" i="9"/>
  <c r="B131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8" i="9"/>
  <c r="B124" i="9"/>
  <c r="B119" i="9"/>
  <c r="B120" i="9"/>
  <c r="B123" i="9"/>
  <c r="B122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S56" i="45"/>
  <c r="AQ56" i="45"/>
  <c r="AT56" i="45"/>
  <c r="AN56" i="45"/>
  <c r="AM56" i="45"/>
  <c r="AR56" i="45"/>
  <c r="AO56" i="45"/>
  <c r="AW56" i="45"/>
  <c r="AV56" i="45"/>
  <c r="AU56" i="45"/>
  <c r="AP56" i="45"/>
  <c r="AX56" i="45"/>
  <c r="B116" i="9"/>
  <c r="B117" i="9"/>
  <c r="B121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W57" i="45"/>
  <c r="AV57" i="45"/>
  <c r="AM58" i="45"/>
  <c r="AS57" i="45"/>
  <c r="AL58" i="45"/>
  <c r="AO57" i="45"/>
  <c r="AT57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S58" i="45"/>
  <c r="AN57" i="45"/>
  <c r="AX57" i="45"/>
  <c r="AR57" i="45"/>
  <c r="AV58" i="45"/>
  <c r="AQ58" i="45"/>
  <c r="AQ57" i="45"/>
  <c r="AU58" i="45"/>
  <c r="AT58" i="45"/>
  <c r="AU57" i="45"/>
  <c r="AP57" i="45"/>
  <c r="AP58" i="45"/>
  <c r="AO58" i="45"/>
  <c r="AR58" i="45"/>
  <c r="AN58" i="45"/>
  <c r="AX58" i="45"/>
  <c r="AW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3" i="9"/>
  <c r="B49" i="9"/>
  <c r="B51" i="9"/>
  <c r="B52" i="9"/>
  <c r="B50" i="9"/>
  <c r="B54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3" i="14" l="1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J4" i="24" s="1"/>
  <c r="D5" i="3"/>
  <c r="P9" i="13"/>
  <c r="S9" i="13"/>
  <c r="E4" i="16"/>
  <c r="D4" i="16"/>
  <c r="F5" i="84" l="1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BK4" i="14" l="1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7" i="14"/>
  <c r="AE6" i="14"/>
  <c r="AE9" i="14"/>
  <c r="AE8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9" i="24"/>
  <c r="L10" i="24"/>
  <c r="L11" i="24"/>
  <c r="L12" i="24"/>
  <c r="M4" i="24"/>
  <c r="L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11" i="24"/>
  <c r="M9" i="24"/>
  <c r="L13" i="24"/>
  <c r="L6" i="24"/>
  <c r="L15" i="24"/>
  <c r="L7" i="24"/>
  <c r="M12" i="24"/>
  <c r="L14" i="24"/>
  <c r="M10" i="24"/>
  <c r="M7" i="24"/>
  <c r="L3" i="24"/>
  <c r="L8" i="24"/>
  <c r="L5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5" i="24"/>
  <c r="M6" i="24"/>
  <c r="M14" i="24"/>
  <c r="M13" i="24"/>
  <c r="M8" i="24"/>
  <c r="M3" i="24"/>
  <c r="M5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<sst xmlns="http://schemas.openxmlformats.org/spreadsheetml/2006/main" count="11144" uniqueCount="6132">
  <si>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</si>
  <si>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</si>
  <si>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</si>
  <si>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</si>
  <si>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</si>
  <si>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</si>
  <si>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</si>
  <si>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</si>
  <si>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</si>
  <si>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</si>
  <si>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</si>
  <si>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</si>
  <si>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</si>
  <si>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</si>
  <si>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</si>
  <si>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</si>
  <si>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</si>
  <si>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</si>
  <si>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</si>
  <si>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</si>
  <si>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</si>
  <si>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</si>
  <si>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</si>
  <si>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</si>
  <si>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</si>
  <si>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</si>
  <si>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</si>
  <si>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</si>
  <si>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</si>
  <si>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</si>
  <si>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</si>
  <si>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</si>
  <si>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</si>
  <si>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</si>
  <si>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</si>
  <si>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</si>
  <si>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</si>
  <si>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</si>
  <si>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</si>
  <si>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</si>
  <si>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</si>
  <si>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</si>
  <si>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</si>
  <si>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</si>
  <si>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</si>
  <si>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</si>
  <si>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</si>
  <si>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</si>
  <si>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</si>
  <si>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</si>
  <si>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</si>
  <si>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</si>
  <si>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</si>
  <si>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</si>
  <si>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</si>
  <si>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</si>
  <si>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</si>
  <si>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</si>
  <si>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</si>
  <si>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</si>
  <si>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</si>
  <si>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</si>
  <si>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</si>
  <si>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</si>
  <si>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</si>
  <si>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</si>
  <si>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</si>
  <si>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</si>
  <si>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</si>
  <si>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</si>
  <si>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</si>
  <si>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</si>
  <si>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</si>
  <si>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</si>
  <si>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</si>
  <si>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</si>
  <si>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</si>
  <si>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</si>
  <si>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</si>
  <si>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</si>
  <si>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</si>
  <si>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</si>
  <si>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</si>
  <si>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</si>
  <si>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</si>
  <si>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</si>
  <si>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</si>
  <si>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</si>
  <si>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</si>
  <si>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</si>
  <si>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</si>
  <si>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</si>
  <si>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</si>
  <si>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</si>
  <si>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</si>
  <si>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</si>
  <si>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</si>
  <si>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</si>
  <si>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</si>
  <si>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</si>
  <si>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</si>
  <si>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</si>
  <si>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</si>
  <si>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</si>
  <si>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</si>
  <si>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</si>
  <si>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</si>
  <si>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</si>
  <si>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</si>
  <si>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</si>
  <si>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</si>
  <si>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</si>
  <si>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</si>
  <si>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</si>
  <si>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</si>
  <si>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</si>
  <si>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</si>
  <si>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</si>
  <si>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</si>
  <si>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</si>
  <si>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</si>
  <si>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</si>
  <si>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</si>
  <si>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</si>
  <si>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</si>
  <si>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</si>
  <si>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</si>
  <si>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</si>
  <si>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</si>
  <si>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</si>
  <si>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</si>
  <si>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</si>
  <si>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</si>
  <si>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</si>
  <si>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</si>
  <si>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</si>
  <si>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</si>
  <si>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</si>
  <si>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</si>
  <si>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</si>
  <si>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</si>
  <si>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</si>
  <si>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</si>
  <si>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</si>
  <si>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</si>
  <si>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</si>
  <si>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</si>
  <si>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</si>
  <si>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</si>
  <si>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</si>
  <si>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</si>
  <si>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</si>
  <si>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</si>
  <si>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</si>
  <si>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</si>
  <si>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</si>
  <si>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</si>
  <si>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</si>
  <si>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</si>
  <si>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</si>
  <si>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</si>
  <si>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</si>
  <si>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</si>
  <si>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</si>
  <si>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</si>
  <si>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</si>
  <si>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</si>
  <si>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</si>
  <si>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</si>
  <si>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</si>
  <si>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</si>
  <si>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</si>
  <si>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</si>
  <si>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</si>
  <si>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</si>
  <si>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</si>
  <si>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</si>
  <si>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</si>
  <si>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</si>
  <si>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</si>
  <si>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</si>
  <si>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</si>
  <si>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</si>
  <si>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</si>
  <si>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</si>
  <si>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</si>
  <si>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</si>
  <si>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</si>
  <si>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</si>
  <si>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</si>
  <si>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</si>
  <si>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</si>
  <si>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</si>
  <si>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</si>
  <si>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</si>
  <si>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</si>
  <si>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</si>
  <si>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</si>
  <si>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</si>
  <si>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</si>
  <si>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</si>
  <si>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</si>
  <si>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</si>
  <si>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</si>
  <si>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</si>
  <si>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</si>
  <si>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</si>
  <si>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</si>
  <si>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</si>
  <si>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</si>
  <si>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</si>
  <si>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</si>
  <si>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</si>
  <si>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</si>
  <si>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</si>
  <si>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</si>
  <si>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</si>
  <si>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</si>
  <si>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</si>
  <si>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</si>
  <si>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</si>
  <si>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</si>
  <si>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</si>
  <si>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</si>
  <si>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</si>
  <si>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</si>
  <si>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</si>
  <si>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</si>
  <si>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</si>
  <si>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</si>
  <si>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</si>
  <si>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</si>
  <si>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</si>
  <si>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</si>
  <si>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</si>
  <si>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</si>
  <si>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</si>
  <si>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</si>
  <si>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</si>
  <si>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</si>
  <si>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</si>
  <si>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</si>
  <si>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</si>
  <si>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</si>
  <si>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</si>
  <si>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</si>
  <si>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</si>
  <si>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</si>
  <si>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</si>
  <si>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</si>
  <si>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</si>
  <si>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</si>
  <si>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</si>
  <si>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</si>
  <si>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</si>
  <si>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</si>
  <si>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</si>
  <si>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</si>
  <si>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</si>
  <si>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</si>
  <si>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</si>
  <si>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</si>
  <si>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</si>
  <si>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</si>
  <si>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</si>
  <si>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</si>
  <si>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</si>
  <si>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</si>
  <si>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</si>
  <si>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</si>
  <si>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</si>
  <si>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</si>
  <si>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</si>
  <si>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</si>
  <si>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</si>
  <si>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</si>
  <si>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</si>
  <si>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</si>
  <si>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</si>
  <si>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</si>
  <si>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</si>
  <si>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</si>
  <si>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</si>
  <si>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</si>
  <si>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</si>
  <si>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</si>
  <si>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</si>
  <si>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</si>
  <si>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</si>
  <si>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</si>
  <si>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</si>
  <si>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</si>
  <si>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</si>
  <si>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</si>
  <si>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</si>
  <si>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</si>
  <si>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</si>
  <si>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</si>
  <si>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</si>
  <si>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</si>
  <si>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</si>
  <si>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</si>
  <si>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</si>
  <si>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</si>
  <si>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</si>
  <si>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</si>
  <si>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</si>
  <si>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</si>
  <si>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</si>
  <si>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</si>
  <si>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</si>
  <si>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</si>
  <si>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</si>
  <si>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</si>
  <si>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</si>
  <si>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</si>
  <si>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</si>
  <si>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</si>
  <si>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</si>
  <si>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</si>
  <si>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</si>
  <si>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</si>
  <si>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</si>
  <si>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</si>
  <si>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</si>
  <si>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</si>
  <si>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</si>
  <si>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</si>
  <si>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</si>
  <si>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</si>
  <si>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</si>
  <si>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</si>
  <si>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</si>
  <si>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</si>
  <si>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</si>
  <si>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</si>
  <si>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</si>
  <si>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</si>
  <si>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</si>
  <si>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</si>
  <si>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</si>
  <si>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</si>
  <si>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</si>
  <si>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</si>
  <si>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</si>
  <si>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</si>
  <si>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</si>
  <si>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</si>
  <si>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</si>
  <si>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</si>
  <si>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</si>
  <si>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</si>
  <si>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</si>
  <si>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</si>
  <si>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</si>
  <si>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</si>
  <si>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</si>
  <si>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</si>
  <si>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</si>
  <si>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</si>
  <si>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</si>
  <si>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</si>
  <si>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</si>
  <si>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</si>
  <si>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</si>
  <si>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</si>
  <si>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</si>
  <si>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</si>
  <si>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</si>
  <si>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</si>
  <si>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</si>
  <si>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</si>
  <si>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</si>
  <si>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</si>
  <si>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</si>
  <si>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</si>
  <si>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</si>
  <si>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</si>
  <si>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</si>
  <si>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</si>
  <si>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</si>
  <si>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</si>
  <si>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</si>
  <si>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</si>
  <si>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</si>
  <si>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</si>
  <si>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</si>
  <si>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</si>
  <si>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</si>
  <si>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</si>
  <si>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</si>
  <si>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</si>
  <si>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</si>
  <si>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</si>
  <si>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</si>
  <si>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</si>
  <si>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</si>
  <si>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</si>
  <si>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</si>
  <si>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</si>
  <si>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</si>
  <si>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</si>
  <si>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</si>
  <si>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</si>
  <si>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</si>
  <si>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</si>
  <si>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</si>
  <si>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</si>
  <si>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</si>
  <si>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</si>
  <si>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</si>
  <si>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</si>
  <si>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</si>
  <si>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</si>
  <si>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</si>
  <si>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</si>
  <si>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</si>
  <si>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</si>
  <si>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</si>
  <si>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</si>
  <si>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</si>
  <si>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</si>
  <si>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</si>
  <si>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</si>
  <si>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</si>
  <si>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</si>
  <si>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</si>
  <si>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</si>
  <si>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</si>
  <si>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</si>
  <si>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</si>
  <si>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</si>
  <si>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</si>
  <si>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</si>
  <si>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</si>
  <si>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</si>
  <si>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</si>
  <si>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</si>
  <si>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</si>
  <si>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</si>
  <si>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</si>
  <si>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</si>
  <si>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</si>
  <si>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</si>
  <si>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</si>
  <si>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</si>
  <si>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</si>
  <si>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</si>
  <si>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</si>
  <si>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</si>
  <si>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</si>
  <si>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</si>
  <si>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</si>
  <si>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</si>
  <si>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</si>
  <si>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</si>
  <si>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</si>
  <si>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</si>
  <si>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</si>
  <si>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</si>
  <si>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</si>
  <si>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</si>
  <si>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</si>
  <si>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</si>
  <si>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</si>
  <si>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</si>
  <si>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</si>
  <si>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</si>
  <si>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</si>
  <si>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</si>
  <si>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</si>
  <si>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</si>
  <si>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</si>
  <si>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</si>
  <si>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</si>
  <si>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</si>
  <si>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</si>
  <si>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</si>
  <si>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</si>
  <si>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</si>
  <si>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</si>
  <si>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</si>
  <si>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</si>
  <si>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</si>
  <si>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</si>
  <si>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</si>
  <si>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</si>
  <si>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</si>
  <si>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</si>
  <si>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</si>
  <si>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</si>
  <si>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</si>
  <si>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</si>
  <si>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</si>
  <si>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</si>
  <si>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</si>
  <si>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</si>
  <si>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</si>
  <si>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</si>
  <si>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</si>
  <si>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</si>
  <si>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</si>
  <si>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</si>
  <si>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</si>
  <si>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</si>
  <si>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</si>
  <si>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</si>
  <si>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</si>
  <si>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</si>
  <si>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</si>
  <si>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</si>
  <si>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</si>
  <si>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</si>
  <si>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</si>
  <si>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</si>
  <si>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</si>
  <si>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</si>
  <si>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</si>
  <si>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</si>
  <si>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</si>
  <si>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</si>
  <si>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</si>
  <si>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</si>
  <si>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</si>
  <si>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</si>
  <si>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</si>
  <si>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</si>
  <si>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</si>
  <si>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</si>
  <si>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</si>
  <si>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</si>
  <si>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</si>
  <si>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</si>
  <si>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</si>
  <si>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</si>
  <si>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</si>
  <si>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</si>
  <si>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</si>
  <si>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</si>
  <si>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</si>
  <si>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</si>
  <si>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</si>
  <si>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</si>
  <si>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</si>
  <si>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</si>
  <si>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</si>
  <si>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</si>
  <si>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</si>
  <si>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</si>
  <si>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</si>
  <si>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</si>
  <si>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</si>
  <si>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</si>
  <si>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</si>
  <si>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</si>
  <si>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</si>
  <si>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</si>
  <si>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</si>
  <si>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</si>
  <si>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</si>
  <si>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</si>
  <si>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</si>
  <si>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</si>
  <si>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</si>
  <si>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</si>
  <si>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</si>
  <si>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</si>
  <si>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</si>
  <si>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</si>
  <si>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</si>
  <si>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</si>
  <si>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</si>
  <si>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</si>
  <si>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</si>
  <si>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</si>
  <si>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</si>
  <si>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</si>
  <si>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</si>
  <si>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</si>
  <si>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</si>
  <si>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</si>
  <si>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</si>
  <si>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</si>
  <si>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</si>
  <si>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</si>
  <si>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</si>
  <si>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</si>
  <si>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</si>
  <si>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</si>
  <si>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</si>
  <si>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</si>
  <si>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</si>
  <si>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</si>
  <si>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</si>
  <si>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</si>
  <si>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</si>
  <si>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</si>
  <si>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</si>
  <si>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</si>
  <si>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</si>
  <si>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</si>
  <si>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</si>
  <si>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</si>
  <si>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</si>
  <si>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</si>
  <si>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</si>
  <si>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</si>
  <si>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</si>
  <si>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</si>
  <si>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</si>
  <si>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</si>
  <si>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</si>
  <si>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</si>
  <si>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</si>
  <si>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</si>
  <si>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</si>
  <si>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</si>
  <si>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</si>
  <si>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</si>
  <si>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</si>
  <si>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</si>
  <si>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</si>
  <si>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</si>
  <si>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</si>
  <si>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</si>
  <si>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</si>
  <si>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</si>
  <si>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</si>
  <si>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</si>
  <si>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</si>
  <si>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</si>
  <si>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</si>
  <si>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</si>
  <si>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</si>
  <si>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</si>
  <si>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</si>
  <si>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</si>
  <si>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</si>
  <si>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</si>
  <si>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</si>
  <si>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</si>
  <si>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</si>
  <si>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</si>
  <si>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</si>
  <si>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</si>
  <si>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</si>
  <si>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</si>
  <si>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</si>
  <si>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</si>
  <si>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</si>
  <si>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</si>
  <si>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</si>
  <si>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</si>
  <si>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</si>
  <si>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</si>
  <si>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</si>
  <si>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</si>
  <si>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</si>
  <si>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</si>
  <si>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</si>
  <si>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</si>
  <si>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</si>
  <si>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</si>
  <si>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</si>
  <si>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</si>
  <si>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</si>
  <si>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</si>
  <si>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</si>
  <si>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</si>
  <si>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</si>
  <si>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</si>
  <si>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</si>
  <si>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</si>
  <si>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</si>
  <si>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</si>
  <si>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</si>
  <si>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</si>
  <si>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</si>
  <si>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</si>
  <si>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</si>
  <si>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</si>
  <si>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</si>
  <si>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</si>
  <si>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</si>
  <si>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</si>
  <si>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</si>
  <si>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</si>
  <si>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</si>
  <si>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</si>
  <si>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</si>
  <si>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</si>
  <si>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</si>
  <si>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</si>
  <si>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</si>
  <si>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</si>
  <si>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</si>
  <si>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</si>
  <si>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</si>
  <si>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</si>
  <si>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</si>
  <si>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</si>
  <si>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</si>
  <si>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</si>
  <si>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</si>
  <si>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</si>
  <si>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</si>
  <si>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</si>
  <si>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</si>
  <si>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</si>
  <si>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</si>
  <si>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</si>
  <si>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</si>
  <si>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</si>
  <si>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</si>
  <si>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</si>
  <si>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</si>
  <si>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</si>
  <si>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</si>
  <si>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</si>
  <si>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</si>
  <si>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</si>
  <si>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</si>
  <si>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</si>
  <si>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</si>
  <si>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</si>
  <si>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</si>
  <si>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</si>
  <si>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</si>
  <si>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</si>
  <si>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</si>
  <si>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</si>
  <si>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</si>
  <si>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</si>
  <si>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</si>
  <si>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</si>
  <si>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</si>
  <si>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</si>
  <si>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</si>
  <si>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</si>
  <si>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</si>
  <si>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</si>
  <si>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</si>
  <si>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</si>
  <si>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</si>
  <si>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</si>
  <si>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</si>
  <si>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</si>
  <si>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</si>
  <si>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</si>
  <si>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</si>
  <si>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</si>
  <si>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</si>
  <si>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</si>
  <si>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</si>
  <si>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</si>
  <si>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</si>
  <si>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</si>
  <si>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</si>
  <si>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</si>
  <si>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</si>
  <si>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</si>
  <si>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</si>
  <si>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</si>
  <si>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</si>
  <si>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</si>
  <si>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</si>
  <si>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</si>
  <si>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</si>
  <si>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</si>
  <si>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</si>
  <si>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</si>
  <si>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</si>
  <si>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</si>
  <si>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</si>
  <si>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</si>
  <si>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</si>
  <si>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</si>
  <si>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</si>
  <si>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</si>
  <si>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</si>
  <si>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</si>
  <si>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</si>
  <si>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</si>
  <si>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</si>
  <si>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</si>
  <si>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</si>
  <si>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</si>
  <si>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</si>
  <si>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</si>
  <si>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</si>
  <si>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</si>
  <si>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</si>
  <si>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</si>
  <si>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</si>
  <si>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</si>
  <si>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</si>
  <si>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</si>
  <si>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</si>
  <si>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</si>
  <si>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</si>
  <si>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</si>
  <si>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</si>
  <si>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</si>
  <si>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</si>
  <si>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</si>
  <si>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</si>
  <si>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</si>
  <si>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</si>
  <si>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</si>
  <si>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</si>
  <si>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</si>
  <si>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</si>
  <si>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</si>
  <si>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</si>
  <si>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</si>
  <si>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</si>
  <si>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</si>
  <si>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</si>
  <si>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</si>
  <si>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</si>
  <si>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</si>
  <si>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</si>
  <si>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</si>
  <si>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</si>
  <si>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</si>
  <si>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</si>
  <si>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</si>
  <si>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</si>
  <si>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</si>
  <si>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</si>
  <si>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</si>
  <si>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</si>
  <si>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</si>
  <si>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</si>
  <si>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</si>
  <si>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</si>
  <si>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</si>
  <si>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</si>
  <si>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</si>
  <si>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</si>
  <si>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</si>
  <si>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</si>
  <si>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</si>
  <si>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</si>
  <si>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</si>
  <si>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</si>
  <si>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</si>
  <si>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</si>
  <si>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</si>
  <si>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</si>
  <si>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</si>
  <si>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</si>
  <si>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</si>
  <si>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</si>
  <si>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</si>
  <si>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</si>
  <si>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</si>
  <si>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</si>
  <si>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</si>
  <si>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</si>
  <si>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</si>
  <si>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</si>
  <si>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</si>
  <si>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</si>
  <si>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</si>
  <si>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</si>
  <si>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</si>
  <si>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</si>
  <si>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</si>
  <si>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</si>
  <si>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</si>
  <si>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</si>
  <si>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</si>
  <si>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</si>
  <si>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</si>
  <si>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</si>
  <si>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</si>
  <si>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</si>
  <si>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</si>
  <si>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</si>
  <si>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</si>
  <si>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</si>
  <si>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</si>
  <si>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</si>
  <si>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</si>
  <si>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</si>
  <si>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</si>
  <si>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</si>
  <si>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</si>
  <si>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</si>
  <si>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</si>
  <si>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</si>
  <si>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</si>
  <si>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</si>
  <si>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</si>
  <si>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</si>
  <si>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</si>
  <si>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</si>
  <si>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</si>
  <si>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</si>
  <si>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</si>
  <si>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</si>
  <si>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</si>
  <si>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</si>
  <si>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</si>
  <si>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</si>
  <si>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</si>
  <si>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</si>
  <si>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</si>
  <si>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</si>
  <si>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</si>
  <si>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</si>
  <si>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</si>
  <si>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</si>
  <si>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</si>
  <si>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</si>
  <si>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</si>
  <si>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</si>
  <si>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</si>
  <si>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</si>
  <si>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</si>
  <si>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</si>
  <si>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</si>
  <si>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</si>
  <si>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</si>
  <si>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</si>
  <si>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</si>
  <si>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</si>
  <si>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</si>
  <si>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</si>
  <si>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</si>
  <si>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</si>
  <si>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</si>
  <si>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</si>
  <si>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</si>
  <si>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</si>
  <si>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</si>
  <si>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</si>
  <si>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</si>
  <si>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</si>
  <si>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</si>
  <si>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</si>
  <si>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</si>
  <si>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</si>
  <si>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</si>
  <si>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</si>
  <si>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</si>
  <si>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</si>
  <si>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</si>
  <si>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</si>
  <si>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</si>
  <si>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</si>
  <si>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</si>
  <si>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</si>
  <si>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</si>
  <si>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</si>
  <si>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</si>
  <si>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</si>
  <si>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</si>
  <si>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</si>
  <si>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</si>
  <si>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</si>
  <si>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</si>
  <si>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</si>
  <si>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</si>
  <si>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</si>
  <si>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</si>
  <si>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</si>
  <si>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</si>
  <si>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</si>
  <si>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</si>
  <si>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</si>
  <si>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</si>
  <si>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</si>
  <si>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</si>
  <si>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</si>
  <si>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</si>
  <si>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</si>
  <si>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</si>
  <si>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</si>
  <si>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</si>
  <si>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</si>
  <si>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</si>
  <si>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</si>
  <si>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</si>
  <si>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</si>
  <si>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</si>
  <si>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</si>
  <si>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</si>
  <si>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</si>
  <si>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</si>
  <si>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</si>
  <si>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</si>
  <si>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</si>
  <si>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</si>
  <si>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</si>
  <si>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</si>
  <si>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</si>
  <si>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</si>
  <si>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</si>
  <si>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</si>
  <si>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</si>
  <si>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</si>
  <si>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</si>
  <si>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</si>
  <si>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</si>
  <si>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</si>
  <si>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</si>
  <si>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</si>
  <si>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</si>
  <si>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</si>
  <si>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</si>
  <si>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</si>
  <si>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</si>
  <si>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</si>
  <si>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</si>
  <si>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</si>
  <si>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</si>
  <si>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</si>
  <si>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</si>
  <si>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</si>
  <si>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</si>
  <si>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</si>
  <si>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</si>
  <si>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</si>
  <si>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</si>
  <si>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</si>
  <si>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</si>
  <si>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</si>
  <si>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</si>
  <si>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</si>
  <si>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</si>
  <si>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</si>
  <si>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</si>
  <si>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</si>
  <si>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</si>
  <si>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</si>
  <si>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</si>
  <si>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</si>
  <si>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</si>
  <si>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</si>
  <si>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</si>
  <si>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</si>
  <si>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</si>
  <si>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</si>
  <si>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</si>
  <si>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</si>
  <si>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</si>
  <si>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</si>
  <si>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</si>
  <si>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</si>
  <si>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</si>
  <si>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</si>
  <si>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</si>
  <si>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</si>
  <si>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</si>
  <si>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</si>
  <si>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</si>
  <si>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</si>
  <si>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</si>
  <si>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</si>
  <si>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</si>
  <si>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</si>
  <si>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</si>
  <si>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</si>
  <si>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</si>
  <si>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</si>
  <si>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</si>
  <si>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</si>
  <si>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</si>
  <si>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</si>
  <si>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</si>
  <si>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</si>
  <si>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</si>
  <si>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</si>
  <si>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</si>
  <si>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</si>
  <si>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</si>
  <si>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</si>
  <si>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</si>
  <si>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</si>
  <si>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</si>
  <si>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</si>
  <si>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</si>
  <si>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</si>
  <si>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</si>
  <si>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</si>
  <si>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</si>
  <si>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</si>
  <si>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</si>
  <si>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</si>
  <si>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</si>
  <si>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</si>
  <si>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</si>
  <si>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</si>
  <si>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</si>
  <si>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</si>
  <si>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</si>
  <si>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</si>
  <si>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</si>
  <si>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</si>
  <si>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</si>
  <si>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</si>
  <si>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</si>
  <si>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</si>
  <si>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</si>
  <si>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</si>
  <si>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</si>
  <si>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</si>
  <si>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</si>
  <si>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</si>
  <si>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</si>
  <si>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</si>
  <si>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</si>
  <si>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</si>
  <si>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</si>
  <si>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</si>
  <si>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</si>
  <si>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</si>
  <si>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</si>
  <si>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</si>
  <si>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</si>
  <si>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</si>
  <si>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</si>
  <si>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</si>
  <si>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</si>
  <si>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</si>
  <si>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</si>
  <si>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</si>
  <si>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</si>
  <si>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</si>
  <si>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</si>
  <si>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</si>
  <si>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</si>
  <si>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</si>
  <si>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</si>
  <si>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</si>
  <si>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</si>
  <si>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</si>
  <si>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</si>
  <si>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</si>
  <si>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</si>
  <si>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</si>
  <si>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</si>
  <si>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</si>
  <si>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</si>
  <si>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</si>
  <si>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</si>
  <si>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</si>
  <si>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</si>
  <si>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</si>
  <si>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</si>
  <si>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</si>
  <si>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</si>
  <si>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</si>
  <si>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</si>
  <si>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</si>
  <si>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</si>
  <si>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</si>
  <si>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</si>
  <si>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</si>
  <si>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</si>
  <si>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</si>
  <si>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</si>
  <si>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</si>
  <si>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</si>
  <si>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</si>
  <si>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</si>
  <si>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</si>
  <si>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</si>
  <si>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</si>
  <si>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</si>
  <si>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</si>
  <si>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</si>
  <si>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</si>
  <si>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</si>
  <si>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</si>
  <si>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</si>
  <si>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</si>
  <si>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</si>
  <si>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</si>
  <si>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</si>
  <si>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</si>
  <si>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</si>
  <si>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</si>
  <si>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</si>
  <si>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</si>
  <si>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</si>
  <si>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</si>
  <si>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</si>
  <si>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</si>
  <si>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</si>
  <si>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</si>
  <si>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</si>
  <si>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</si>
  <si>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</si>
  <si>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</si>
  <si>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</si>
  <si>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</si>
  <si>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</si>
  <si>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</si>
  <si>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</si>
  <si>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</si>
  <si>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</si>
  <si>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</si>
  <si>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</si>
  <si>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</si>
  <si>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</si>
  <si>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</si>
  <si>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</si>
  <si>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</si>
  <si>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</si>
  <si>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</si>
  <si>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</si>
  <si>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</si>
  <si>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</si>
  <si>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</si>
  <si>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</si>
  <si>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</si>
  <si>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</si>
  <si>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</si>
  <si>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</si>
  <si>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</si>
  <si>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</si>
  <si>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</si>
  <si>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</si>
  <si>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</si>
  <si>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</si>
  <si>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</si>
  <si>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</si>
  <si>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</si>
  <si>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</si>
  <si>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</si>
  <si>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</si>
  <si>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</si>
  <si>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</si>
  <si>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</si>
  <si>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</si>
  <si>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</si>
  <si>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</si>
  <si>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</si>
  <si>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</si>
  <si>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</si>
  <si>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</si>
  <si>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</si>
  <si>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</si>
  <si>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</si>
  <si>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</si>
  <si>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</si>
  <si>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</si>
  <si>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</si>
  <si>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</si>
  <si>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</si>
  <si>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</si>
  <si>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</si>
  <si>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</si>
  <si>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</si>
  <si>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</si>
  <si>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</si>
  <si>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</si>
  <si>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</si>
  <si>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</si>
  <si>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</si>
  <si>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</si>
  <si>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</si>
  <si>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</si>
  <si>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</si>
  <si>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</si>
  <si>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</si>
  <si>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</si>
  <si>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</si>
  <si>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</si>
  <si>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</si>
  <si>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</si>
  <si>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</si>
  <si>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</si>
  <si>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</si>
  <si>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</si>
  <si>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</si>
  <si>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</si>
  <si>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</si>
  <si>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</si>
  <si>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</si>
  <si>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</si>
  <si>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</si>
  <si>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</si>
  <si>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</si>
  <si>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</si>
  <si>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</si>
  <si>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</si>
  <si>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</si>
  <si>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</si>
  <si>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</si>
  <si>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</si>
  <si>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</si>
  <si>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</si>
  <si>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</si>
  <si>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</si>
  <si>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</si>
  <si>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</si>
  <si>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</si>
  <si>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</si>
  <si>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</si>
  <si>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</si>
  <si>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</si>
  <si>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</si>
  <si>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</si>
  <si>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</si>
  <si>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</si>
  <si>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</si>
  <si>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</si>
  <si>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</si>
  <si>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</si>
  <si>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</si>
  <si>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</si>
  <si>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</si>
  <si>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</si>
  <si>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</si>
  <si>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</si>
  <si>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</si>
  <si>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</si>
  <si>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</si>
  <si>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</si>
  <si>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</si>
  <si>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</si>
  <si>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</si>
  <si>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</si>
  <si>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</si>
  <si>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</si>
  <si>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</si>
  <si>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</si>
  <si>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</si>
  <si>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</si>
  <si>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</si>
  <si>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</si>
  <si>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</si>
  <si>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</si>
  <si>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</si>
  <si>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</si>
  <si>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</si>
  <si>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</si>
  <si>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</si>
  <si>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</si>
  <si>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</si>
  <si>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</si>
  <si>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</si>
  <si>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</si>
  <si>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</si>
  <si>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</si>
  <si>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</si>
  <si>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</si>
  <si>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</si>
  <si>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</si>
  <si>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</si>
  <si>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</si>
  <si>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</si>
  <si>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</si>
  <si>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</si>
  <si>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</si>
  <si>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</si>
  <si>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</si>
  <si>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</si>
  <si>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</si>
  <si>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</si>
  <si>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</si>
  <si>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</si>
  <si>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</si>
  <si>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</si>
  <si>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</si>
  <si>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</si>
  <si>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</si>
  <si>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</si>
  <si>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</si>
  <si>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</si>
  <si>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</si>
  <si>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</si>
  <si>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</si>
  <si>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</si>
  <si>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</si>
  <si>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</si>
  <si>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</si>
  <si>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</si>
  <si>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</si>
  <si>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</si>
  <si>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</si>
  <si>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</si>
  <si>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</si>
  <si>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</si>
  <si>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</si>
  <si>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</si>
  <si>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</si>
  <si>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</si>
  <si>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</si>
  <si>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</si>
  <si>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</si>
  <si>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</si>
  <si>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</si>
  <si>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</si>
  <si>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</si>
  <si>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</si>
  <si>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</si>
  <si>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</si>
  <si>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</si>
  <si>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</si>
  <si>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</si>
  <si>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</si>
  <si>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</si>
  <si>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</si>
  <si>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</si>
  <si>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</si>
  <si>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</si>
  <si>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</si>
  <si>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</si>
  <si>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</si>
  <si>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</si>
  <si>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</si>
  <si>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</si>
  <si>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</si>
  <si>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</si>
  <si>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</si>
  <si>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</si>
  <si>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</si>
  <si>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</si>
  <si>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</si>
  <si>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</si>
  <si>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</si>
  <si>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</si>
  <si>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</si>
  <si>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</si>
  <si>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</si>
  <si>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</si>
  <si>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</si>
  <si>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</si>
  <si>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</si>
  <si>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</si>
  <si>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</si>
  <si>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</si>
  <si>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</si>
  <si>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</si>
  <si>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</si>
  <si>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</si>
  <si>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</si>
  <si>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</si>
  <si>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</si>
  <si>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</si>
  <si>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</si>
  <si>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</si>
  <si>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</si>
  <si>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</si>
  <si>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</si>
  <si>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</si>
  <si>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</si>
  <si>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</si>
  <si>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</si>
  <si>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</si>
  <si>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</si>
  <si>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</si>
  <si>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</si>
  <si>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</si>
  <si>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</si>
  <si>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</si>
  <si>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</si>
  <si>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</si>
  <si>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</si>
  <si>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</si>
  <si>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</si>
  <si>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</si>
  <si>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</si>
  <si>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</si>
  <si>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</si>
  <si>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</si>
  <si>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</si>
  <si>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</si>
  <si>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</si>
  <si>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</si>
  <si>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</si>
  <si>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</si>
  <si>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</si>
  <si>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</si>
  <si>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</si>
  <si>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</si>
  <si>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</si>
  <si>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</si>
  <si>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</si>
  <si>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</si>
  <si>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</si>
  <si>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</si>
  <si>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</si>
  <si>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</si>
  <si>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</si>
  <si>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</si>
  <si>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</si>
  <si>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</si>
  <si>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</si>
  <si>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</si>
  <si>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</si>
  <si>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</si>
  <si>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</si>
  <si>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</si>
  <si>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</si>
  <si>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</si>
  <si>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</si>
  <si>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</si>
  <si>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</si>
  <si>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</si>
  <si>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</si>
  <si>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</si>
  <si>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</si>
  <si>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</si>
  <si>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</si>
  <si>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</si>
  <si>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</si>
  <si>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</si>
  <si>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</si>
  <si>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</si>
  <si>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</si>
  <si>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</si>
  <si>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</si>
  <si>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</si>
  <si>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</si>
  <si>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</si>
  <si>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</si>
  <si>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</si>
  <si>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</si>
  <si>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</si>
  <si>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</si>
  <si>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</si>
  <si>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</si>
  <si>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</si>
  <si>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</si>
  <si>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</si>
  <si>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</si>
  <si>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</si>
  <si>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</si>
  <si>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</si>
  <si>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</si>
  <si>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</si>
  <si>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</si>
  <si>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</si>
  <si>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</si>
  <si>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</si>
  <si>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</si>
  <si>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</si>
  <si>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</si>
  <si>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</si>
  <si>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</si>
  <si>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</si>
  <si>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</si>
  <si>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</si>
  <si>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</si>
  <si>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</si>
  <si>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</si>
  <si>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</si>
  <si>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</si>
  <si>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</si>
  <si>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</si>
  <si>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</si>
  <si>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</si>
  <si>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</si>
  <si>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</si>
  <si>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</si>
  <si>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</si>
  <si>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</si>
  <si>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</si>
  <si>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</si>
  <si>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</si>
  <si>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</si>
  <si>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</si>
  <si>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</si>
  <si>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</si>
  <si>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</si>
  <si>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</si>
  <si>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</si>
  <si>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</si>
  <si>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</si>
  <si>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</si>
  <si>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</si>
  <si>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</si>
  <si>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</si>
  <si>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</si>
  <si>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</si>
  <si>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</si>
  <si>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</si>
  <si>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</si>
  <si>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</si>
  <si>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</si>
  <si>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</si>
  <si>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</si>
  <si>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</si>
  <si>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</si>
  <si>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</si>
  <si>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</si>
  <si>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</si>
  <si>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</si>
  <si>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</si>
  <si>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</si>
  <si>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</si>
  <si>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</si>
  <si>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</si>
  <si>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</si>
  <si>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</si>
  <si>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</si>
  <si>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</si>
  <si>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</si>
  <si>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</si>
  <si>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</si>
  <si>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</si>
  <si>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</si>
  <si>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</si>
  <si>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</si>
  <si>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</si>
  <si>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</si>
  <si>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</si>
  <si>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</si>
  <si>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</si>
  <si>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</si>
  <si>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</si>
  <si>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</si>
  <si>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</si>
  <si>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</si>
  <si>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</si>
  <si>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</si>
  <si>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</si>
  <si>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</si>
  <si>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</si>
  <si>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</si>
  <si>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</si>
  <si>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</si>
  <si>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</si>
  <si>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</si>
  <si>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</si>
  <si>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</si>
  <si>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</si>
  <si>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</si>
  <si>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</si>
  <si>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</si>
  <si>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</si>
  <si>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</si>
  <si>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</si>
  <si>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</si>
  <si>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</si>
  <si>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</si>
  <si>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</si>
  <si>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</si>
  <si>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</si>
  <si>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</si>
  <si>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</si>
  <si>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</si>
  <si>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</si>
  <si>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</si>
  <si>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</si>
  <si>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</si>
  <si>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</si>
  <si>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</si>
  <si>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</si>
  <si>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</si>
  <si>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</si>
  <si>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</si>
  <si>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</si>
  <si>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</si>
  <si>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</si>
  <si>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</si>
  <si>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</si>
  <si>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</si>
  <si>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</si>
  <si>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</si>
  <si>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</si>
  <si>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</si>
  <si>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</si>
  <si>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</si>
  <si>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</si>
  <si>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</si>
  <si>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</si>
  <si>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</si>
  <si>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</si>
  <si>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</si>
  <si>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</si>
  <si>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</si>
  <si>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</si>
  <si>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</si>
  <si>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</si>
  <si>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</si>
  <si>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</si>
  <si>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</si>
  <si>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</si>
  <si>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</si>
  <si>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</si>
  <si>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</si>
  <si>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</si>
  <si>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</si>
  <si>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</si>
  <si>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</si>
  <si>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</si>
  <si>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</si>
  <si>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</si>
  <si>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</si>
  <si>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</si>
  <si>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</si>
  <si>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</si>
  <si>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</si>
  <si>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</si>
  <si>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</si>
  <si>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</si>
  <si>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</si>
  <si>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</si>
  <si>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</si>
  <si>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</si>
  <si>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</si>
  <si>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</si>
  <si>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</si>
  <si>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</si>
  <si>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</si>
  <si>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</si>
  <si>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</si>
  <si>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</si>
  <si>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</si>
  <si>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</si>
  <si>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</si>
  <si>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</si>
  <si>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</si>
  <si>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</si>
  <si>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</si>
  <si>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</si>
  <si>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</si>
  <si>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</si>
  <si>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</si>
  <si>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</si>
  <si>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</si>
  <si>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</si>
  <si>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</si>
  <si>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</si>
  <si>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</si>
  <si>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</si>
  <si>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</si>
  <si>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</si>
  <si>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</si>
  <si>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</si>
  <si>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</si>
  <si>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</si>
  <si>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</si>
  <si>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</si>
  <si>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</si>
  <si>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</si>
  <si>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</si>
  <si>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</si>
  <si>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</si>
  <si>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</si>
  <si>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</si>
  <si>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</si>
  <si>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</si>
  <si>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</si>
  <si>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</si>
  <si>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</si>
  <si>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</si>
  <si>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</si>
  <si>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</si>
  <si>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</si>
  <si>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</si>
  <si>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</si>
  <si>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</si>
  <si>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</si>
  <si>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</si>
  <si>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</si>
  <si>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</si>
  <si>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</si>
  <si>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</si>
  <si>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</si>
  <si>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</si>
  <si>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</si>
  <si>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</si>
  <si>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</si>
  <si>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</si>
  <si>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</si>
  <si>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</si>
  <si>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</si>
  <si>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</si>
  <si>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</si>
  <si>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</si>
  <si>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</si>
  <si>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</si>
  <si>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</si>
  <si>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</si>
  <si>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</si>
  <si>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</si>
  <si>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</si>
  <si>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</si>
  <si>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</si>
  <si>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</si>
  <si>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</si>
  <si>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</si>
  <si>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</si>
  <si>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</si>
  <si>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</si>
  <si>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</si>
  <si>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</si>
  <si>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</si>
  <si>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</si>
  <si>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</si>
  <si>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</si>
  <si>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</si>
  <si>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</si>
  <si>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</si>
  <si>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</si>
  <si>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</si>
  <si>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</si>
  <si>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</si>
  <si>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</si>
  <si>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</si>
  <si>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</si>
  <si>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</si>
  <si>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</si>
  <si>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</si>
  <si>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</si>
  <si>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</si>
  <si>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</si>
  <si>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</si>
  <si>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</si>
  <si>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</si>
  <si>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</si>
  <si>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</si>
  <si>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</si>
  <si>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</si>
  <si>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</si>
  <si>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</si>
  <si>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</si>
  <si>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</si>
  <si>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</si>
  <si>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</si>
  <si>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</si>
  <si>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</si>
  <si>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</si>
  <si>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</si>
  <si>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</si>
  <si>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</si>
  <si>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</si>
  <si>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</si>
  <si>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</si>
  <si>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</si>
  <si>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</si>
  <si>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</si>
  <si>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</si>
  <si>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</si>
  <si>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</si>
  <si>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</si>
  <si>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</si>
  <si>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</si>
  <si>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</si>
  <si>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</si>
  <si>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</si>
  <si>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</si>
  <si>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</si>
  <si>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</si>
  <si>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</si>
  <si>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</si>
  <si>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</si>
  <si>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</si>
  <si>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</si>
  <si>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</si>
  <si>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</si>
  <si>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</si>
  <si>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</si>
  <si>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</si>
  <si>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</si>
  <si>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</si>
  <si>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</si>
  <si>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</si>
  <si>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</si>
  <si>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</si>
  <si>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</si>
  <si>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</si>
  <si>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</si>
  <si>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</si>
  <si>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</si>
  <si>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</si>
  <si>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</si>
  <si>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</si>
  <si>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</si>
  <si>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</si>
  <si>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</si>
  <si>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</si>
  <si>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</si>
  <si>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</si>
  <si>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</si>
  <si>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</si>
  <si>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</si>
  <si>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</si>
  <si>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</si>
  <si>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</si>
  <si>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</si>
  <si>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</si>
  <si>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</si>
  <si>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</si>
  <si>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</si>
  <si>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</si>
  <si>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</si>
  <si>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</si>
  <si>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</si>
  <si>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</si>
  <si>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</si>
  <si>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</si>
  <si>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</si>
  <si>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</si>
  <si>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</si>
  <si>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</si>
  <si>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</si>
  <si>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</si>
  <si>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</si>
  <si>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</si>
  <si>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</si>
  <si>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</si>
  <si>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</si>
  <si>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</si>
  <si>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</si>
  <si>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</si>
  <si>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</si>
  <si>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</si>
  <si>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</si>
  <si>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</si>
  <si>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</si>
  <si>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</si>
  <si>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</si>
  <si>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</si>
  <si>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</si>
  <si>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</si>
  <si>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</si>
  <si>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</si>
  <si>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</si>
  <si>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</si>
  <si>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</si>
  <si>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</si>
  <si>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</si>
  <si>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</si>
  <si>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</si>
  <si>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</si>
  <si>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</si>
  <si>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</si>
  <si>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</si>
  <si>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</si>
  <si>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</si>
  <si>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</si>
  <si>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</si>
  <si>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</si>
  <si>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</si>
  <si>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</si>
  <si>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</si>
  <si>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</si>
  <si>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</si>
  <si>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</si>
  <si>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</si>
  <si>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</si>
  <si>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</si>
  <si>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</si>
  <si>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</si>
  <si>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</si>
  <si>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</si>
  <si>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</si>
  <si>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</si>
  <si>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</si>
  <si>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</si>
  <si>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</si>
  <si>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</si>
  <si>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</si>
  <si>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</si>
  <si>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</si>
  <si>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</si>
  <si>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</si>
  <si>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</si>
  <si>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</si>
  <si>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</si>
  <si>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</si>
  <si>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</si>
  <si>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</si>
  <si>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</si>
  <si>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</si>
  <si>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</si>
  <si>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</si>
  <si>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</si>
  <si>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</si>
  <si>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</si>
  <si>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</si>
  <si>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</si>
  <si>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</si>
  <si>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</si>
  <si>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</si>
  <si>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</si>
  <si>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</si>
  <si>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</si>
  <si>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</si>
  <si>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</si>
  <si>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</si>
  <si>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</si>
  <si>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</si>
  <si>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</si>
  <si>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</si>
  <si>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</si>
  <si>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</si>
  <si>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</si>
  <si>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</si>
  <si>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</si>
  <si>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</si>
  <si>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</si>
  <si>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</si>
  <si>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</si>
  <si>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</si>
  <si>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</si>
  <si>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</si>
  <si>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</si>
  <si>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</si>
  <si>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</si>
  <si>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</si>
  <si>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</si>
  <si>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</si>
  <si>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</si>
  <si>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</si>
  <si>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</si>
  <si>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</si>
  <si>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</si>
  <si>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</si>
  <si>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</si>
  <si>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</si>
  <si>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</si>
  <si>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</si>
  <si>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</si>
  <si>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</si>
  <si>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</si>
  <si>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</si>
  <si>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</si>
  <si>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</si>
  <si>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</si>
  <si>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</si>
  <si>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</si>
  <si>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</si>
  <si>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</si>
  <si>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</si>
  <si>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</si>
  <si>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</si>
  <si>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</si>
  <si>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</si>
  <si>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</si>
  <si>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</si>
  <si>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</si>
  <si>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</si>
  <si>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</si>
  <si>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</si>
  <si>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</si>
  <si>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</si>
  <si>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</si>
  <si>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</si>
  <si>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</si>
  <si>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</si>
  <si>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</si>
  <si>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</si>
  <si>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</si>
  <si>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</si>
  <si>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</si>
  <si>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</si>
  <si>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</si>
  <si>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</si>
  <si>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</si>
  <si>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</si>
  <si>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</si>
  <si>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</si>
  <si>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</si>
  <si>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</si>
  <si>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</si>
  <si>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</si>
  <si>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</si>
  <si>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</si>
  <si>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</si>
  <si>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</si>
  <si>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</si>
  <si>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</si>
  <si>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</si>
  <si>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</si>
  <si>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</si>
  <si>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</si>
  <si>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</si>
  <si>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</si>
  <si>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</si>
  <si>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</si>
  <si>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</si>
  <si>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</si>
  <si>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</si>
  <si>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</si>
  <si>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</si>
  <si>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</si>
  <si>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</si>
  <si>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</si>
  <si>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</si>
  <si>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</si>
  <si>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</si>
  <si>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</si>
  <si>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</si>
  <si>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</si>
  <si>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</si>
  <si>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</si>
  <si>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</si>
  <si>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</si>
  <si>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</si>
  <si>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</si>
  <si>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</si>
  <si>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</si>
  <si>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</si>
  <si>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</si>
  <si>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</si>
  <si>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</si>
  <si>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</si>
  <si>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</si>
  <si>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</si>
  <si>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</si>
  <si>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</si>
  <si>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</si>
  <si>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</si>
  <si>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</si>
  <si>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</si>
  <si>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</si>
  <si>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</si>
  <si>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</si>
  <si>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</si>
  <si>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</si>
  <si>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</si>
  <si>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</si>
  <si>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</si>
  <si>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</si>
  <si>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</si>
  <si>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</si>
  <si>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</si>
  <si>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</si>
  <si>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</si>
  <si>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</si>
  <si>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</si>
  <si>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</si>
  <si>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</si>
  <si>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</si>
  <si>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</si>
  <si>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</si>
  <si>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</si>
  <si>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</si>
  <si>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</si>
  <si>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</si>
  <si>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</si>
  <si>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</si>
  <si>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</si>
  <si>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</si>
  <si>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</si>
  <si>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</si>
  <si>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</si>
  <si>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</si>
  <si>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</si>
  <si>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</si>
  <si>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</si>
  <si>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</si>
  <si>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</si>
  <si>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</si>
  <si>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</si>
  <si>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</si>
  <si>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</si>
  <si>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</si>
  <si>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</si>
  <si>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</si>
  <si>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</si>
  <si>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</si>
  <si>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</si>
  <si>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</si>
  <si>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</si>
  <si>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</si>
  <si>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</si>
  <si>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</si>
  <si>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</si>
  <si>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</si>
  <si>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</si>
  <si>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</si>
  <si>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</si>
  <si>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</si>
  <si>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</si>
  <si>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</si>
  <si>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</si>
  <si>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</si>
  <si>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</si>
  <si>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</si>
  <si>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</si>
  <si>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</si>
  <si>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</si>
  <si>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</si>
  <si>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</si>
  <si>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</si>
  <si>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</si>
  <si>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</si>
  <si>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</si>
  <si>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</si>
  <si>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</si>
  <si>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</si>
  <si>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</si>
  <si>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</si>
  <si>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</si>
  <si>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</si>
  <si>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</si>
  <si>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</si>
  <si>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</si>
  <si>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</si>
  <si>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</si>
  <si>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</si>
  <si>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</si>
  <si>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</si>
  <si>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</si>
  <si>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</si>
  <si>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</si>
  <si>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</si>
  <si>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</si>
  <si>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</si>
  <si>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</si>
  <si>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</si>
  <si>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</si>
  <si>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</si>
  <si>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</si>
  <si>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</si>
  <si>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</si>
  <si>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</si>
  <si>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</si>
  <si>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</si>
  <si>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</si>
  <si>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</si>
  <si>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</si>
  <si>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</si>
  <si>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</si>
  <si>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</si>
  <si>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</si>
  <si>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</si>
  <si>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</si>
  <si>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</si>
  <si>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</si>
  <si>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</si>
  <si>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</si>
  <si>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</si>
  <si>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</si>
  <si>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</si>
  <si>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</si>
  <si>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</si>
  <si>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</si>
  <si>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</si>
  <si>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</si>
  <si>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</si>
  <si>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</si>
  <si>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</si>
  <si>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</si>
  <si>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</si>
  <si>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</si>
  <si>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</si>
  <si>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</si>
  <si>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</si>
  <si>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</si>
  <si>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</si>
  <si>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</si>
  <si>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</si>
  <si>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</si>
  <si>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</si>
  <si>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</si>
  <si>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</si>
  <si>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</si>
  <si>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</si>
  <si>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</si>
  <si>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</si>
  <si>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</si>
  <si>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</si>
  <si>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</si>
  <si>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</si>
  <si>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</si>
  <si>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</si>
  <si>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</si>
  <si>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</si>
  <si>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</si>
  <si>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</si>
  <si>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</si>
  <si>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</si>
  <si>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</si>
  <si>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</si>
  <si>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</si>
  <si>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</si>
  <si>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</si>
  <si>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</si>
  <si>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</si>
  <si>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</si>
  <si>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</si>
  <si>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</si>
  <si>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</si>
  <si>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</si>
  <si>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</si>
  <si>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</si>
  <si>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</si>
  <si>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</si>
  <si>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</si>
  <si>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</si>
  <si>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</si>
  <si>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</si>
  <si>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</si>
  <si>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</si>
  <si>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</si>
  <si>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</si>
  <si>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</si>
  <si>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</si>
  <si>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</si>
  <si>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</si>
  <si>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</si>
  <si>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</si>
  <si>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</si>
  <si>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</si>
  <si>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</si>
  <si>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</si>
  <si>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</si>
  <si>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</si>
  <si>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</si>
  <si>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</si>
  <si>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</si>
  <si>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</si>
  <si>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</si>
  <si>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</si>
  <si>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</si>
  <si>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</si>
  <si>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</si>
  <si>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</si>
  <si>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</si>
  <si>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</si>
  <si>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</si>
  <si>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</si>
  <si>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</si>
  <si>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</si>
  <si>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</si>
  <si>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</si>
  <si>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</si>
  <si>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</si>
  <si>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</si>
  <si>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</si>
  <si>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</si>
  <si>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</si>
  <si>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</si>
  <si>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</si>
  <si>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</si>
  <si>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</si>
  <si>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</si>
  <si>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</si>
  <si>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</si>
  <si>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</si>
  <si>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</si>
  <si>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</si>
  <si>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</si>
  <si>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</si>
  <si>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</si>
  <si>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</si>
  <si>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</si>
  <si>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</si>
  <si>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</si>
  <si>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</si>
  <si>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</si>
  <si>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</si>
  <si>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</si>
  <si>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</si>
  <si>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</si>
  <si>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</si>
  <si>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</si>
  <si>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</si>
  <si>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</si>
  <si>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</si>
  <si>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</si>
  <si>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</si>
  <si>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</si>
  <si>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</si>
  <si>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</si>
  <si>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</si>
  <si>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</si>
  <si>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</si>
  <si>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</si>
  <si>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</si>
  <si>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</si>
  <si>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</si>
  <si>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</si>
  <si>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</si>
  <si>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</si>
  <si>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</si>
  <si>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</si>
  <si>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</si>
  <si>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</si>
  <si>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</si>
  <si>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</si>
  <si>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</si>
  <si>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</si>
  <si>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</si>
  <si>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</si>
  <si>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</si>
  <si>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</si>
  <si>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</si>
  <si>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</si>
  <si>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</si>
  <si>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</si>
  <si>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</si>
  <si>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</si>
  <si>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</si>
  <si>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</si>
  <si>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</si>
  <si>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</si>
  <si>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</si>
  <si>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</si>
  <si>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</si>
  <si>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</si>
  <si>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</si>
  <si>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</si>
  <si>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</si>
  <si>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</si>
  <si>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</si>
  <si>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</si>
  <si>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</si>
  <si>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</si>
  <si>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</si>
  <si>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</si>
  <si>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</si>
  <si>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</si>
  <si>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</si>
  <si>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</si>
  <si>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</si>
  <si>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</si>
  <si>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</si>
  <si>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</si>
  <si>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</si>
  <si>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</si>
  <si>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</si>
  <si>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</si>
  <si>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</si>
  <si>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</si>
  <si>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</si>
  <si>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</si>
  <si>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</si>
  <si>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</si>
  <si>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</si>
  <si>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</si>
  <si>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</si>
  <si>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</si>
  <si>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</si>
  <si>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</si>
  <si>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</si>
  <si>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</si>
  <si>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</si>
  <si>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</si>
  <si>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</si>
  <si>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</si>
  <si>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</si>
  <si>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</si>
  <si>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</si>
  <si>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</si>
  <si>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</si>
  <si>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</si>
  <si>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</si>
  <si>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</si>
  <si>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</si>
  <si>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</si>
  <si>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</si>
  <si>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</si>
  <si>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</si>
  <si>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</si>
  <si>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</si>
  <si>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</si>
  <si>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</si>
  <si>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</si>
  <si>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</si>
  <si>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</si>
  <si>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</si>
  <si>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</si>
  <si>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</si>
  <si>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</si>
  <si>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</si>
  <si>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</si>
  <si>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</si>
  <si>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</si>
  <si>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</si>
  <si>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</si>
  <si>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</si>
  <si>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</si>
  <si>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</si>
  <si>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</si>
  <si>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</si>
  <si>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</si>
  <si>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</si>
  <si>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</si>
  <si>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</si>
  <si>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</si>
  <si>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</si>
  <si>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</si>
  <si>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</si>
  <si>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</si>
  <si>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</si>
  <si>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</si>
  <si>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</si>
  <si>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</si>
  <si>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</si>
  <si>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</si>
  <si>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</si>
  <si>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</si>
  <si>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</si>
  <si>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</si>
  <si>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</si>
  <si>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</si>
  <si>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</si>
  <si>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</si>
  <si>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</si>
  <si>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</si>
  <si>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</si>
  <si>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</si>
  <si>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</si>
  <si>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</si>
  <si>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</si>
  <si>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</si>
  <si>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</si>
  <si>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</si>
  <si>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</si>
  <si>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</si>
  <si>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</si>
  <si>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</si>
  <si>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</si>
  <si>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</si>
  <si>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</si>
  <si>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</si>
  <si>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</si>
  <si>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</si>
  <si>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</si>
  <si>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</si>
  <si>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</si>
  <si>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</si>
  <si>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</si>
  <si>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</si>
  <si>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</si>
  <si>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</si>
  <si>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</si>
  <si>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</si>
  <si>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</si>
  <si>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</si>
  <si>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</si>
  <si>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</si>
  <si>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</si>
  <si>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</si>
  <si>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</si>
  <si>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</si>
  <si>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</si>
  <si>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</si>
  <si>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</si>
  <si>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</si>
  <si>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</si>
  <si>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</si>
  <si>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</si>
  <si>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</si>
  <si>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</si>
  <si>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</si>
  <si>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</si>
  <si>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</si>
  <si>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</si>
  <si>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</si>
  <si>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</si>
  <si>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</si>
  <si>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</si>
  <si>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</si>
  <si>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</si>
  <si>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</si>
  <si>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</si>
  <si>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</si>
  <si>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</si>
  <si>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</si>
  <si>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</si>
  <si>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</si>
  <si>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</si>
  <si>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</si>
  <si>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</si>
  <si>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</si>
  <si>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</si>
  <si>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</si>
  <si>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</si>
  <si>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</si>
  <si>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</si>
  <si>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</si>
  <si>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</si>
  <si>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</si>
  <si>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</si>
  <si>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</si>
  <si>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</si>
  <si>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</si>
  <si>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</si>
  <si>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</si>
  <si>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</si>
  <si>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</si>
  <si>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</si>
  <si>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</si>
  <si>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</si>
  <si>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</si>
  <si>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</si>
  <si>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</si>
  <si>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</si>
  <si>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</si>
  <si>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</si>
  <si>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</si>
  <si>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</si>
  <si>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</si>
  <si>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</si>
  <si>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</si>
  <si>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</si>
  <si>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</si>
  <si>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</si>
  <si>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</si>
  <si>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</si>
  <si>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</si>
  <si>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</si>
  <si>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</si>
  <si>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</si>
  <si>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</si>
  <si>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</si>
  <si>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</si>
  <si>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</si>
  <si>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</si>
  <si>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</si>
  <si>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</si>
  <si>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</si>
  <si>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</si>
  <si>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</si>
  <si>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</si>
  <si>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</si>
  <si>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</si>
  <si>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</si>
  <si>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</si>
  <si>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</si>
  <si>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</si>
  <si>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</si>
  <si>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</si>
  <si>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</si>
  <si>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</si>
  <si>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</si>
  <si>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</si>
  <si>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</si>
  <si>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</si>
  <si>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</si>
  <si>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</si>
  <si>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</si>
  <si>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</si>
  <si>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</si>
  <si>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</si>
  <si>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</si>
  <si>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</si>
  <si>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</si>
  <si>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</si>
  <si>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</si>
  <si>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</si>
  <si>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</si>
  <si>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</si>
  <si>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</si>
  <si>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</si>
  <si>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</si>
  <si>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</si>
  <si>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</si>
  <si>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</si>
  <si>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</si>
  <si>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</si>
  <si>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</si>
  <si>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</si>
  <si>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</si>
  <si>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</si>
  <si>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</si>
  <si>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</si>
  <si>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</si>
  <si>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</si>
  <si>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</si>
  <si>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</si>
  <si>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</si>
  <si>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</si>
  <si>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</si>
  <si>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</si>
  <si>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</si>
  <si>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</si>
  <si>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</si>
  <si>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</si>
  <si>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</si>
  <si>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</si>
  <si>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</si>
  <si>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</si>
  <si>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</si>
  <si>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</si>
  <si>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</si>
  <si>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</si>
  <si>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</si>
  <si>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</si>
  <si>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</si>
  <si>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</si>
  <si>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</si>
  <si>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</si>
  <si>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</si>
  <si>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</si>
  <si>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</si>
  <si>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</si>
  <si>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</si>
  <si>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</si>
  <si>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</si>
  <si>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</si>
  <si>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</si>
  <si>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</si>
  <si>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</si>
  <si>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</si>
  <si>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</si>
  <si>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</si>
  <si>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</si>
  <si>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</si>
  <si>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</si>
  <si>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</si>
  <si>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</si>
  <si>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</si>
  <si>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</si>
  <si>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</si>
  <si>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</si>
  <si>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</si>
  <si>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</si>
  <si>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</si>
  <si>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</si>
  <si>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</si>
  <si>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</si>
  <si>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</si>
  <si>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</si>
  <si>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</si>
  <si>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</si>
  <si>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</si>
  <si>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</si>
  <si>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</si>
  <si>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</si>
  <si>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</si>
  <si>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</si>
  <si>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</si>
  <si>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</si>
  <si>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</si>
  <si>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</si>
  <si>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</si>
  <si>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</si>
  <si>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</si>
  <si>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</si>
  <si>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</si>
  <si>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</si>
  <si>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</si>
  <si>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</si>
  <si>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</si>
  <si>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</si>
  <si>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</si>
  <si>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</si>
  <si>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</si>
  <si>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</si>
  <si>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</si>
  <si>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</si>
  <si>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</si>
  <si>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</si>
  <si>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</si>
  <si>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</si>
  <si>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</si>
  <si>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</si>
  <si>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</si>
  <si>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</si>
  <si>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</si>
  <si>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</si>
  <si>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</si>
  <si>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</si>
  <si>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</si>
  <si>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</si>
  <si>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</si>
  <si>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</si>
  <si>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</si>
  <si>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</si>
  <si>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</si>
  <si>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</si>
  <si>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</si>
  <si>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</si>
  <si>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</si>
  <si>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</si>
  <si>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</si>
  <si>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</si>
  <si>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</si>
  <si>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</si>
  <si>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</si>
  <si>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</si>
  <si>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</si>
  <si>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</si>
  <si>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</si>
  <si>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</si>
  <si>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</si>
  <si>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</si>
  <si>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</si>
  <si>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</si>
  <si>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</si>
  <si>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</si>
  <si>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</si>
  <si>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</si>
  <si>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</si>
  <si>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</si>
  <si>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</si>
  <si>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</si>
  <si>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</si>
  <si>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</si>
  <si>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</si>
  <si>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</si>
  <si>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</si>
  <si>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</si>
  <si>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</si>
  <si>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</si>
  <si>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</si>
  <si>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</si>
  <si>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</si>
  <si>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</si>
  <si>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</si>
  <si>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</si>
  <si>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</si>
  <si>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</si>
  <si>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</si>
  <si>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</si>
  <si>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</si>
  <si>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</si>
  <si>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</si>
  <si>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</si>
  <si>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</si>
  <si>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</si>
  <si>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</si>
  <si>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</si>
  <si>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</si>
  <si>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</si>
  <si>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</si>
  <si>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</si>
  <si>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</si>
  <si>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</si>
  <si>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</si>
  <si>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</si>
  <si>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</si>
  <si>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</si>
  <si>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</si>
  <si>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</si>
  <si>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</si>
  <si>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</si>
  <si>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</si>
  <si>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</si>
  <si>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</si>
  <si>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</si>
  <si>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</si>
  <si>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</si>
  <si>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</si>
  <si>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</si>
  <si>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</si>
  <si>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</si>
  <si>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</si>
  <si>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</si>
  <si>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</si>
  <si>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</si>
  <si>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</si>
  <si>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</si>
  <si>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</si>
  <si>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</si>
  <si>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</si>
  <si>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</si>
  <si>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</si>
  <si>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</si>
  <si>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</si>
  <si>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</si>
  <si>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</si>
  <si>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</si>
  <si>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</si>
  <si>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</si>
  <si>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</si>
  <si>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</si>
  <si>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</si>
  <si>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</si>
  <si>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</si>
  <si>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</si>
  <si>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</si>
  <si>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</si>
  <si>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</si>
  <si>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</si>
  <si>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</si>
  <si>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</si>
  <si>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</si>
  <si>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</si>
  <si>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</si>
  <si>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</si>
  <si>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</si>
  <si>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</si>
  <si>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</si>
  <si>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</si>
  <si>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</si>
  <si>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</si>
  <si>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</si>
  <si>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</si>
  <si>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</si>
  <si>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</si>
  <si>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</si>
  <si>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</si>
  <si>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</si>
  <si>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</si>
  <si>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</si>
  <si>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</si>
  <si>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</si>
  <si>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</si>
  <si>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</si>
  <si>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</si>
  <si>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</si>
  <si>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</si>
  <si>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</si>
  <si>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</si>
  <si>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</si>
  <si>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</si>
  <si>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</si>
  <si>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</si>
  <si>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</si>
  <si>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</si>
  <si>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</si>
  <si>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</si>
  <si>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</si>
  <si>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</si>
  <si>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</si>
  <si>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</si>
  <si>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</si>
  <si>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</si>
  <si>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</si>
  <si>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</si>
  <si>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</si>
  <si>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</si>
  <si>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</si>
  <si>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</si>
  <si>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</si>
  <si>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</si>
  <si>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</si>
  <si>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</si>
  <si>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</si>
  <si>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</si>
  <si>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</si>
  <si>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</si>
  <si>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</si>
  <si>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</si>
  <si>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</si>
  <si>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</si>
  <si>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</si>
  <si>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</si>
  <si>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</si>
  <si>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</si>
  <si>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</si>
  <si>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</si>
  <si>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</si>
  <si>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</si>
  <si>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</si>
  <si>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</si>
  <si>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</si>
  <si>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</si>
  <si>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</si>
  <si>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</si>
  <si>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</si>
  <si>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</si>
  <si>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</si>
  <si>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</si>
  <si>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</si>
  <si>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</si>
  <si>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</si>
  <si>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</si>
  <si>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</si>
  <si>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</si>
  <si>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</si>
  <si>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</si>
  <si>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</si>
  <si>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</si>
  <si>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</si>
  <si>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</si>
  <si>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</si>
  <si>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</si>
  <si>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</si>
  <si>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</si>
  <si>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</si>
  <si>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</si>
  <si>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</si>
  <si>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</si>
  <si>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</si>
  <si>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</si>
  <si>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</si>
  <si>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</si>
  <si>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</si>
  <si>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</si>
  <si>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</si>
  <si>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</si>
  <si>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</si>
  <si>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</si>
  <si>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</si>
  <si>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</si>
  <si>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</si>
  <si>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</si>
  <si>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</si>
  <si>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</si>
  <si>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</si>
  <si>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</si>
  <si>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</si>
  <si>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</si>
  <si>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</si>
  <si>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</si>
  <si>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</si>
  <si>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</si>
  <si>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</si>
  <si>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</si>
  <si>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</si>
  <si>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</si>
  <si>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</si>
  <si>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</si>
  <si>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</si>
  <si>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</si>
  <si>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</si>
  <si>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</si>
  <si>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</si>
  <si>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</si>
  <si>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</si>
  <si>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</si>
  <si>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</si>
  <si>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</si>
  <si>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</si>
  <si>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</si>
  <si>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</si>
  <si>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</si>
  <si>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</si>
  <si>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</si>
  <si>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</si>
  <si>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</si>
  <si>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</si>
  <si>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</si>
  <si>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</si>
  <si>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</si>
  <si>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</si>
  <si>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</si>
  <si>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</si>
  <si>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</si>
  <si>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</si>
  <si>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</si>
  <si>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</si>
  <si>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</si>
  <si>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</si>
  <si>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</si>
  <si>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</si>
  <si>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</si>
  <si>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</si>
  <si>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</si>
  <si>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</si>
  <si>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</si>
  <si>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</si>
  <si>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</si>
  <si>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</si>
  <si>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</si>
  <si>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</si>
  <si>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</si>
  <si>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</si>
  <si>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</si>
  <si>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</si>
  <si>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</si>
  <si>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</si>
  <si>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</si>
  <si>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</si>
  <si>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</si>
  <si>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</si>
  <si>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</si>
  <si>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</si>
  <si>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</si>
  <si>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</si>
  <si>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</si>
  <si>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</si>
  <si>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</si>
  <si>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</si>
  <si>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</si>
  <si>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</si>
  <si>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</si>
  <si>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</si>
  <si>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</si>
  <si>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</si>
  <si>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</si>
  <si>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</si>
  <si>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</si>
  <si>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</si>
  <si>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</si>
  <si>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</si>
  <si>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</si>
  <si>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</si>
  <si>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</si>
  <si>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</si>
  <si>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</si>
  <si>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</si>
  <si>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</si>
  <si>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</si>
  <si>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</si>
  <si>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</si>
  <si>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</si>
  <si>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</si>
  <si>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</si>
  <si>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</si>
  <si>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</si>
  <si>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</si>
  <si>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</si>
  <si>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</si>
  <si>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</si>
  <si>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</si>
  <si>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</si>
  <si>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</si>
  <si>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</si>
  <si>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</si>
  <si>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</si>
  <si>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</si>
  <si>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</si>
  <si>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</si>
  <si>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</si>
  <si>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</si>
  <si>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</si>
  <si>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</si>
  <si>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</si>
  <si>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</si>
  <si>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</si>
  <si>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</si>
  <si>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</si>
  <si>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</si>
  <si>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</si>
  <si>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</si>
  <si>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</si>
  <si>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</si>
  <si>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</si>
  <si>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</si>
  <si>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</si>
  <si>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</si>
  <si>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</si>
  <si>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</si>
  <si>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</si>
  <si>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</si>
  <si>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</si>
  <si>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</si>
  <si>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</si>
  <si>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</si>
  <si>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</si>
  <si>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</si>
  <si>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</si>
  <si>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</si>
  <si>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</si>
  <si>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</si>
  <si>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</si>
  <si>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</si>
  <si>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</si>
  <si>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</si>
  <si>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</si>
  <si>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</si>
  <si>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</si>
  <si>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</si>
  <si>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</si>
  <si>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</si>
  <si>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</si>
  <si>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</si>
  <si>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</si>
  <si>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</si>
  <si>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</si>
  <si>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</si>
  <si>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</si>
  <si>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</si>
  <si>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</si>
  <si>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</si>
  <si>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</si>
  <si>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</si>
  <si>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</si>
  <si>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</si>
  <si>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</si>
  <si>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</si>
  <si>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</si>
  <si>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</si>
  <si>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</si>
  <si>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</si>
  <si>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</si>
  <si>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</si>
  <si>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</si>
  <si>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</si>
  <si>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</si>
  <si>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</si>
  <si>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</si>
  <si>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</si>
  <si>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</si>
  <si>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</si>
  <si>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</si>
  <si>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</si>
  <si>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</si>
  <si>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</si>
  <si>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</si>
  <si>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</si>
  <si>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</si>
  <si>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</si>
  <si>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</si>
  <si>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</si>
  <si>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</si>
  <si>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</si>
  <si>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</si>
  <si>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</si>
  <si>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</si>
  <si>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</si>
  <si>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</si>
  <si>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</si>
  <si>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</si>
  <si>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</si>
  <si>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</si>
  <si>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</si>
  <si>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</si>
  <si>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</si>
  <si>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</si>
  <si>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</si>
  <si>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</si>
  <si>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</si>
  <si>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</si>
  <si>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</si>
  <si>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</si>
  <si>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</si>
  <si>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</si>
  <si>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</si>
  <si>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</si>
  <si>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</si>
  <si>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</si>
  <si>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</si>
  <si>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</si>
  <si>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</si>
  <si>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</si>
  <si>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</si>
  <si>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</si>
  <si>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</si>
  <si>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</si>
  <si>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</si>
  <si>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</si>
  <si>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</si>
  <si>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</si>
  <si>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</si>
  <si>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</si>
  <si>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</si>
  <si>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</si>
  <si>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</si>
  <si>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</si>
  <si>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</si>
  <si>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</si>
  <si>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</si>
  <si>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</si>
  <si>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</si>
  <si>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</si>
  <si>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</si>
  <si>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</si>
  <si>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</si>
  <si>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</si>
  <si>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</si>
  <si>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</si>
  <si>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</si>
  <si>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</si>
  <si>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</si>
  <si>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</si>
  <si>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</si>
  <si>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</si>
  <si>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</si>
  <si>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</si>
  <si>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</si>
  <si>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</si>
  <si>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</si>
  <si>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</si>
  <si>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</si>
  <si>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</si>
  <si>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</si>
  <si>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</si>
  <si>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</si>
  <si>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</si>
  <si>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</si>
  <si>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</si>
  <si>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</si>
  <si>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</si>
  <si>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</si>
  <si>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</si>
  <si>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</si>
  <si>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</si>
  <si>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</si>
  <si>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</si>
  <si>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</si>
  <si>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</si>
  <si>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</si>
  <si>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</si>
  <si>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</si>
  <si>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</si>
  <si>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</si>
  <si>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</si>
  <si>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</si>
  <si>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</si>
  <si>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</si>
  <si>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</si>
  <si>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</si>
  <si>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</si>
  <si>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</si>
  <si>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</si>
  <si>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</si>
  <si>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</si>
  <si>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</si>
  <si>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</si>
  <si>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</si>
  <si>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</si>
  <si>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</si>
  <si>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</si>
  <si>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</si>
  <si>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</si>
  <si>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</si>
  <si>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</si>
  <si>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</si>
  <si>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</si>
  <si>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</si>
  <si>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</si>
  <si>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</si>
  <si>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</si>
  <si>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</si>
  <si>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</si>
  <si>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</si>
  <si>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</si>
  <si>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</si>
  <si>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</si>
  <si>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</si>
  <si>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</si>
  <si>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</si>
  <si>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</si>
  <si>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</si>
  <si>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</si>
  <si>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</si>
  <si>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</si>
  <si>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</si>
  <si>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</si>
  <si>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</si>
  <si>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</si>
  <si>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</si>
  <si>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</si>
  <si>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</si>
  <si>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</si>
  <si>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</si>
  <si>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</si>
  <si>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</si>
  <si>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</si>
  <si>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</si>
  <si>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</si>
  <si>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</si>
  <si>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</si>
  <si>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</si>
  <si>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</si>
  <si>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</si>
  <si>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</si>
  <si>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</si>
  <si>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</si>
  <si>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</si>
  <si>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</si>
  <si>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</si>
  <si>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</si>
  <si>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</si>
  <si>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</si>
  <si>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</si>
  <si>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</si>
  <si>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</si>
  <si>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</si>
  <si>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</si>
  <si>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</si>
  <si>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</si>
  <si>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</si>
  <si>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</si>
  <si>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</si>
  <si>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</si>
  <si>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</si>
  <si>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</si>
  <si>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</si>
  <si>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</si>
  <si>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</si>
  <si>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</si>
  <si>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</si>
  <si>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</si>
  <si>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</si>
  <si>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</si>
  <si>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</si>
  <si>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</si>
  <si>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</si>
  <si>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</si>
  <si>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</si>
  <si>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</si>
  <si>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</si>
  <si>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</si>
  <si>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</si>
  <si>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</si>
  <si>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</si>
  <si>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</si>
  <si>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</si>
  <si>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</si>
  <si>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</si>
  <si>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</si>
  <si>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</si>
  <si>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</si>
  <si>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</si>
  <si>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</si>
  <si>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</si>
  <si>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</si>
  <si>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</si>
  <si>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</si>
  <si>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</si>
  <si>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</si>
  <si>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</si>
  <si>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</si>
  <si>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</si>
  <si>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</si>
  <si>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</si>
  <si>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</si>
  <si>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</si>
  <si>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</si>
  <si>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</si>
  <si>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</si>
  <si>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</si>
  <si>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</si>
  <si>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</si>
  <si>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</si>
  <si>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</si>
  <si>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</si>
  <si>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</si>
  <si>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</si>
  <si>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</si>
  <si>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</si>
  <si>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</si>
  <si>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</si>
  <si>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</si>
  <si>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</si>
  <si>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</si>
  <si>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</si>
  <si>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</si>
  <si>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</si>
  <si>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</si>
  <si>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</si>
  <si>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</si>
  <si>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</si>
  <si>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</si>
  <si>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</si>
  <si>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</si>
  <si>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</si>
  <si>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</si>
  <si>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</si>
  <si>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</si>
  <si>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</si>
  <si>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</si>
  <si>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</si>
  <si>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</si>
  <si>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</si>
  <si>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</si>
  <si>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</si>
  <si>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</si>
  <si>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</si>
  <si>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</si>
  <si>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</si>
  <si>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</si>
  <si>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</si>
  <si>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</si>
  <si>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</si>
  <si>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</si>
  <si>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</si>
  <si>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</si>
  <si>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</si>
  <si>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</si>
  <si>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</si>
  <si>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</si>
  <si>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</si>
  <si>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</si>
  <si>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</si>
  <si>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</si>
  <si>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</si>
  <si>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</si>
  <si>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</si>
  <si>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</si>
  <si>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</si>
  <si>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</si>
  <si>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</si>
  <si>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</si>
  <si>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</si>
  <si>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</si>
  <si>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</si>
  <si>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</si>
  <si>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</si>
  <si>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</si>
  <si>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</si>
  <si>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</si>
  <si>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</si>
  <si>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</si>
  <si>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</si>
  <si>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</si>
  <si>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</si>
  <si>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</si>
  <si>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</si>
  <si>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</si>
  <si>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</si>
  <si>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</si>
  <si>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</si>
  <si>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</si>
  <si>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</si>
  <si>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</si>
  <si>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</si>
  <si>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</si>
  <si>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</si>
  <si>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</si>
  <si>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</si>
  <si>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</si>
  <si>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</si>
  <si>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</si>
  <si>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</si>
  <si>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</si>
  <si>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</si>
  <si>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</si>
  <si>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</si>
  <si>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</si>
  <si>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</si>
  <si>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</si>
  <si>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</si>
  <si>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</si>
  <si>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</si>
  <si>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</si>
  <si>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</si>
  <si>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</si>
  <si>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</si>
  <si>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</si>
  <si>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</si>
  <si>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</si>
  <si>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</si>
  <si>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</si>
  <si>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</si>
  <si>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</si>
  <si>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</si>
  <si>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</si>
  <si>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</si>
  <si>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</si>
  <si>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</si>
  <si>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</si>
  <si>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</si>
  <si>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</si>
  <si>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</si>
  <si>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</si>
  <si>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</si>
  <si>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</si>
  <si>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</si>
  <si>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</si>
  <si>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</si>
  <si>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</si>
  <si>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</si>
  <si>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</si>
  <si>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</si>
  <si>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</si>
  <si>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</si>
  <si>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</si>
  <si>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</si>
  <si>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</si>
  <si>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</si>
  <si>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</si>
  <si>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</si>
  <si>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</si>
  <si>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</si>
  <si>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</si>
  <si>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</si>
  <si>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</si>
  <si>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</si>
  <si>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</si>
  <si>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</si>
  <si>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</si>
  <si>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</si>
  <si>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</si>
  <si>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</si>
  <si>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</si>
  <si>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</si>
  <si>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</si>
  <si>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</si>
  <si>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</si>
  <si>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</si>
  <si>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</si>
  <si>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</si>
  <si>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</si>
  <si>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</si>
  <si>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</si>
  <si>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</si>
  <si>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</si>
  <si>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</si>
  <si>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</si>
  <si>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</si>
  <si>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</si>
  <si>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</si>
  <si>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</si>
  <si>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</si>
  <si>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</si>
  <si>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</si>
  <si>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</si>
  <si>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</si>
  <si>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</si>
  <si>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</si>
  <si>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</si>
  <si>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</si>
  <si>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</si>
  <si>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</si>
  <si>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</si>
  <si>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</si>
  <si>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</si>
  <si>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</si>
  <si>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</si>
  <si>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</si>
  <si>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</si>
  <si>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</si>
  <si>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</si>
  <si>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</si>
  <si>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</si>
  <si>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</si>
  <si>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</si>
  <si>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</si>
  <si>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</si>
  <si>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</si>
  <si>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</si>
  <si>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</si>
  <si>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</si>
  <si>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</si>
  <si>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</si>
  <si>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</si>
  <si>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</si>
  <si>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</si>
  <si>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</si>
  <si>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</si>
  <si>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</si>
  <si>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</si>
  <si>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</si>
  <si>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</si>
  <si>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</si>
  <si>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</si>
  <si>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</si>
  <si>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</si>
  <si>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</si>
  <si>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</si>
  <si>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</si>
  <si>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</si>
  <si>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</si>
  <si>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</si>
  <si>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</si>
  <si>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</si>
  <si>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</si>
  <si>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</si>
  <si>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</si>
  <si>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</si>
  <si>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</si>
  <si>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</si>
  <si>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</si>
  <si>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</si>
  <si>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</si>
  <si>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</si>
  <si>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</si>
  <si>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</si>
  <si>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</si>
  <si>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</si>
  <si>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</si>
  <si>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</si>
  <si>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</si>
  <si>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</si>
  <si>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</si>
  <si>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</si>
  <si>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</si>
  <si>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</si>
  <si>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</si>
  <si>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</si>
  <si>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</si>
  <si>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</si>
  <si>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</si>
  <si>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</si>
  <si>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</si>
  <si>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</si>
  <si>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</si>
  <si>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</si>
  <si>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</si>
  <si>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</si>
  <si>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</si>
  <si>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</si>
  <si>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</si>
  <si>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</si>
  <si>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</si>
  <si>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</si>
  <si>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</si>
  <si>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</si>
  <si>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</si>
  <si>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</si>
  <si>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</si>
  <si>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</si>
  <si>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</si>
  <si>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</si>
  <si>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</si>
  <si>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</si>
  <si>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</si>
  <si>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</si>
  <si>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</si>
  <si>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</si>
  <si>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</si>
  <si>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</si>
  <si>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</si>
  <si>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</si>
  <si>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</si>
  <si>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</si>
  <si>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</si>
  <si>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</si>
  <si>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</si>
  <si>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</si>
  <si>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</si>
  <si>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</si>
  <si>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</si>
  <si>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</si>
  <si>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</si>
  <si>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</si>
  <si>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</si>
  <si>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</si>
  <si>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</si>
  <si>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</si>
  <si>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</si>
  <si>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</si>
  <si>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</si>
  <si>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</si>
  <si>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</si>
  <si>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</si>
  <si>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</si>
  <si>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</si>
  <si>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</si>
  <si>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</si>
  <si>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</si>
  <si>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</si>
  <si>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</si>
  <si>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</si>
  <si>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</si>
  <si>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</si>
  <si>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</si>
  <si>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</si>
  <si>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</si>
  <si>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</si>
  <si>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</si>
  <si>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</si>
  <si>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</si>
  <si>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</si>
  <si>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</si>
  <si>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</si>
  <si>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</si>
  <si>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</si>
  <si>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</si>
  <si>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</si>
  <si>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</si>
  <si>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</si>
  <si>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</si>
  <si>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</si>
  <si>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</si>
  <si>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</si>
  <si>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</si>
  <si>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</si>
  <si>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</si>
  <si>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</si>
  <si>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</si>
  <si>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</si>
  <si>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</si>
  <si>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</si>
  <si>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</si>
  <si>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</si>
  <si>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</si>
  <si>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</si>
  <si>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</si>
  <si>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</si>
  <si>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</si>
  <si>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</si>
  <si>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</si>
  <si>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</si>
  <si>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</si>
  <si>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</si>
  <si>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</si>
  <si>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</si>
  <si>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</si>
  <si>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</si>
  <si>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</si>
  <si>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</si>
  <si>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</si>
  <si>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</si>
  <si>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</si>
  <si>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</si>
  <si>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</si>
  <si>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</si>
  <si>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</si>
  <si>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</si>
  <si>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</si>
  <si>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</si>
  <si>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</si>
  <si>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</si>
  <si>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</si>
  <si>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</si>
  <si>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</si>
  <si>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</si>
  <si>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</si>
  <si>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</si>
  <si>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</si>
  <si>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</si>
  <si>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</si>
  <si>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</si>
  <si>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</si>
  <si>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</si>
  <si>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</si>
  <si>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</si>
  <si>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</si>
  <si>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</si>
  <si>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</si>
  <si>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</si>
  <si>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</si>
  <si>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</si>
  <si>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</si>
  <si>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</si>
  <si>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</si>
  <si>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</si>
  <si>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</si>
  <si>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</si>
  <si>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</si>
  <si>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</si>
  <si>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</si>
  <si>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</si>
  <si>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</si>
  <si>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</si>
  <si>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</si>
  <si>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</si>
  <si>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</si>
  <si>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</si>
  <si>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</si>
  <si>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</si>
  <si>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</si>
  <si>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</si>
  <si>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</si>
  <si>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</si>
  <si>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</si>
  <si>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</si>
  <si>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</si>
  <si>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</si>
  <si>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</si>
  <si>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</si>
  <si>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</si>
  <si>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</si>
  <si>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</si>
  <si>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</si>
  <si>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</si>
  <si>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</si>
  <si>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</si>
  <si>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</si>
  <si>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</si>
  <si>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</si>
  <si>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</si>
  <si>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</si>
  <si>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</si>
  <si>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</si>
  <si>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</si>
  <si>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</si>
  <si>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</si>
  <si>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</si>
  <si>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</si>
  <si>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</si>
  <si>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</si>
  <si>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</si>
  <si>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</si>
  <si>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</si>
  <si>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</si>
  <si>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</si>
  <si>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</si>
  <si>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</si>
  <si>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</si>
  <si>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</si>
  <si>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</si>
  <si>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</si>
  <si>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</si>
  <si>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</si>
  <si>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</si>
  <si>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</si>
  <si>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</si>
  <si>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</si>
  <si>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</si>
  <si>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</si>
  <si>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</si>
  <si>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</si>
  <si>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</si>
  <si>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</si>
  <si>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</si>
  <si>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</si>
  <si>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</si>
  <si>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</si>
  <si>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</si>
  <si>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</si>
  <si>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</si>
  <si>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</si>
  <si>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</si>
  <si>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</si>
  <si>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</si>
  <si>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</si>
  <si>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</si>
  <si>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</si>
  <si>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</si>
  <si>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</si>
  <si>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</si>
  <si>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</si>
  <si>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</si>
  <si>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</si>
  <si>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</si>
  <si>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</si>
  <si>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</si>
  <si>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</si>
  <si>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</si>
  <si>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</si>
  <si>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</si>
  <si>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</si>
  <si>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</si>
  <si>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</si>
  <si>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</si>
  <si>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</si>
  <si>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</si>
  <si>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</si>
  <si>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</si>
  <si>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</si>
  <si>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</si>
  <si>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</si>
  <si>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</si>
  <si>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</si>
  <si>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</si>
  <si>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</si>
  <si>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</si>
  <si>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</si>
  <si>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</si>
  <si>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</si>
  <si>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</si>
  <si>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</si>
  <si>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</si>
  <si>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</si>
  <si>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</si>
  <si>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</si>
  <si>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</si>
  <si>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</si>
  <si>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</si>
  <si>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</si>
  <si>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</si>
  <si>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</si>
  <si>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</si>
  <si>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</si>
  <si>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</si>
  <si>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</si>
  <si>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</si>
  <si>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</si>
  <si>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</si>
  <si>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</si>
  <si>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</si>
  <si>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</si>
  <si>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</si>
  <si>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</si>
  <si>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</si>
  <si>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</si>
  <si>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</si>
  <si>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</si>
  <si>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</si>
  <si>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</si>
  <si>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</si>
  <si>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</si>
  <si>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</si>
  <si>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</si>
  <si>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</si>
  <si>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</si>
  <si>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</si>
  <si>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</si>
  <si>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</si>
  <si>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</si>
  <si>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</si>
  <si>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</si>
  <si>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</si>
  <si>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</si>
  <si>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</si>
  <si>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</si>
  <si>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</si>
  <si>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</si>
  <si>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</si>
  <si>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</si>
  <si>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</si>
  <si>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</si>
  <si>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</si>
  <si>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</si>
  <si>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</si>
  <si>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</si>
  <si>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</si>
  <si>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</si>
  <si>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</si>
  <si>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</si>
  <si>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</si>
  <si>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</si>
  <si>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</si>
  <si>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</si>
  <si>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</si>
  <si>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</si>
  <si>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</si>
  <si>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</si>
  <si>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</si>
  <si>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</si>
  <si>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</si>
  <si>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</si>
  <si>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</si>
  <si>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</si>
  <si>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</si>
  <si>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</si>
  <si>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</si>
  <si>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</si>
  <si>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</si>
  <si>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</si>
  <si>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</si>
  <si>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</si>
  <si>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</si>
  <si>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</si>
  <si>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</si>
  <si>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</si>
  <si>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</si>
  <si>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</si>
  <si>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</si>
  <si>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</si>
  <si>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</si>
  <si>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</si>
  <si>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</si>
  <si>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</si>
  <si>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</si>
  <si>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</si>
  <si>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</si>
  <si>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</si>
  <si>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</si>
  <si>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</si>
  <si>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</si>
  <si>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</si>
  <si>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</si>
  <si>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</si>
  <si>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</si>
  <si>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</si>
  <si>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</si>
  <si>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</si>
  <si>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</si>
  <si>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</si>
  <si>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</si>
  <si>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</si>
  <si>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</si>
  <si>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</si>
  <si>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</si>
  <si>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</si>
  <si>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</si>
  <si>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</si>
  <si>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</si>
  <si>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</si>
  <si>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</si>
  <si>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</si>
  <si>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</si>
  <si>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</si>
  <si>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</si>
  <si>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</si>
  <si>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</si>
  <si>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</si>
  <si>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</si>
  <si>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</si>
  <si>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</si>
  <si>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</si>
  <si>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</si>
  <si>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</si>
  <si>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</si>
  <si>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</si>
  <si>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</si>
  <si>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</si>
  <si>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</si>
  <si>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</si>
  <si>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</si>
  <si>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</si>
  <si>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</si>
  <si>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</si>
  <si>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</si>
  <si>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</si>
  <si>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</si>
  <si>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</si>
  <si>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</si>
  <si>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</si>
  <si>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</si>
  <si>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</si>
  <si>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</si>
  <si>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</si>
  <si>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</si>
  <si>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</si>
  <si>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</si>
  <si>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</si>
  <si>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</si>
  <si>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</si>
  <si>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</si>
  <si>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</si>
  <si>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</si>
  <si>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</si>
  <si>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</si>
  <si>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</si>
  <si>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</si>
  <si>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</si>
  <si>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</si>
  <si>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</si>
  <si>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</si>
  <si>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</si>
  <si>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</si>
  <si>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</si>
  <si>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</si>
  <si>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</si>
  <si>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</si>
  <si>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</si>
  <si>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</si>
  <si>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</si>
  <si>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</si>
  <si>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</si>
  <si>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</si>
  <si>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</si>
  <si>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</si>
  <si>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</si>
  <si>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</si>
  <si>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</si>
  <si>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</si>
  <si>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</si>
  <si>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</si>
  <si>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</si>
  <si>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</si>
  <si>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</si>
  <si>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</si>
  <si>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</si>
  <si>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</si>
  <si>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</si>
  <si>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</si>
  <si>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</si>
  <si>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</si>
  <si>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</si>
  <si>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</si>
  <si>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</si>
  <si>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</si>
  <si>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</si>
  <si>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</si>
  <si>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</si>
  <si>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</si>
  <si>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</si>
  <si>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</si>
  <si>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</si>
  <si>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</si>
  <si>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</si>
  <si>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</si>
  <si>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</si>
  <si>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</si>
  <si>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</si>
  <si>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</si>
  <si>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</si>
  <si>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</si>
  <si>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</si>
  <si>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</si>
  <si>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</si>
  <si>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</si>
  <si>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</si>
  <si>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</si>
  <si>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</si>
  <si>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</si>
  <si>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</si>
  <si>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</si>
  <si>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</si>
  <si>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</si>
  <si>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</si>
  <si>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</si>
  <si>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</si>
  <si>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</si>
  <si>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</si>
  <si>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</si>
  <si>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</si>
  <si>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</si>
  <si>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</si>
  <si>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</si>
  <si>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</si>
  <si>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</si>
  <si>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</si>
  <si>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</si>
  <si>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</si>
  <si>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</si>
  <si>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</si>
  <si>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</si>
  <si>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</si>
  <si>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</si>
  <si>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</si>
  <si>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</si>
  <si>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</si>
  <si>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</si>
  <si>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</si>
  <si>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</si>
  <si>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</si>
  <si>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</si>
  <si>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</si>
  <si>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</si>
  <si>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</si>
  <si>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</si>
  <si>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</si>
  <si>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</si>
  <si>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</si>
  <si>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</si>
  <si>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</si>
  <si>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</si>
  <si>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</si>
  <si>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</si>
  <si>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</si>
  <si>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</si>
  <si>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</si>
  <si>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</si>
  <si>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</si>
  <si>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</si>
  <si>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</si>
  <si>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</si>
  <si>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</si>
  <si>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</si>
  <si>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</si>
  <si>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</si>
  <si>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</si>
  <si>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</si>
  <si>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</si>
  <si>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</si>
  <si>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</si>
  <si>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</si>
  <si>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</si>
  <si>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</si>
  <si>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</si>
  <si>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</si>
  <si>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</si>
  <si>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</si>
  <si>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</si>
  <si>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</si>
  <si>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</si>
  <si>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</si>
  <si>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</si>
  <si>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</si>
  <si>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</si>
  <si>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</si>
  <si>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</si>
  <si>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</si>
  <si>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</si>
  <si>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</si>
  <si>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</si>
  <si>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</si>
  <si>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</si>
  <si>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</si>
  <si>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</si>
  <si>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</si>
  <si>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</si>
  <si>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</si>
  <si>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</si>
  <si>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</si>
  <si>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</si>
  <si>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</si>
  <si>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</si>
  <si>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</si>
  <si>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</si>
  <si>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</si>
  <si>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</si>
  <si>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</si>
  <si>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</si>
  <si>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</si>
  <si>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</si>
  <si>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</si>
  <si>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</si>
  <si>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</si>
  <si>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</si>
  <si>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</si>
  <si>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</si>
  <si>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</si>
  <si>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</si>
  <si>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</si>
  <si>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</si>
  <si>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</si>
  <si>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</si>
  <si>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</si>
  <si>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</si>
  <si>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</si>
  <si>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</si>
  <si>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</si>
  <si>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</si>
  <si>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</si>
  <si>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</si>
  <si>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</si>
  <si>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</si>
  <si>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</si>
  <si>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</si>
  <si>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</si>
  <si>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</si>
  <si>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</si>
  <si>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</si>
  <si>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</si>
  <si>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</si>
  <si>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</si>
  <si>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</si>
  <si>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</si>
  <si>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</si>
  <si>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</si>
  <si>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</si>
  <si>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</si>
  <si>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</si>
  <si>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</si>
  <si>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</si>
  <si>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</si>
  <si>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</si>
  <si>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</si>
  <si>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</si>
  <si>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</si>
  <si>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</si>
  <si>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</si>
  <si>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</si>
  <si>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</si>
  <si>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</si>
  <si>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</si>
  <si>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</si>
  <si>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</si>
  <si>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</si>
  <si>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</si>
  <si>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</si>
  <si>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</si>
  <si>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</si>
  <si>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</si>
  <si>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</si>
  <si>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</si>
  <si>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</si>
  <si>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</si>
  <si>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</si>
  <si>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</si>
  <si>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</si>
  <si>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</si>
  <si>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</si>
  <si>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</si>
  <si>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</si>
  <si>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</si>
  <si>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</si>
  <si>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</si>
  <si>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</si>
  <si>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</si>
  <si>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</si>
  <si>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</si>
  <si>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</si>
  <si>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</si>
  <si>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</si>
  <si>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</si>
  <si>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</si>
  <si>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</si>
  <si>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</si>
  <si>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</si>
  <si>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</si>
  <si>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</si>
  <si>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</si>
  <si>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</si>
  <si>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</si>
  <si>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</si>
  <si>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</si>
  <si>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</si>
  <si>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</si>
  <si>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</si>
  <si>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</si>
  <si>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</si>
  <si>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</si>
  <si>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</si>
  <si>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</si>
  <si>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</si>
  <si>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</si>
  <si>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</si>
  <si>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</si>
  <si>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</si>
  <si>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</si>
  <si>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</si>
  <si>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</si>
  <si>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</si>
  <si>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</si>
  <si>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</si>
  <si>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</si>
  <si>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</si>
  <si>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</si>
  <si>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</si>
  <si>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</si>
  <si>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</si>
  <si>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</si>
  <si>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</si>
  <si>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</si>
  <si>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</si>
  <si>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</si>
  <si>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</si>
  <si>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</si>
  <si>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</si>
  <si>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</si>
  <si>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</si>
  <si>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</si>
  <si>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</si>
  <si>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</si>
  <si>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</si>
  <si>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</si>
  <si>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</si>
  <si>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</si>
  <si>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</si>
  <si>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</si>
  <si>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</si>
  <si>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</si>
  <si>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</si>
  <si>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</si>
  <si>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</si>
  <si>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</si>
  <si>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</si>
  <si>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</si>
  <si>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</si>
  <si>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</si>
  <si>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</si>
  <si>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</si>
  <si>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</si>
  <si>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</si>
  <si>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</si>
  <si>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</si>
  <si>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</si>
  <si>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</si>
  <si>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</si>
  <si>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</si>
  <si>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</si>
  <si>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</si>
  <si>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</si>
  <si>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</si>
  <si>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</si>
  <si>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</si>
  <si>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</si>
  <si>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</si>
  <si>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</si>
  <si>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</si>
  <si>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</si>
  <si>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</si>
  <si>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</si>
  <si>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</si>
  <si>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</si>
  <si>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</si>
  <si>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</si>
  <si>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</si>
  <si>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</si>
  <si>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</si>
  <si>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</si>
  <si>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</si>
  <si>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</si>
  <si>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</si>
  <si>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</si>
  <si>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</si>
  <si>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</si>
  <si>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</si>
  <si>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</si>
  <si>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</si>
  <si>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</si>
  <si>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</si>
  <si>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</si>
  <si>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</si>
  <si>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</si>
  <si>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</si>
  <si>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</si>
  <si>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</si>
  <si>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</si>
  <si>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</si>
  <si>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</si>
  <si>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</si>
  <si>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</si>
  <si>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</si>
  <si>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</si>
  <si>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</si>
  <si>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</si>
  <si>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</si>
  <si>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</si>
  <si>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</si>
  <si>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</si>
  <si>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</si>
  <si>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</si>
  <si>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</si>
  <si>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</si>
  <si>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</si>
  <si>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</si>
  <si>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</si>
  <si>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</si>
  <si>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</si>
  <si>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</si>
  <si>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</si>
  <si>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</si>
  <si>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</si>
  <si>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</si>
  <si>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</si>
  <si>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</si>
  <si>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</si>
  <si>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</si>
  <si>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</si>
  <si>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</si>
  <si>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</si>
  <si>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</si>
  <si>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</si>
  <si>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</si>
  <si>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</si>
  <si>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</si>
  <si>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</si>
  <si>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</si>
  <si>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</si>
  <si>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</si>
  <si>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</si>
  <si>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</si>
  <si>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</si>
  <si>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</si>
  <si>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</si>
  <si>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</si>
  <si>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</si>
  <si>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</si>
  <si>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</si>
  <si>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</si>
  <si>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</si>
  <si>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</si>
  <si>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</si>
  <si>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</si>
  <si>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</si>
  <si>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</si>
  <si>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</si>
  <si>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</si>
  <si>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</si>
  <si>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</si>
  <si>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</si>
  <si>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</si>
  <si>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</si>
  <si>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</si>
  <si>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</si>
  <si>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</si>
  <si>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</si>
  <si>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</si>
  <si>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</si>
  <si>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</si>
  <si>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</si>
  <si>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</si>
  <si>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</si>
  <si>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</si>
  <si>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</si>
  <si>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</si>
  <si>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</si>
  <si>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</si>
  <si>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</si>
  <si>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</si>
  <si>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</si>
  <si>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</si>
  <si>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</si>
  <si>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</si>
  <si>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</si>
  <si>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</si>
  <si>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</si>
  <si>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</si>
  <si>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</si>
  <si>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</si>
  <si>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</si>
  <si>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</si>
  <si>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</si>
  <si>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</si>
  <si>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</si>
  <si>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</si>
  <si>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</si>
  <si>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</si>
  <si>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</si>
  <si>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</si>
  <si>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</si>
  <si>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</si>
  <si>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</si>
  <si>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</si>
  <si>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</si>
  <si>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</si>
  <si>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</si>
  <si>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</si>
  <si>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</si>
  <si>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</si>
  <si>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</si>
  <si>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</si>
  <si>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</si>
  <si>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</si>
  <si>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</si>
  <si>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</si>
  <si>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</si>
  <si>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</si>
  <si>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</si>
  <si>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</si>
  <si>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</si>
  <si>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</si>
  <si>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</si>
  <si>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</si>
  <si>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</si>
  <si>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</si>
  <si>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</si>
  <si>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</si>
  <si>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</si>
  <si>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</si>
  <si>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</si>
  <si>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</si>
  <si>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</si>
  <si>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</si>
  <si>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</si>
  <si>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</si>
  <si>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</si>
  <si>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</si>
  <si>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</si>
  <si>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</si>
  <si>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</si>
  <si>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</si>
  <si>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</si>
  <si>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</si>
  <si>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</si>
  <si>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</si>
  <si>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</si>
  <si>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</si>
  <si>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</si>
  <si>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</si>
  <si>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</si>
  <si>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</si>
  <si>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</si>
  <si>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</si>
  <si>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</si>
  <si>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</si>
  <si>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</si>
  <si>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</si>
  <si>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</si>
  <si>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</si>
  <si>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</si>
  <si>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</si>
  <si>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</si>
  <si>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</si>
  <si>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</si>
  <si>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</si>
  <si>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</si>
  <si>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</si>
  <si>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</si>
  <si>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</si>
  <si>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</si>
  <si>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</si>
  <si>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</si>
  <si>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</si>
  <si>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</si>
  <si>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</si>
  <si>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</si>
  <si>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</si>
  <si>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</si>
  <si>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</si>
  <si>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</si>
  <si>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</si>
  <si>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</si>
  <si>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</si>
  <si>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</si>
  <si>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</si>
  <si>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</si>
  <si>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</si>
  <si>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</si>
  <si>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</si>
  <si>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</si>
  <si>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</si>
  <si>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</si>
  <si>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</si>
  <si>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</si>
  <si>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</si>
  <si>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</si>
  <si>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</si>
  <si>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</si>
  <si>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</si>
  <si>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</si>
  <si>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</si>
  <si>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</si>
  <si>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</si>
  <si>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</si>
  <si>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</si>
  <si>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</si>
  <si>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</si>
  <si>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</si>
  <si>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</si>
  <si>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</si>
  <si>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</si>
  <si>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</si>
  <si>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</si>
  <si>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</si>
  <si>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</si>
  <si>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</si>
  <si>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</si>
  <si>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</si>
  <si>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</si>
  <si>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</si>
  <si>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</si>
  <si>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</si>
  <si>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</si>
  <si>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</si>
  <si>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</si>
  <si>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</si>
  <si>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</si>
  <si>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</si>
  <si>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</si>
  <si>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</si>
  <si>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</si>
  <si>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</si>
  <si>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</si>
  <si>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</si>
  <si>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</si>
  <si>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</si>
  <si>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</si>
  <si>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</si>
  <si>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</si>
  <si>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</si>
  <si>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</si>
  <si>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</si>
  <si>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</si>
  <si>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</si>
  <si>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</si>
  <si>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</si>
  <si>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</si>
  <si>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</si>
  <si>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</si>
  <si>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</si>
  <si>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</si>
  <si>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</si>
  <si>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</si>
  <si>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</si>
  <si>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</si>
  <si>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</si>
  <si>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</si>
  <si>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</si>
  <si>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</si>
  <si>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</si>
  <si>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</si>
  <si>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</si>
  <si>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</si>
  <si>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</si>
  <si>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</si>
  <si>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</si>
  <si>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</si>
  <si>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</si>
  <si>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</si>
  <si>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</si>
  <si>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</si>
  <si>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</si>
  <si>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</si>
  <si>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</si>
  <si>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</si>
  <si>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</si>
  <si>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</si>
  <si>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</si>
  <si>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</si>
  <si>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</si>
  <si>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</si>
  <si>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</si>
  <si>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</si>
  <si>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</si>
  <si>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</si>
  <si>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</si>
  <si>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</si>
  <si>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</si>
  <si>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</si>
  <si>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</si>
  <si>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</si>
  <si>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</si>
  <si>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</si>
  <si>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</si>
  <si>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</si>
  <si>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</si>
  <si>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</si>
  <si>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</si>
  <si>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</si>
  <si>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</si>
  <si>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</si>
  <si>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</si>
  <si>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</si>
  <si>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</si>
  <si>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</si>
  <si>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</si>
  <si>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</si>
  <si>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</si>
  <si>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</si>
  <si>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</si>
  <si>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</si>
  <si>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</si>
  <si>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</si>
  <si>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</si>
  <si>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</si>
  <si>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</si>
  <si>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</si>
  <si>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</si>
  <si>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</si>
  <si>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</si>
  <si>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</si>
  <si>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</si>
  <si>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</si>
  <si>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</si>
  <si>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</si>
  <si>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</si>
  <si>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</si>
  <si>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</si>
  <si>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</si>
  <si>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</si>
  <si>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</si>
  <si>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</si>
  <si>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</si>
  <si>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</si>
  <si>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</si>
  <si>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</si>
  <si>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</si>
  <si>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</si>
  <si>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</si>
  <si>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</si>
  <si>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</si>
  <si>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</si>
  <si>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</si>
  <si>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</si>
  <si>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</si>
  <si>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</si>
  <si>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</si>
  <si>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</si>
  <si>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</si>
  <si>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</si>
  <si>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</si>
  <si>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</si>
  <si>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</si>
  <si>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</si>
  <si>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</si>
  <si>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</si>
  <si>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</si>
  <si>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</si>
  <si>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</si>
  <si>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</si>
  <si>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</si>
  <si>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</si>
  <si>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</si>
  <si>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</si>
  <si>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</si>
  <si>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</si>
  <si>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</si>
  <si>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</si>
  <si>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</si>
  <si>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</si>
  <si>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</si>
  <si>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</si>
  <si>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</si>
  <si>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</si>
  <si>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</si>
  <si>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</si>
  <si>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</si>
  <si>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</si>
  <si>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</si>
  <si>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</si>
  <si>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</si>
  <si>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</si>
  <si>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</si>
  <si>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</si>
  <si>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</si>
  <si>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</si>
  <si>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</si>
  <si>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</si>
  <si>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</si>
  <si>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</si>
  <si>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</si>
  <si>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</si>
  <si>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</si>
  <si>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</si>
  <si>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</si>
  <si>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</si>
  <si>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</si>
  <si>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</si>
  <si>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</si>
  <si>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</si>
  <si>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</si>
  <si>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</si>
  <si>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</si>
  <si>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</si>
  <si>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</si>
  <si>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</si>
  <si>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</si>
  <si>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</si>
  <si>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</si>
  <si>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</si>
  <si>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</si>
  <si>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</si>
  <si>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</si>
  <si>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</si>
  <si>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</si>
  <si>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</si>
  <si>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</si>
  <si>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</si>
  <si>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</si>
  <si>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</si>
  <si>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</si>
  <si>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</si>
  <si>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</si>
  <si>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</si>
  <si>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</si>
  <si>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</si>
  <si>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</si>
  <si>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</si>
  <si>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</si>
  <si>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</si>
  <si>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</si>
  <si>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</si>
  <si>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</si>
  <si>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</si>
  <si>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</si>
  <si>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</si>
  <si>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</si>
  <si>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</si>
  <si>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</si>
  <si>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</si>
  <si>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</si>
  <si>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</si>
  <si>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</si>
  <si>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</si>
  <si>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</si>
  <si>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</si>
  <si>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</si>
  <si>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</si>
  <si>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</si>
  <si>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</si>
  <si>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</si>
  <si>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</si>
  <si>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</si>
  <si>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</si>
  <si>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</si>
  <si>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</si>
  <si>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</si>
  <si>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</si>
  <si>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</si>
  <si>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</si>
  <si>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</si>
  <si>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</si>
  <si>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</si>
  <si>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</si>
  <si>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</si>
  <si>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</si>
  <si>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</si>
  <si>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</si>
  <si>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</si>
  <si>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</si>
  <si>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</si>
  <si>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</si>
  <si>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</si>
  <si>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</si>
  <si>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</si>
  <si>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</si>
  <si>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</si>
  <si>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</si>
  <si>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</si>
  <si>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</si>
  <si>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</si>
  <si>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</si>
  <si>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</si>
  <si>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</si>
  <si>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</si>
  <si>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</si>
  <si>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</si>
  <si>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</si>
  <si>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</si>
  <si>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</si>
  <si>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</si>
  <si>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</si>
  <si>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</si>
  <si>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</si>
  <si>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</si>
  <si>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</si>
  <si>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</si>
  <si>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</si>
  <si>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</si>
  <si>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</si>
  <si>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</si>
  <si>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</si>
  <si>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</si>
  <si>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</si>
  <si>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</si>
  <si>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</si>
  <si>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</si>
  <si>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</si>
  <si>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</si>
  <si>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</si>
  <si>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</si>
  <si>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</si>
  <si>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</si>
  <si>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</si>
  <si>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</si>
  <si>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</si>
  <si>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</si>
  <si>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</si>
  <si>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</si>
  <si>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</si>
  <si>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</si>
  <si>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</si>
  <si>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</si>
  <si>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</si>
  <si>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</si>
  <si>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</si>
  <si>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</si>
  <si>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</si>
  <si>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</si>
  <si>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</si>
  <si>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</si>
  <si>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</si>
  <si>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</si>
  <si>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</si>
  <si>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</si>
  <si>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</si>
  <si>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</si>
  <si>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</si>
  <si>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</si>
  <si>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</si>
  <si>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</si>
  <si>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</si>
  <si>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</si>
  <si>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</si>
  <si>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</si>
  <si>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</si>
  <si>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</si>
  <si>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</si>
  <si>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</si>
  <si>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</si>
  <si>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</si>
  <si>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</si>
  <si>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</si>
  <si>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</si>
  <si>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</si>
  <si>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</si>
  <si>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</si>
  <si>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</si>
  <si>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</si>
  <si>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</si>
  <si>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</si>
  <si>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</si>
  <si>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</si>
  <si>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</si>
  <si>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</si>
  <si>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</si>
  <si>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</si>
  <si>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</si>
  <si>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</si>
  <si>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</si>
  <si>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</si>
  <si>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</si>
  <si>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</si>
  <si>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</si>
  <si>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</si>
  <si>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</si>
  <si>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</si>
  <si>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</si>
  <si>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</si>
  <si>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</si>
  <si>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</si>
  <si>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</si>
  <si>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</si>
  <si>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</si>
  <si>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</si>
  <si>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</si>
  <si>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</si>
  <si>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</si>
  <si>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</si>
  <si>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</si>
  <si>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</si>
  <si>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</si>
  <si>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</si>
  <si>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</si>
  <si>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</si>
  <si>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</si>
  <si>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</si>
  <si>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</si>
  <si>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</si>
  <si>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</si>
  <si>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</si>
  <si>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</si>
  <si>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</si>
  <si>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</si>
  <si>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</si>
  <si>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</si>
  <si>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</si>
  <si>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</si>
  <si>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</si>
  <si>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</si>
  <si>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</si>
  <si>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</si>
  <si>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</si>
  <si>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</si>
  <si>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</si>
  <si>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</si>
  <si>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</si>
  <si>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</si>
  <si>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</si>
  <si>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</si>
  <si>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</si>
  <si>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</si>
  <si>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</si>
  <si>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</si>
  <si>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</si>
  <si>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</si>
  <si>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</si>
  <si>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</si>
  <si>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</si>
  <si>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</si>
  <si>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</si>
  <si>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</si>
  <si>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</si>
  <si>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</si>
  <si>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</si>
  <si>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</si>
  <si>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</si>
  <si>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</si>
  <si>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</si>
  <si>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</si>
  <si>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</si>
  <si>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</si>
  <si>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</si>
  <si>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</si>
  <si>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</si>
  <si>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</si>
  <si>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</si>
  <si>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</si>
  <si>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</si>
  <si>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</si>
  <si>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</si>
  <si>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</si>
  <si>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</si>
  <si>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</si>
  <si>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</si>
  <si>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</si>
  <si>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</si>
  <si>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</si>
  <si>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</si>
  <si>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</si>
  <si>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</si>
  <si>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</si>
  <si>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</si>
  <si>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</si>
  <si>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</si>
  <si>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</si>
  <si>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</si>
  <si>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</si>
  <si>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</si>
  <si>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</si>
  <si>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</si>
  <si>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</si>
  <si>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</si>
  <si>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</si>
  <si>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</si>
  <si>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</si>
  <si>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</si>
  <si>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</si>
  <si>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</si>
  <si>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</si>
  <si>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</si>
  <si>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</si>
  <si>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</si>
  <si>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</si>
  <si>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</si>
  <si>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</si>
  <si>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</si>
  <si>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</si>
  <si>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</si>
  <si>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</si>
  <si>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</si>
  <si>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</si>
  <si>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</si>
  <si>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</si>
  <si>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</si>
  <si>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</si>
  <si>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</si>
  <si>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</si>
  <si>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</si>
  <si>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</si>
  <si>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</si>
  <si>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</si>
  <si>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</si>
  <si>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</si>
  <si>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</si>
  <si>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</si>
  <si>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</si>
  <si>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</si>
  <si>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</si>
  <si>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</si>
  <si>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</si>
  <si>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</si>
  <si>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</si>
  <si>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</si>
  <si>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</si>
  <si>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</si>
  <si>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</si>
  <si>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</si>
  <si>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</si>
  <si>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</si>
  <si>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</si>
  <si>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</si>
  <si>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</si>
  <si>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</si>
  <si>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</si>
  <si>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</si>
  <si>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</si>
  <si>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</si>
  <si>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</si>
  <si>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</si>
  <si>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</si>
  <si>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</si>
  <si>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</si>
  <si>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</si>
  <si>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</si>
  <si>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</si>
  <si>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</si>
  <si>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</si>
  <si>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</si>
  <si>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</si>
  <si>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</si>
  <si>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</si>
  <si>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</si>
  <si>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</si>
  <si>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</si>
  <si>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</si>
  <si>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</si>
  <si>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</si>
  <si>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</si>
  <si>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</si>
  <si>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</si>
  <si>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</si>
  <si>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</si>
  <si>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</si>
  <si>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</si>
  <si>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</si>
  <si>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</si>
  <si>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</si>
  <si>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</si>
  <si>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</si>
  <si>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</si>
  <si>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</si>
  <si>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</si>
  <si>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</si>
  <si>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</si>
  <si>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</si>
  <si>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</si>
  <si>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</si>
  <si>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</si>
  <si>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</si>
  <si>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</si>
  <si>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</si>
  <si>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</si>
  <si>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</si>
  <si>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</si>
  <si>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</si>
  <si>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</si>
  <si>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</si>
  <si>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</si>
  <si>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</si>
  <si>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</si>
  <si>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</si>
  <si>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</si>
  <si>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</si>
  <si>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</si>
  <si>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</si>
  <si>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</si>
  <si>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</si>
  <si>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</si>
  <si>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</si>
  <si>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</si>
  <si>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</si>
  <si>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</si>
  <si>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</si>
  <si>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</si>
  <si>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</si>
  <si>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</si>
  <si>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</si>
  <si>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</si>
  <si>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</si>
  <si>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</si>
  <si>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</si>
  <si>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</si>
  <si>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</si>
  <si>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</si>
  <si>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</si>
  <si>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</si>
  <si>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</si>
  <si>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</si>
  <si>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</si>
  <si>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</si>
  <si>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</si>
  <si>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</si>
  <si>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</si>
  <si>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</si>
  <si>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</si>
  <si>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</si>
  <si>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</si>
  <si>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</si>
  <si>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</si>
  <si>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</si>
  <si>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</si>
  <si>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</si>
  <si>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</si>
  <si>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</si>
  <si>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</si>
  <si>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</si>
  <si>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</si>
  <si>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</si>
  <si>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</si>
  <si>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</si>
  <si>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</si>
  <si>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</si>
  <si>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</si>
  <si>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</si>
  <si>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</si>
  <si>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</si>
  <si>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</si>
  <si>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</si>
  <si>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</si>
  <si>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</si>
  <si>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</si>
  <si>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</si>
  <si>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</si>
  <si>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</si>
  <si>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</si>
  <si>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</si>
  <si>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</si>
  <si>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</si>
  <si>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</si>
  <si>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</si>
  <si>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</si>
  <si>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</si>
  <si>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</si>
  <si>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</si>
  <si>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</si>
  <si>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</si>
  <si>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</si>
  <si>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</si>
  <si>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</si>
  <si>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</si>
  <si>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</si>
  <si>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</si>
  <si>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</si>
  <si>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</si>
  <si>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</si>
  <si>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</si>
  <si>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</si>
  <si>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</si>
  <si>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</si>
  <si>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</si>
  <si>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</si>
  <si>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</si>
  <si>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</si>
  <si>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</si>
  <si>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</si>
  <si>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</si>
  <si>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</si>
  <si>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</si>
  <si>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</si>
  <si>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</si>
  <si>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</si>
  <si>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</si>
  <si>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</si>
  <si>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</si>
  <si>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</si>
  <si>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</si>
  <si>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</si>
  <si>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</si>
  <si>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</si>
  <si>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</si>
  <si>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</si>
  <si>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</si>
  <si>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</si>
  <si>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</si>
  <si>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</si>
  <si>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</si>
  <si>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</si>
  <si>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</si>
  <si>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</si>
  <si>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</si>
  <si>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</si>
  <si>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</si>
  <si>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</si>
  <si>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</si>
  <si>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</si>
  <si>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</si>
  <si>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</si>
  <si>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</si>
  <si>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</si>
  <si>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</si>
  <si>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</si>
  <si>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</si>
  <si>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</si>
  <si>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</si>
  <si>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</si>
  <si>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</si>
  <si>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</si>
  <si>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</si>
  <si>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</si>
  <si>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</si>
  <si>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</si>
  <si>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</si>
  <si>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</si>
  <si>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</si>
  <si>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</si>
  <si>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</si>
  <si>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</si>
  <si>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</si>
  <si>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</si>
  <si>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</si>
  <si>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</si>
  <si>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</si>
  <si>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</si>
  <si>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</si>
  <si>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</si>
  <si>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</si>
  <si>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</si>
  <si>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</si>
  <si>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</si>
  <si>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</si>
  <si>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</si>
  <si>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</si>
  <si>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</si>
  <si>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</si>
  <si>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</si>
  <si>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</si>
  <si>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</si>
  <si>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</si>
  <si>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</si>
  <si>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</si>
  <si>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</si>
  <si>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</si>
  <si>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</si>
  <si>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</si>
  <si>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</si>
  <si>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</si>
  <si>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</si>
  <si>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</si>
  <si>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</si>
  <si>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</si>
  <si>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</si>
  <si>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</si>
  <si>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</si>
  <si>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</si>
  <si>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</si>
  <si>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</si>
  <si>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</si>
  <si>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</si>
  <si>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</si>
  <si>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</si>
  <si>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</si>
  <si>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</si>
  <si>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</si>
  <si>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</si>
  <si>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</si>
  <si>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</si>
  <si>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</si>
  <si>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</si>
  <si>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</si>
  <si>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</si>
  <si>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</si>
  <si>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</si>
  <si>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</si>
  <si>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</si>
  <si>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</si>
  <si>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</si>
  <si>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</si>
  <si>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</si>
  <si>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</si>
  <si>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</si>
  <si>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</si>
  <si>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</si>
  <si>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</si>
  <si>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</si>
  <si>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</si>
  <si>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</si>
  <si>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</si>
  <si>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</si>
  <si>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</si>
  <si>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</si>
  <si>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</si>
  <si>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</si>
  <si>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</si>
  <si>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</si>
  <si>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</si>
  <si>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</si>
  <si>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</si>
  <si>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</si>
  <si>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</si>
  <si>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</si>
  <si>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</si>
  <si>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</si>
  <si>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</si>
  <si>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</si>
  <si>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</si>
  <si>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</si>
  <si>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</si>
  <si>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</si>
  <si>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</si>
  <si>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</si>
  <si>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</si>
  <si>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</si>
  <si>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</si>
  <si>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</si>
  <si>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</si>
  <si>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</si>
  <si>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</si>
  <si>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</si>
  <si>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</si>
  <si>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</si>
  <si>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</si>
  <si>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</si>
  <si>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</si>
  <si>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</si>
  <si>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</si>
  <si>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</si>
  <si>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</si>
  <si>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</si>
  <si>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</si>
  <si>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</si>
  <si>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</si>
  <si>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</si>
  <si>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</si>
  <si>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</si>
  <si>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</si>
  <si>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</si>
  <si>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</si>
  <si>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</si>
  <si>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</si>
  <si>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</si>
  <si>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</si>
  <si>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</si>
  <si>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</si>
  <si>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</si>
  <si>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</si>
  <si>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</si>
  <si>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</si>
  <si>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</si>
  <si>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</si>
  <si>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</si>
  <si>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</si>
  <si>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</si>
  <si>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</si>
  <si>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</si>
  <si>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</si>
  <si>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</si>
  <si>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</si>
  <si>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</si>
  <si>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</si>
  <si>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</si>
  <si>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</si>
  <si>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</si>
  <si>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</si>
  <si>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</si>
  <si>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</si>
  <si>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</si>
  <si>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</si>
  <si>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</si>
  <si>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</si>
  <si>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</si>
  <si>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</si>
  <si>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</si>
  <si>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</si>
  <si>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</si>
  <si>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</si>
  <si>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</si>
  <si>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</si>
  <si>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</si>
  <si>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</si>
  <si>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</si>
  <si>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</si>
  <si>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</si>
  <si>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</si>
  <si>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</si>
  <si>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</si>
  <si>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</si>
  <si>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</si>
  <si>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</si>
  <si>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</si>
  <si>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</si>
  <si>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</si>
  <si>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</si>
  <si>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</si>
  <si>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</si>
  <si>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</si>
  <si>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</si>
  <si>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</si>
  <si>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</si>
  <si>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</si>
  <si>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</si>
  <si>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</si>
  <si>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</si>
  <si>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</si>
  <si>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</si>
  <si>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</si>
  <si>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</si>
  <si>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</si>
  <si>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</si>
  <si>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</si>
  <si>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</si>
  <si>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</si>
  <si>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</si>
  <si>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</si>
  <si>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</si>
  <si>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</si>
  <si>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</si>
  <si>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</si>
  <si>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</si>
  <si>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</si>
  <si>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</si>
  <si>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</si>
  <si>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</si>
  <si>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</si>
  <si>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</si>
  <si>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</si>
  <si>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</si>
  <si>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</si>
  <si>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</si>
  <si>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</si>
  <si>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</si>
  <si>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</si>
  <si>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</si>
  <si>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</si>
  <si>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</si>
  <si>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</si>
  <si>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</si>
  <si>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</si>
  <si>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</si>
  <si>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</si>
  <si>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</si>
  <si>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</si>
  <si>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</si>
  <si>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</si>
  <si>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</si>
  <si>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</si>
  <si>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</si>
  <si>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</si>
  <si>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</si>
  <si>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</si>
  <si>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</si>
  <si>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</si>
  <si>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</si>
  <si>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</si>
  <si>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</si>
  <si>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</si>
  <si>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</si>
  <si>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</si>
  <si>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</si>
  <si>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</si>
  <si>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</si>
  <si>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</si>
  <si>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</si>
  <si>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</si>
  <si>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</si>
  <si>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</si>
  <si>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</si>
  <si>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</si>
  <si>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</si>
  <si>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</si>
  <si>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</si>
  <si>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</si>
  <si>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</si>
  <si>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</si>
  <si>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</si>
  <si>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</si>
  <si>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</si>
  <si>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</si>
  <si>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</si>
  <si>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</si>
  <si>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</si>
  <si>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</si>
  <si>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</si>
  <si>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</si>
  <si>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</si>
  <si>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</si>
  <si>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</si>
  <si>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</si>
  <si>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</si>
  <si>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</si>
  <si>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</si>
  <si>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</si>
  <si>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</si>
  <si>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</si>
  <si>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</si>
  <si>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</si>
  <si>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</si>
  <si>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</si>
  <si>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</si>
  <si>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</si>
  <si>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</si>
  <si>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</si>
  <si>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</si>
  <si>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</si>
  <si>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</si>
  <si>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</si>
  <si>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</si>
  <si>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</si>
  <si>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</si>
  <si>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</si>
  <si>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</si>
  <si>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</si>
  <si>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</si>
  <si>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</si>
  <si>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</si>
  <si>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</si>
  <si>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</si>
  <si>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</si>
  <si>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</si>
  <si>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</si>
  <si>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</si>
  <si>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</si>
  <si>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</si>
  <si>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</si>
  <si>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</si>
  <si>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</si>
  <si>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</si>
  <si>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</si>
  <si>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</si>
  <si>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</si>
  <si>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</si>
  <si>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</si>
  <si>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</si>
  <si>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</si>
  <si>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</si>
  <si>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</si>
  <si>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</si>
  <si>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</si>
  <si>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</si>
  <si>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</si>
  <si>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</si>
  <si>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</si>
  <si>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</si>
  <si>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</si>
  <si>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</si>
  <si>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</si>
  <si>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</si>
  <si>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</si>
  <si>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</si>
  <si>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</si>
  <si>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</si>
  <si>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</si>
  <si>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</si>
  <si>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</si>
  <si>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</si>
  <si>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</si>
  <si>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</si>
  <si>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</si>
  <si>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</si>
  <si>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</si>
  <si>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</si>
  <si>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</si>
  <si>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</si>
  <si>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</si>
  <si>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</si>
  <si>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</si>
  <si>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</si>
  <si>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</si>
  <si>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</si>
  <si>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</si>
  <si>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</si>
  <si>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</si>
  <si>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</si>
  <si>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</si>
  <si>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</si>
  <si>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</si>
  <si>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</si>
  <si>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</si>
  <si>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</si>
  <si>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</si>
  <si>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</si>
  <si>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</si>
  <si>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</si>
  <si>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</si>
  <si>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</si>
  <si>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</si>
  <si>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</si>
  <si>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</si>
  <si>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</si>
  <si>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</si>
  <si>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</si>
  <si>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</si>
  <si>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</si>
  <si>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</si>
  <si>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</si>
  <si>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</si>
  <si>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</si>
  <si>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</si>
  <si>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</si>
  <si>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</si>
  <si>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</si>
  <si>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</si>
  <si>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</si>
  <si>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</si>
  <si>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</si>
  <si>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</si>
  <si>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</si>
  <si>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</si>
  <si>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</si>
  <si>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</si>
  <si>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</si>
  <si>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</si>
  <si>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</si>
  <si>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</si>
  <si>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</si>
  <si>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</si>
  <si>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</si>
  <si>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</si>
  <si>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</si>
  <si>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</si>
  <si>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</si>
  <si>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</si>
  <si>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</si>
  <si>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</si>
  <si>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</si>
  <si>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</si>
  <si>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</si>
  <si>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</si>
  <si>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</si>
  <si>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</si>
  <si>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</si>
  <si>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</si>
  <si>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</si>
  <si>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</si>
  <si>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</si>
  <si>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</si>
  <si>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</si>
  <si>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</si>
  <si>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</si>
  <si>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</si>
  <si>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</si>
  <si>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</si>
  <si>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</si>
  <si>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</si>
  <si>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</si>
  <si>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</si>
  <si>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</si>
  <si>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</si>
  <si>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</si>
  <si>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</si>
  <si>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</si>
  <si>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</si>
  <si>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</si>
  <si>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</si>
  <si>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</si>
  <si>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</si>
  <si>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</si>
  <si>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</si>
  <si>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</si>
  <si>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</si>
  <si>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</si>
  <si>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</si>
  <si>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</si>
  <si>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</si>
  <si>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</si>
  <si>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</si>
  <si>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</si>
  <si>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</si>
  <si>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</si>
  <si>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</si>
  <si>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</si>
  <si>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</si>
  <si>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</si>
  <si>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</si>
  <si>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</si>
  <si>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</si>
  <si>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</si>
  <si>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</si>
  <si>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</si>
  <si>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</si>
  <si>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</si>
  <si>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</si>
  <si>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</si>
  <si>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</si>
  <si>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</si>
  <si>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</si>
  <si>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</si>
  <si>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</si>
  <si>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</si>
  <si>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</si>
  <si>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</si>
  <si>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</si>
  <si>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</si>
  <si>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</si>
  <si>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</si>
  <si>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</si>
  <si>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</si>
  <si>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</si>
  <si>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</si>
  <si>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</si>
  <si>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</si>
  <si>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</si>
  <si>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</si>
  <si>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</si>
  <si>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</si>
  <si>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</si>
  <si>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</si>
  <si>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</si>
  <si>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</si>
  <si>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</si>
  <si>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</si>
  <si>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</si>
  <si>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</si>
  <si>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</si>
  <si>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</si>
  <si>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</si>
  <si>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</si>
  <si>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</si>
  <si>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</si>
  <si>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</si>
  <si>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</si>
  <si>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</si>
  <si>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</si>
  <si>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</si>
  <si>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</si>
  <si>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</si>
  <si>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</si>
  <si>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</si>
  <si>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</si>
  <si>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</si>
  <si>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</si>
  <si>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</si>
  <si>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</si>
  <si>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</si>
  <si>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</si>
  <si>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</si>
  <si>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</si>
  <si>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</si>
  <si>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</si>
  <si>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</si>
  <si>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</si>
  <si>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</si>
  <si>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</si>
  <si>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</si>
  <si>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</si>
  <si>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</si>
  <si>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</si>
  <si>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</si>
  <si>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</si>
  <si>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</si>
  <si>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</si>
  <si>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</si>
  <si>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</si>
  <si>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</si>
  <si>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</si>
  <si>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</si>
  <si>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</si>
  <si>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</si>
  <si>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</si>
  <si>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</si>
  <si>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</si>
  <si>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</si>
  <si>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</si>
  <si>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</si>
  <si>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</si>
  <si>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</si>
  <si>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</si>
  <si>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</si>
  <si>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</si>
  <si>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</si>
  <si>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</si>
  <si>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</si>
  <si>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</si>
  <si>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</si>
  <si>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</si>
  <si>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</si>
  <si>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</si>
  <si>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</si>
  <si>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</si>
  <si>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</si>
  <si>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</si>
  <si>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</si>
  <si>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</si>
  <si>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</si>
  <si>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</si>
  <si>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</si>
  <si>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</si>
  <si>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</si>
  <si>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</si>
  <si>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</si>
  <si>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</si>
  <si>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</si>
  <si>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</si>
  <si>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</si>
  <si>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</si>
  <si>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</si>
  <si>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</si>
  <si>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</si>
  <si>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</si>
  <si>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</si>
  <si>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</si>
  <si>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</si>
  <si>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</si>
  <si>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</si>
  <si>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</si>
  <si>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</si>
  <si>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</si>
  <si>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</si>
  <si>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</si>
  <si>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</si>
  <si>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</si>
  <si>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</si>
  <si>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</si>
  <si>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</si>
  <si>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</si>
  <si>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</si>
  <si>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</si>
  <si>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</si>
  <si>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</si>
  <si>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</si>
  <si>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</si>
  <si>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</si>
  <si>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</si>
  <si>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</si>
  <si>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</si>
  <si>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</si>
  <si>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</si>
  <si>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</si>
  <si>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</si>
  <si>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</si>
  <si>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</si>
  <si>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</si>
  <si>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</si>
  <si>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</si>
  <si>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</si>
  <si>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</si>
  <si>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</si>
  <si>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</si>
  <si>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</si>
  <si>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</si>
  <si>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</si>
  <si>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</si>
  <si>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</si>
  <si>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</si>
  <si>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</si>
  <si>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</si>
  <si>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</si>
  <si>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</si>
  <si>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</si>
  <si>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</si>
  <si>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</si>
  <si>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</si>
  <si>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</si>
  <si>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</si>
  <si>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</si>
  <si>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</si>
  <si>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</si>
  <si>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</si>
  <si>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</si>
  <si>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</si>
  <si>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</si>
  <si>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</si>
  <si>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</si>
  <si>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</si>
  <si>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</si>
  <si>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</si>
  <si>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</si>
  <si>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</si>
  <si>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</si>
  <si>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</si>
  <si>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</si>
  <si>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</si>
  <si>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</si>
  <si>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</si>
  <si>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</si>
  <si>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</si>
  <si>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</si>
  <si>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</si>
  <si>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</si>
  <si>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</si>
  <si>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</si>
  <si>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</si>
  <si>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</si>
  <si>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</si>
  <si>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</si>
  <si>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</si>
  <si>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</si>
  <si>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</si>
  <si>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</si>
  <si>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</si>
  <si>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</si>
  <si>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</si>
  <si>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</si>
  <si>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</si>
  <si>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</si>
  <si>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</si>
  <si>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</si>
  <si>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</si>
  <si>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</si>
  <si>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</si>
  <si>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</si>
  <si>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</si>
  <si>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</si>
  <si>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</si>
  <si>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</si>
  <si>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</si>
  <si>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</si>
  <si>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</si>
  <si>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</si>
  <si>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</si>
  <si>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</si>
  <si>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</si>
  <si>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</si>
  <si>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</si>
  <si>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</si>
  <si>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</si>
  <si>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</si>
  <si>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</si>
  <si>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</si>
  <si>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</si>
  <si>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</si>
  <si>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</si>
  <si>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</si>
  <si>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</si>
  <si>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</si>
  <si>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</si>
  <si>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</si>
  <si>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</si>
  <si>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</si>
  <si>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</si>
  <si>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</si>
  <si>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</si>
  <si>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</si>
  <si>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</si>
  <si>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</si>
  <si>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</si>
  <si>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</si>
  <si>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</si>
  <si>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</si>
  <si>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</si>
  <si>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</si>
  <si>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</si>
  <si>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</si>
  <si>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</si>
  <si>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</si>
  <si>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</si>
  <si>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</si>
  <si>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</si>
  <si>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</si>
  <si>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</si>
  <si>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</si>
  <si>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</si>
  <si>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</si>
  <si>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</si>
  <si>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</si>
  <si>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</si>
  <si>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</si>
  <si>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</si>
  <si>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</si>
  <si>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</si>
  <si>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</si>
  <si>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</si>
  <si>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</si>
  <si>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</si>
  <si>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</si>
  <si>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</si>
  <si>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</si>
  <si>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</si>
  <si>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</si>
  <si>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</si>
  <si>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</si>
  <si>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</si>
  <si>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</si>
  <si>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</si>
  <si>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</si>
  <si>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</si>
  <si>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</si>
  <si>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</si>
  <si>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</si>
  <si>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</si>
  <si>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0.10.4-beta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</si>
</sst>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2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 applyAlignment="1">
      <alignment horizontal="left"/>
    </xf>
    <xf numFmtId="0" fontId="12" fillId="0" borderId="0" xfId="42"/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6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2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81"/>
              <a:ext cx="122400" cy="1476375"/>
              <a:chOff x="4495800" y="1119205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5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30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84"/>
              <a:ext cx="1362075" cy="695325"/>
              <a:chOff x="266700" y="428659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9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H22" sqref="H22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4510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4509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3747</v>
      </c>
      <c r="F13" s="516"/>
      <c r="G13" s="546" t="s">
        <v>6131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19-sep-2017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3493</v>
      </c>
      <c r="G4" s="661" t="str">
        <f>Txt_Pat_PatNo</f>
        <v/>
      </c>
      <c r="H4" s="664"/>
      <c r="I4" s="666"/>
      <c r="J4" s="664"/>
      <c r="K4" s="664"/>
      <c r="L4" s="661" t="s">
        <v>5392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3492</v>
      </c>
      <c r="C7" s="708" t="s">
        <v>3324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3328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8" t="str">
        <f>GlobBerMedDisc!AR2</f>
        <v/>
      </c>
      <c r="G9" s="818"/>
      <c r="H9" s="818"/>
      <c r="I9" s="818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7" t="str">
        <f>GlobBerMedDisc!AR3</f>
        <v/>
      </c>
      <c r="G10" s="817"/>
      <c r="H10" s="817"/>
      <c r="I10" s="817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9" t="str">
        <f>GlobBerMedDisc!AR31</f>
        <v/>
      </c>
      <c r="G38" s="819"/>
      <c r="H38" s="819"/>
      <c r="I38" s="819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1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1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1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1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1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1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1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1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1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2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2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2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2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2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2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2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2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2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3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3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3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3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4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4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4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4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4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5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6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6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6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6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6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6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6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6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6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7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7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7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7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7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7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7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7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7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8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8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8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8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8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8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8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8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8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9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9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9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9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9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9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9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9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9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9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10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10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10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10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10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10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10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10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10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10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11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11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11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11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11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11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11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11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11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11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12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12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12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12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12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12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12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12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12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12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13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13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13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13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13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13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13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13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13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13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14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14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14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14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14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14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14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14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14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15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M48"/>
  <sheetViews>
    <sheetView showZeros="0" showOutlineSymbols="0" zoomScaleNormal="100" workbookViewId="0">
      <pane xSplit="1" ySplit="1" topLeftCell="AS2" activePane="bottomRight" state="frozen"/>
      <selection pane="topRight" activeCell="B1" sqref="B1"/>
      <selection pane="bottomLeft" activeCell="A2" sqref="A2"/>
      <selection pane="bottomRight" activeCell="AW32" sqref="AW3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5" width="9.42578125" bestFit="1" customWidth="1"/>
  </cols>
  <sheetData>
    <row r="1" spans="1:65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5304</v>
      </c>
      <c r="AB1" s="209" t="s">
        <v>5264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5439</v>
      </c>
      <c r="AU1" s="209" t="s">
        <v>5440</v>
      </c>
      <c r="AV1" s="209" t="s">
        <v>5441</v>
      </c>
      <c r="AW1" s="209" t="s">
        <v>5442</v>
      </c>
      <c r="AX1" s="209" t="s">
        <v>5443</v>
      </c>
      <c r="AY1" s="209" t="s">
        <v>5444</v>
      </c>
      <c r="AZ1" s="209" t="s">
        <v>5445</v>
      </c>
      <c r="BA1" s="209" t="s">
        <v>5446</v>
      </c>
      <c r="BB1" s="209" t="s">
        <v>5447</v>
      </c>
      <c r="BC1" s="209" t="s">
        <v>5448</v>
      </c>
      <c r="BD1" s="209" t="s">
        <v>3328</v>
      </c>
      <c r="BE1" s="209" t="s">
        <v>157</v>
      </c>
      <c r="BF1" s="209" t="s">
        <v>5822</v>
      </c>
      <c r="BG1" s="209" t="s">
        <v>5823</v>
      </c>
      <c r="BH1" s="209" t="s">
        <v>5824</v>
      </c>
      <c r="BI1" s="209" t="s">
        <v>5825</v>
      </c>
      <c r="BJ1" s="209" t="s">
        <v>5826</v>
      </c>
      <c r="BK1" s="209" t="s">
        <v>6128</v>
      </c>
      <c r="BL1" s="209" t="s">
        <v>6129</v>
      </c>
      <c r="BM1" s="209" t="s">
        <v>6130</v>
      </c>
    </row>
    <row r="2" spans="1:65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0</v>
      </c>
    </row>
    <row r="3" spans="1:65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7">IF(_Pat_Gewicht&gt;0,IF(ROUND(10*K3/_Pat_Gewicht,1) = 0,ROUND(10*K3/_Pat_Gewicht,2),ROUND(10*K3/_Pat_Gewicht,1) ),0)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20">IF(D3="","",IF(V3=-1,C3,D3))</f>
        <v/>
      </c>
      <c r="X3" s="208" t="str">
        <f t="shared" si="6"/>
        <v/>
      </c>
      <c r="Y3" s="208" t="str">
        <f t="shared" ref="Y3:Y31" si="21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2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3">IF(AH3,"PRN","")</f>
        <v/>
      </c>
      <c r="AR3" s="208" t="str">
        <f t="shared" si="14"/>
        <v/>
      </c>
      <c r="AS3" s="208" t="str">
        <f t="shared" ref="AS3:AS31" si="24">IF(AH3,"PRN: "&amp;AI3&amp;" "&amp;AD3,IF(AD3="","",AD3))</f>
        <v/>
      </c>
      <c r="AV3" s="208" t="b">
        <f t="shared" ref="AV3:AV31" si="25">AND(AT3&lt;&gt;0,$M3&lt;AT3)</f>
        <v>0</v>
      </c>
      <c r="AW3" s="208" t="b">
        <f t="shared" ref="AW3:AW31" si="26">AND(AU3&lt;&gt;0,$M3&gt;AU3)</f>
        <v>0</v>
      </c>
      <c r="BA3" s="208" t="b">
        <f t="shared" ref="BA3:BA31" si="27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8">AND(AZ3&lt;&gt;"",AZ3&lt;&gt;0,R3&lt;AZ3)</f>
        <v>0</v>
      </c>
      <c r="BD3" s="208">
        <f t="shared" ref="BD3:BD31" si="29">IF(AND(C3&gt;1,P3&gt;1,O3&gt;0),ROUND(H3/O3,2),0)</f>
        <v>0</v>
      </c>
      <c r="BF3" s="208" t="b">
        <f t="shared" ref="BF3:BF31" si="30">AND(BE3&lt;&gt;"",BE3&lt;&gt;0,NOT(ContainsCaseInsensitive(BE3,X3)))</f>
        <v>0</v>
      </c>
      <c r="BH3" s="209" t="b">
        <f t="shared" ref="BH3:BH31" si="31">AND(OR(AT3=0,AT3=""),BG3&lt;&gt;0,BG3&lt;&gt;"",M3&lt;0.9*BG3)</f>
        <v>0</v>
      </c>
      <c r="BI3" s="209" t="b">
        <f t="shared" ref="BI3:BI31" si="32">AND(OR(AU3=0,AU3=""),BG3&lt;&gt;0,BG3&lt;&gt;"",M3&gt;(1.1*BG3))</f>
        <v>0</v>
      </c>
      <c r="BK3" s="208" t="b">
        <f t="shared" si="16"/>
        <v>0</v>
      </c>
      <c r="BL3" s="208" t="b">
        <f t="shared" ref="BL3:BL31" si="33">OR(BH3,BI3)</f>
        <v>0</v>
      </c>
      <c r="BM3" s="208" t="b">
        <f t="shared" ref="BM3:BM31" si="34">OR(AV3,AW3,BK3)</f>
        <v>0</v>
      </c>
    </row>
    <row r="4" spans="1:6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7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0"/>
        <v/>
      </c>
      <c r="X4" s="208" t="str">
        <f t="shared" si="6"/>
        <v/>
      </c>
      <c r="Y4" s="208" t="str">
        <f t="shared" si="21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2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3"/>
        <v/>
      </c>
      <c r="AR4" s="208" t="str">
        <f t="shared" si="14"/>
        <v/>
      </c>
      <c r="AS4" s="208" t="str">
        <f t="shared" si="24"/>
        <v/>
      </c>
      <c r="AV4" s="208" t="b">
        <f t="shared" si="25"/>
        <v>0</v>
      </c>
      <c r="AW4" s="208" t="b">
        <f t="shared" si="26"/>
        <v>0</v>
      </c>
      <c r="BA4" s="208" t="b">
        <f t="shared" si="27"/>
        <v>0</v>
      </c>
      <c r="BB4" s="208" t="b">
        <f t="shared" si="15"/>
        <v>0</v>
      </c>
      <c r="BC4" s="209" t="b">
        <f t="shared" si="28"/>
        <v>0</v>
      </c>
      <c r="BD4" s="208">
        <f t="shared" si="29"/>
        <v>0</v>
      </c>
      <c r="BF4" s="208" t="b">
        <f t="shared" si="30"/>
        <v>0</v>
      </c>
      <c r="BH4" s="209" t="b">
        <f t="shared" si="31"/>
        <v>0</v>
      </c>
      <c r="BI4" s="209" t="b">
        <f t="shared" si="32"/>
        <v>0</v>
      </c>
      <c r="BK4" s="208" t="b">
        <f t="shared" si="16"/>
        <v>0</v>
      </c>
      <c r="BL4" s="208" t="b">
        <f t="shared" si="33"/>
        <v>0</v>
      </c>
      <c r="BM4" s="208" t="b">
        <f t="shared" si="34"/>
        <v>0</v>
      </c>
    </row>
    <row r="5" spans="1:6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7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0"/>
        <v/>
      </c>
      <c r="X5" s="208" t="str">
        <f t="shared" si="6"/>
        <v/>
      </c>
      <c r="Y5" s="208" t="str">
        <f t="shared" si="21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2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3"/>
        <v/>
      </c>
      <c r="AR5" s="208" t="str">
        <f t="shared" si="14"/>
        <v/>
      </c>
      <c r="AS5" s="208" t="str">
        <f t="shared" si="24"/>
        <v/>
      </c>
      <c r="AV5" s="208" t="b">
        <f t="shared" si="25"/>
        <v>0</v>
      </c>
      <c r="AW5" s="208" t="b">
        <f t="shared" si="26"/>
        <v>0</v>
      </c>
      <c r="BA5" s="208" t="b">
        <f t="shared" si="27"/>
        <v>0</v>
      </c>
      <c r="BB5" s="208" t="b">
        <f t="shared" si="15"/>
        <v>0</v>
      </c>
      <c r="BC5" s="209" t="b">
        <f t="shared" si="28"/>
        <v>0</v>
      </c>
      <c r="BD5" s="208">
        <f t="shared" si="29"/>
        <v>0</v>
      </c>
      <c r="BF5" s="208" t="b">
        <f t="shared" si="30"/>
        <v>0</v>
      </c>
      <c r="BH5" s="209" t="b">
        <f t="shared" si="31"/>
        <v>0</v>
      </c>
      <c r="BI5" s="209" t="b">
        <f t="shared" si="32"/>
        <v>0</v>
      </c>
      <c r="BK5" s="208" t="b">
        <f t="shared" si="16"/>
        <v>0</v>
      </c>
      <c r="BL5" s="208" t="b">
        <f t="shared" si="33"/>
        <v>0</v>
      </c>
      <c r="BM5" s="208" t="b">
        <f t="shared" si="34"/>
        <v>0</v>
      </c>
    </row>
    <row r="6" spans="1:6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7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0"/>
        <v/>
      </c>
      <c r="X6" s="208" t="str">
        <f t="shared" si="6"/>
        <v/>
      </c>
      <c r="Y6" s="208" t="str">
        <f t="shared" si="21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2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3"/>
        <v/>
      </c>
      <c r="AR6" s="208" t="str">
        <f t="shared" si="14"/>
        <v/>
      </c>
      <c r="AS6" s="208" t="str">
        <f t="shared" si="24"/>
        <v/>
      </c>
      <c r="AV6" s="208" t="b">
        <f t="shared" si="25"/>
        <v>0</v>
      </c>
      <c r="AW6" s="208" t="b">
        <f t="shared" si="26"/>
        <v>0</v>
      </c>
      <c r="BA6" s="208" t="b">
        <f t="shared" si="27"/>
        <v>0</v>
      </c>
      <c r="BB6" s="208" t="b">
        <f t="shared" si="15"/>
        <v>0</v>
      </c>
      <c r="BC6" s="209" t="b">
        <f t="shared" si="28"/>
        <v>0</v>
      </c>
      <c r="BD6" s="208">
        <f t="shared" si="29"/>
        <v>0</v>
      </c>
      <c r="BF6" s="208" t="b">
        <f t="shared" si="30"/>
        <v>0</v>
      </c>
      <c r="BH6" s="209" t="b">
        <f t="shared" si="31"/>
        <v>0</v>
      </c>
      <c r="BI6" s="209" t="b">
        <f t="shared" si="32"/>
        <v>0</v>
      </c>
      <c r="BK6" s="208" t="b">
        <f t="shared" si="16"/>
        <v>0</v>
      </c>
      <c r="BL6" s="208" t="b">
        <f t="shared" si="33"/>
        <v>0</v>
      </c>
      <c r="BM6" s="208" t="b">
        <f t="shared" si="34"/>
        <v>0</v>
      </c>
    </row>
    <row r="7" spans="1:6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7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0"/>
        <v/>
      </c>
      <c r="X7" s="208" t="str">
        <f t="shared" si="6"/>
        <v/>
      </c>
      <c r="Y7" s="208" t="str">
        <f t="shared" si="21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2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3"/>
        <v/>
      </c>
      <c r="AR7" s="208" t="str">
        <f t="shared" si="14"/>
        <v/>
      </c>
      <c r="AS7" s="208" t="str">
        <f t="shared" si="24"/>
        <v/>
      </c>
      <c r="AV7" s="208" t="b">
        <f t="shared" si="25"/>
        <v>0</v>
      </c>
      <c r="AW7" s="208" t="b">
        <f t="shared" si="26"/>
        <v>0</v>
      </c>
      <c r="BA7" s="208" t="b">
        <f t="shared" si="27"/>
        <v>0</v>
      </c>
      <c r="BB7" s="208" t="b">
        <f t="shared" si="15"/>
        <v>0</v>
      </c>
      <c r="BC7" s="209" t="b">
        <f t="shared" si="28"/>
        <v>0</v>
      </c>
      <c r="BD7" s="208">
        <f t="shared" si="29"/>
        <v>0</v>
      </c>
      <c r="BF7" s="208" t="b">
        <f t="shared" si="30"/>
        <v>0</v>
      </c>
      <c r="BH7" s="209" t="b">
        <f t="shared" si="31"/>
        <v>0</v>
      </c>
      <c r="BI7" s="209" t="b">
        <f t="shared" si="32"/>
        <v>0</v>
      </c>
      <c r="BK7" s="208" t="b">
        <f t="shared" si="16"/>
        <v>0</v>
      </c>
      <c r="BL7" s="208" t="b">
        <f t="shared" si="33"/>
        <v>0</v>
      </c>
      <c r="BM7" s="208" t="b">
        <f t="shared" si="34"/>
        <v>0</v>
      </c>
    </row>
    <row r="8" spans="1:6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7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20"/>
        <v/>
      </c>
      <c r="X8" s="208" t="str">
        <f t="shared" si="6"/>
        <v/>
      </c>
      <c r="Y8" s="208" t="str">
        <f t="shared" si="21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2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3"/>
        <v/>
      </c>
      <c r="AR8" s="208" t="str">
        <f t="shared" si="14"/>
        <v/>
      </c>
      <c r="AS8" s="208" t="str">
        <f t="shared" si="24"/>
        <v/>
      </c>
      <c r="AV8" s="208" t="b">
        <f t="shared" si="25"/>
        <v>0</v>
      </c>
      <c r="AW8" s="208" t="b">
        <f t="shared" si="26"/>
        <v>0</v>
      </c>
      <c r="BA8" s="208" t="b">
        <f t="shared" si="27"/>
        <v>0</v>
      </c>
      <c r="BB8" s="208" t="b">
        <f t="shared" si="15"/>
        <v>0</v>
      </c>
      <c r="BC8" s="209" t="b">
        <f t="shared" si="28"/>
        <v>0</v>
      </c>
      <c r="BD8" s="208">
        <f t="shared" si="29"/>
        <v>0</v>
      </c>
      <c r="BF8" s="208" t="b">
        <f t="shared" si="30"/>
        <v>0</v>
      </c>
      <c r="BH8" s="209" t="b">
        <f t="shared" si="31"/>
        <v>0</v>
      </c>
      <c r="BI8" s="209" t="b">
        <f t="shared" si="32"/>
        <v>0</v>
      </c>
      <c r="BK8" s="208" t="b">
        <f t="shared" si="16"/>
        <v>0</v>
      </c>
      <c r="BL8" s="208" t="b">
        <f t="shared" si="33"/>
        <v>0</v>
      </c>
      <c r="BM8" s="208" t="b">
        <f t="shared" si="34"/>
        <v>0</v>
      </c>
    </row>
    <row r="9" spans="1:6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7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20"/>
        <v/>
      </c>
      <c r="X9" s="208" t="str">
        <f t="shared" si="6"/>
        <v/>
      </c>
      <c r="Y9" s="208" t="str">
        <f t="shared" si="21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2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3"/>
        <v/>
      </c>
      <c r="AR9" s="208" t="str">
        <f t="shared" si="14"/>
        <v/>
      </c>
      <c r="AS9" s="208" t="str">
        <f t="shared" si="24"/>
        <v/>
      </c>
      <c r="AV9" s="208" t="b">
        <f t="shared" si="25"/>
        <v>0</v>
      </c>
      <c r="AW9" s="208" t="b">
        <f t="shared" si="26"/>
        <v>0</v>
      </c>
      <c r="BA9" s="208" t="b">
        <f t="shared" si="27"/>
        <v>0</v>
      </c>
      <c r="BB9" s="208" t="b">
        <f t="shared" si="15"/>
        <v>0</v>
      </c>
      <c r="BC9" s="209" t="b">
        <f t="shared" si="28"/>
        <v>0</v>
      </c>
      <c r="BD9" s="208">
        <f t="shared" si="29"/>
        <v>0</v>
      </c>
      <c r="BF9" s="208" t="b">
        <f t="shared" si="30"/>
        <v>0</v>
      </c>
      <c r="BH9" s="209" t="b">
        <f t="shared" si="31"/>
        <v>0</v>
      </c>
      <c r="BI9" s="209" t="b">
        <f t="shared" si="32"/>
        <v>0</v>
      </c>
      <c r="BK9" s="208" t="b">
        <f t="shared" si="16"/>
        <v>0</v>
      </c>
      <c r="BL9" s="208" t="b">
        <f t="shared" si="33"/>
        <v>0</v>
      </c>
      <c r="BM9" s="208" t="b">
        <f t="shared" si="34"/>
        <v>0</v>
      </c>
    </row>
    <row r="10" spans="1:6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7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0"/>
        <v/>
      </c>
      <c r="X10" s="208" t="str">
        <f t="shared" si="6"/>
        <v/>
      </c>
      <c r="Y10" s="208" t="str">
        <f t="shared" si="21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2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3"/>
        <v/>
      </c>
      <c r="AR10" s="208" t="str">
        <f t="shared" si="14"/>
        <v/>
      </c>
      <c r="AS10" s="208" t="str">
        <f t="shared" si="24"/>
        <v/>
      </c>
      <c r="AV10" s="208" t="b">
        <f t="shared" si="25"/>
        <v>0</v>
      </c>
      <c r="AW10" s="208" t="b">
        <f t="shared" si="26"/>
        <v>0</v>
      </c>
      <c r="BA10" s="208" t="b">
        <f t="shared" si="27"/>
        <v>0</v>
      </c>
      <c r="BB10" s="208" t="b">
        <f t="shared" si="15"/>
        <v>0</v>
      </c>
      <c r="BC10" s="209" t="b">
        <f t="shared" si="28"/>
        <v>0</v>
      </c>
      <c r="BD10" s="208">
        <f t="shared" si="29"/>
        <v>0</v>
      </c>
      <c r="BF10" s="208" t="b">
        <f t="shared" si="30"/>
        <v>0</v>
      </c>
      <c r="BH10" s="209" t="b">
        <f t="shared" si="31"/>
        <v>0</v>
      </c>
      <c r="BI10" s="209" t="b">
        <f t="shared" si="32"/>
        <v>0</v>
      </c>
      <c r="BK10" s="208" t="b">
        <f t="shared" si="16"/>
        <v>0</v>
      </c>
      <c r="BL10" s="208" t="b">
        <f t="shared" si="33"/>
        <v>0</v>
      </c>
      <c r="BM10" s="208" t="b">
        <f t="shared" si="34"/>
        <v>0</v>
      </c>
    </row>
    <row r="11" spans="1:6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7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0"/>
        <v/>
      </c>
      <c r="X11" s="208" t="str">
        <f t="shared" si="6"/>
        <v/>
      </c>
      <c r="Y11" s="208" t="str">
        <f t="shared" si="21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2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3"/>
        <v/>
      </c>
      <c r="AR11" s="208" t="str">
        <f t="shared" si="14"/>
        <v/>
      </c>
      <c r="AS11" s="208" t="str">
        <f t="shared" si="24"/>
        <v/>
      </c>
      <c r="AV11" s="208" t="b">
        <f t="shared" si="25"/>
        <v>0</v>
      </c>
      <c r="AW11" s="208" t="b">
        <f t="shared" si="26"/>
        <v>0</v>
      </c>
      <c r="BA11" s="208" t="b">
        <f t="shared" si="27"/>
        <v>0</v>
      </c>
      <c r="BB11" s="208" t="b">
        <f t="shared" si="15"/>
        <v>0</v>
      </c>
      <c r="BC11" s="209" t="b">
        <f t="shared" si="28"/>
        <v>0</v>
      </c>
      <c r="BD11" s="208">
        <f t="shared" si="29"/>
        <v>0</v>
      </c>
      <c r="BF11" s="208" t="b">
        <f t="shared" si="30"/>
        <v>0</v>
      </c>
      <c r="BH11" s="209" t="b">
        <f t="shared" si="31"/>
        <v>0</v>
      </c>
      <c r="BI11" s="209" t="b">
        <f t="shared" si="32"/>
        <v>0</v>
      </c>
      <c r="BK11" s="208" t="b">
        <f t="shared" si="16"/>
        <v>0</v>
      </c>
      <c r="BL11" s="208" t="b">
        <f t="shared" si="33"/>
        <v>0</v>
      </c>
      <c r="BM11" s="208" t="b">
        <f t="shared" si="34"/>
        <v>0</v>
      </c>
    </row>
    <row r="12" spans="1:6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7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0"/>
        <v/>
      </c>
      <c r="X12" s="208" t="str">
        <f t="shared" si="6"/>
        <v/>
      </c>
      <c r="Y12" s="208" t="str">
        <f t="shared" si="21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2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3"/>
        <v/>
      </c>
      <c r="AR12" s="208" t="str">
        <f t="shared" si="14"/>
        <v/>
      </c>
      <c r="AS12" s="208" t="str">
        <f t="shared" si="24"/>
        <v/>
      </c>
      <c r="AV12" s="208" t="b">
        <f t="shared" si="25"/>
        <v>0</v>
      </c>
      <c r="AW12" s="208" t="b">
        <f t="shared" si="26"/>
        <v>0</v>
      </c>
      <c r="BA12" s="208" t="b">
        <f t="shared" si="27"/>
        <v>0</v>
      </c>
      <c r="BB12" s="208" t="b">
        <f t="shared" si="15"/>
        <v>0</v>
      </c>
      <c r="BC12" s="209" t="b">
        <f t="shared" si="28"/>
        <v>0</v>
      </c>
      <c r="BD12" s="208">
        <f t="shared" si="29"/>
        <v>0</v>
      </c>
      <c r="BF12" s="208" t="b">
        <f t="shared" si="30"/>
        <v>0</v>
      </c>
      <c r="BH12" s="209" t="b">
        <f t="shared" si="31"/>
        <v>0</v>
      </c>
      <c r="BI12" s="209" t="b">
        <f t="shared" si="32"/>
        <v>0</v>
      </c>
      <c r="BK12" s="208" t="b">
        <f t="shared" si="16"/>
        <v>0</v>
      </c>
      <c r="BL12" s="208" t="b">
        <f t="shared" si="33"/>
        <v>0</v>
      </c>
      <c r="BM12" s="208" t="b">
        <f t="shared" si="34"/>
        <v>0</v>
      </c>
    </row>
    <row r="13" spans="1:6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7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0"/>
        <v/>
      </c>
      <c r="X13" s="208" t="str">
        <f t="shared" si="6"/>
        <v/>
      </c>
      <c r="Y13" s="208" t="str">
        <f t="shared" si="21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2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3"/>
        <v/>
      </c>
      <c r="AR13" s="208" t="str">
        <f t="shared" si="14"/>
        <v/>
      </c>
      <c r="AS13" s="208" t="str">
        <f t="shared" si="24"/>
        <v/>
      </c>
      <c r="AV13" s="208" t="b">
        <f t="shared" si="25"/>
        <v>0</v>
      </c>
      <c r="AW13" s="208" t="b">
        <f t="shared" si="26"/>
        <v>0</v>
      </c>
      <c r="BA13" s="208" t="b">
        <f t="shared" si="27"/>
        <v>0</v>
      </c>
      <c r="BB13" s="208" t="b">
        <f t="shared" si="15"/>
        <v>0</v>
      </c>
      <c r="BC13" s="209" t="b">
        <f t="shared" si="28"/>
        <v>0</v>
      </c>
      <c r="BD13" s="208">
        <f t="shared" si="29"/>
        <v>0</v>
      </c>
      <c r="BF13" s="208" t="b">
        <f t="shared" si="30"/>
        <v>0</v>
      </c>
      <c r="BH13" s="209" t="b">
        <f t="shared" si="31"/>
        <v>0</v>
      </c>
      <c r="BI13" s="209" t="b">
        <f t="shared" si="32"/>
        <v>0</v>
      </c>
      <c r="BK13" s="208" t="b">
        <f t="shared" si="16"/>
        <v>0</v>
      </c>
      <c r="BL13" s="208" t="b">
        <f t="shared" si="33"/>
        <v>0</v>
      </c>
      <c r="BM13" s="208" t="b">
        <f t="shared" si="34"/>
        <v>0</v>
      </c>
    </row>
    <row r="14" spans="1:6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7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0"/>
        <v/>
      </c>
      <c r="X14" s="208" t="str">
        <f t="shared" si="6"/>
        <v/>
      </c>
      <c r="Y14" s="208" t="str">
        <f t="shared" si="21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2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3"/>
        <v/>
      </c>
      <c r="AR14" s="208" t="str">
        <f t="shared" si="14"/>
        <v/>
      </c>
      <c r="AS14" s="208" t="str">
        <f t="shared" si="24"/>
        <v/>
      </c>
      <c r="AV14" s="208" t="b">
        <f t="shared" si="25"/>
        <v>0</v>
      </c>
      <c r="AW14" s="208" t="b">
        <f t="shared" si="26"/>
        <v>0</v>
      </c>
      <c r="BA14" s="208" t="b">
        <f t="shared" si="27"/>
        <v>0</v>
      </c>
      <c r="BB14" s="208" t="b">
        <f t="shared" si="15"/>
        <v>0</v>
      </c>
      <c r="BC14" s="209" t="b">
        <f t="shared" si="28"/>
        <v>0</v>
      </c>
      <c r="BD14" s="208">
        <f t="shared" si="29"/>
        <v>0</v>
      </c>
      <c r="BF14" s="208" t="b">
        <f t="shared" si="30"/>
        <v>0</v>
      </c>
      <c r="BH14" s="209" t="b">
        <f t="shared" si="31"/>
        <v>0</v>
      </c>
      <c r="BI14" s="209" t="b">
        <f t="shared" si="32"/>
        <v>0</v>
      </c>
      <c r="BK14" s="208" t="b">
        <f t="shared" si="16"/>
        <v>0</v>
      </c>
      <c r="BL14" s="208" t="b">
        <f t="shared" si="33"/>
        <v>0</v>
      </c>
      <c r="BM14" s="208" t="b">
        <f t="shared" si="34"/>
        <v>0</v>
      </c>
    </row>
    <row r="15" spans="1:6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7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0"/>
        <v/>
      </c>
      <c r="X15" s="208" t="str">
        <f t="shared" si="6"/>
        <v/>
      </c>
      <c r="Y15" s="208" t="str">
        <f t="shared" si="21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2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3"/>
        <v/>
      </c>
      <c r="AR15" s="208" t="str">
        <f t="shared" si="14"/>
        <v/>
      </c>
      <c r="AS15" s="208" t="str">
        <f t="shared" si="24"/>
        <v/>
      </c>
      <c r="AV15" s="208" t="b">
        <f t="shared" si="25"/>
        <v>0</v>
      </c>
      <c r="AW15" s="208" t="b">
        <f t="shared" si="26"/>
        <v>0</v>
      </c>
      <c r="BA15" s="208" t="b">
        <f t="shared" si="27"/>
        <v>0</v>
      </c>
      <c r="BB15" s="208" t="b">
        <f t="shared" si="15"/>
        <v>0</v>
      </c>
      <c r="BC15" s="209" t="b">
        <f t="shared" si="28"/>
        <v>0</v>
      </c>
      <c r="BD15" s="208">
        <f t="shared" si="29"/>
        <v>0</v>
      </c>
      <c r="BF15" s="208" t="b">
        <f t="shared" si="30"/>
        <v>0</v>
      </c>
      <c r="BH15" s="209" t="b">
        <f t="shared" si="31"/>
        <v>0</v>
      </c>
      <c r="BI15" s="209" t="b">
        <f t="shared" si="32"/>
        <v>0</v>
      </c>
      <c r="BK15" s="208" t="b">
        <f t="shared" si="16"/>
        <v>0</v>
      </c>
      <c r="BL15" s="208" t="b">
        <f t="shared" si="33"/>
        <v>0</v>
      </c>
      <c r="BM15" s="208" t="b">
        <f t="shared" si="34"/>
        <v>0</v>
      </c>
    </row>
    <row r="16" spans="1:6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7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0"/>
        <v/>
      </c>
      <c r="X16" s="208" t="str">
        <f t="shared" si="6"/>
        <v/>
      </c>
      <c r="Y16" s="208" t="str">
        <f t="shared" si="21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2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3"/>
        <v/>
      </c>
      <c r="AR16" s="208" t="str">
        <f t="shared" si="14"/>
        <v/>
      </c>
      <c r="AS16" s="208" t="str">
        <f t="shared" si="24"/>
        <v/>
      </c>
      <c r="AV16" s="208" t="b">
        <f t="shared" si="25"/>
        <v>0</v>
      </c>
      <c r="AW16" s="208" t="b">
        <f t="shared" si="26"/>
        <v>0</v>
      </c>
      <c r="BA16" s="208" t="b">
        <f t="shared" si="27"/>
        <v>0</v>
      </c>
      <c r="BB16" s="208" t="b">
        <f t="shared" si="15"/>
        <v>0</v>
      </c>
      <c r="BC16" s="209" t="b">
        <f t="shared" si="28"/>
        <v>0</v>
      </c>
      <c r="BD16" s="208">
        <f t="shared" si="29"/>
        <v>0</v>
      </c>
      <c r="BF16" s="208" t="b">
        <f t="shared" si="30"/>
        <v>0</v>
      </c>
      <c r="BH16" s="209" t="b">
        <f t="shared" si="31"/>
        <v>0</v>
      </c>
      <c r="BI16" s="209" t="b">
        <f t="shared" si="32"/>
        <v>0</v>
      </c>
      <c r="BK16" s="208" t="b">
        <f t="shared" si="16"/>
        <v>0</v>
      </c>
      <c r="BL16" s="208" t="b">
        <f t="shared" si="33"/>
        <v>0</v>
      </c>
      <c r="BM16" s="208" t="b">
        <f t="shared" si="34"/>
        <v>0</v>
      </c>
    </row>
    <row r="17" spans="1:6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7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0"/>
        <v/>
      </c>
      <c r="X17" s="208" t="str">
        <f t="shared" si="6"/>
        <v/>
      </c>
      <c r="Y17" s="208" t="str">
        <f t="shared" si="21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2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3"/>
        <v/>
      </c>
      <c r="AR17" s="208" t="str">
        <f t="shared" si="14"/>
        <v/>
      </c>
      <c r="AS17" s="208" t="str">
        <f t="shared" si="24"/>
        <v/>
      </c>
      <c r="AV17" s="208" t="b">
        <f t="shared" si="25"/>
        <v>0</v>
      </c>
      <c r="AW17" s="208" t="b">
        <f t="shared" si="26"/>
        <v>0</v>
      </c>
      <c r="BA17" s="208" t="b">
        <f t="shared" si="27"/>
        <v>0</v>
      </c>
      <c r="BB17" s="208" t="b">
        <f t="shared" si="15"/>
        <v>0</v>
      </c>
      <c r="BC17" s="209" t="b">
        <f t="shared" si="28"/>
        <v>0</v>
      </c>
      <c r="BD17" s="208">
        <f t="shared" si="29"/>
        <v>0</v>
      </c>
      <c r="BF17" s="208" t="b">
        <f t="shared" si="30"/>
        <v>0</v>
      </c>
      <c r="BH17" s="209" t="b">
        <f t="shared" si="31"/>
        <v>0</v>
      </c>
      <c r="BI17" s="209" t="b">
        <f t="shared" si="32"/>
        <v>0</v>
      </c>
      <c r="BK17" s="208" t="b">
        <f t="shared" si="16"/>
        <v>0</v>
      </c>
      <c r="BL17" s="208" t="b">
        <f t="shared" si="33"/>
        <v>0</v>
      </c>
      <c r="BM17" s="208" t="b">
        <f t="shared" si="34"/>
        <v>0</v>
      </c>
    </row>
    <row r="18" spans="1:6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7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0"/>
        <v/>
      </c>
      <c r="X18" s="208" t="str">
        <f t="shared" si="6"/>
        <v/>
      </c>
      <c r="Y18" s="208" t="str">
        <f t="shared" si="21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2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3"/>
        <v/>
      </c>
      <c r="AR18" s="208" t="str">
        <f t="shared" si="14"/>
        <v/>
      </c>
      <c r="AS18" s="208" t="str">
        <f t="shared" si="24"/>
        <v/>
      </c>
      <c r="AV18" s="208" t="b">
        <f t="shared" si="25"/>
        <v>0</v>
      </c>
      <c r="AW18" s="208" t="b">
        <f t="shared" si="26"/>
        <v>0</v>
      </c>
      <c r="BA18" s="208" t="b">
        <f t="shared" si="27"/>
        <v>0</v>
      </c>
      <c r="BB18" s="208" t="b">
        <f t="shared" si="15"/>
        <v>0</v>
      </c>
      <c r="BC18" s="209" t="b">
        <f t="shared" si="28"/>
        <v>0</v>
      </c>
      <c r="BD18" s="208">
        <f t="shared" si="29"/>
        <v>0</v>
      </c>
      <c r="BF18" s="208" t="b">
        <f t="shared" si="30"/>
        <v>0</v>
      </c>
      <c r="BH18" s="209" t="b">
        <f t="shared" si="31"/>
        <v>0</v>
      </c>
      <c r="BI18" s="209" t="b">
        <f t="shared" si="32"/>
        <v>0</v>
      </c>
      <c r="BK18" s="208" t="b">
        <f t="shared" si="16"/>
        <v>0</v>
      </c>
      <c r="BL18" s="208" t="b">
        <f t="shared" si="33"/>
        <v>0</v>
      </c>
      <c r="BM18" s="208" t="b">
        <f t="shared" si="34"/>
        <v>0</v>
      </c>
    </row>
    <row r="19" spans="1:6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7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0"/>
        <v/>
      </c>
      <c r="X19" s="208" t="str">
        <f t="shared" si="6"/>
        <v/>
      </c>
      <c r="Y19" s="208" t="str">
        <f t="shared" si="21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2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3"/>
        <v/>
      </c>
      <c r="AR19" s="208" t="str">
        <f t="shared" si="14"/>
        <v/>
      </c>
      <c r="AS19" s="208" t="str">
        <f t="shared" si="24"/>
        <v/>
      </c>
      <c r="AV19" s="208" t="b">
        <f t="shared" si="25"/>
        <v>0</v>
      </c>
      <c r="AW19" s="208" t="b">
        <f t="shared" si="26"/>
        <v>0</v>
      </c>
      <c r="BA19" s="208" t="b">
        <f t="shared" si="27"/>
        <v>0</v>
      </c>
      <c r="BB19" s="208" t="b">
        <f t="shared" si="15"/>
        <v>0</v>
      </c>
      <c r="BC19" s="209" t="b">
        <f t="shared" si="28"/>
        <v>0</v>
      </c>
      <c r="BD19" s="208">
        <f t="shared" si="29"/>
        <v>0</v>
      </c>
      <c r="BF19" s="208" t="b">
        <f t="shared" si="30"/>
        <v>0</v>
      </c>
      <c r="BH19" s="209" t="b">
        <f t="shared" si="31"/>
        <v>0</v>
      </c>
      <c r="BI19" s="209" t="b">
        <f t="shared" si="32"/>
        <v>0</v>
      </c>
      <c r="BK19" s="208" t="b">
        <f t="shared" si="16"/>
        <v>0</v>
      </c>
      <c r="BL19" s="208" t="b">
        <f t="shared" si="33"/>
        <v>0</v>
      </c>
      <c r="BM19" s="208" t="b">
        <f t="shared" si="34"/>
        <v>0</v>
      </c>
    </row>
    <row r="20" spans="1:6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7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0"/>
        <v/>
      </c>
      <c r="X20" s="208" t="str">
        <f t="shared" si="6"/>
        <v/>
      </c>
      <c r="Y20" s="208" t="str">
        <f t="shared" si="21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2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3"/>
        <v/>
      </c>
      <c r="AR20" s="208" t="str">
        <f t="shared" si="14"/>
        <v/>
      </c>
      <c r="AS20" s="208" t="str">
        <f t="shared" si="24"/>
        <v/>
      </c>
      <c r="AV20" s="208" t="b">
        <f t="shared" si="25"/>
        <v>0</v>
      </c>
      <c r="AW20" s="208" t="b">
        <f t="shared" si="26"/>
        <v>0</v>
      </c>
      <c r="BA20" s="208" t="b">
        <f t="shared" si="27"/>
        <v>0</v>
      </c>
      <c r="BB20" s="208" t="b">
        <f t="shared" si="15"/>
        <v>0</v>
      </c>
      <c r="BC20" s="209" t="b">
        <f t="shared" si="28"/>
        <v>0</v>
      </c>
      <c r="BD20" s="208">
        <f t="shared" si="29"/>
        <v>0</v>
      </c>
      <c r="BF20" s="208" t="b">
        <f t="shared" si="30"/>
        <v>0</v>
      </c>
      <c r="BH20" s="209" t="b">
        <f t="shared" si="31"/>
        <v>0</v>
      </c>
      <c r="BI20" s="209" t="b">
        <f t="shared" si="32"/>
        <v>0</v>
      </c>
      <c r="BK20" s="208" t="b">
        <f t="shared" si="16"/>
        <v>0</v>
      </c>
      <c r="BL20" s="208" t="b">
        <f t="shared" si="33"/>
        <v>0</v>
      </c>
      <c r="BM20" s="208" t="b">
        <f t="shared" si="34"/>
        <v>0</v>
      </c>
    </row>
    <row r="21" spans="1:6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7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0"/>
        <v/>
      </c>
      <c r="X21" s="208" t="str">
        <f t="shared" si="6"/>
        <v/>
      </c>
      <c r="Y21" s="208" t="str">
        <f t="shared" si="21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2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3"/>
        <v/>
      </c>
      <c r="AR21" s="208" t="str">
        <f t="shared" si="14"/>
        <v/>
      </c>
      <c r="AS21" s="208" t="str">
        <f t="shared" si="24"/>
        <v/>
      </c>
      <c r="AV21" s="208" t="b">
        <f t="shared" si="25"/>
        <v>0</v>
      </c>
      <c r="AW21" s="208" t="b">
        <f t="shared" si="26"/>
        <v>0</v>
      </c>
      <c r="BA21" s="208" t="b">
        <f t="shared" si="27"/>
        <v>0</v>
      </c>
      <c r="BB21" s="208" t="b">
        <f t="shared" si="15"/>
        <v>0</v>
      </c>
      <c r="BC21" s="209" t="b">
        <f t="shared" si="28"/>
        <v>0</v>
      </c>
      <c r="BD21" s="208">
        <f t="shared" si="29"/>
        <v>0</v>
      </c>
      <c r="BF21" s="208" t="b">
        <f t="shared" si="30"/>
        <v>0</v>
      </c>
      <c r="BH21" s="209" t="b">
        <f t="shared" si="31"/>
        <v>0</v>
      </c>
      <c r="BI21" s="209" t="b">
        <f t="shared" si="32"/>
        <v>0</v>
      </c>
      <c r="BK21" s="208" t="b">
        <f t="shared" si="16"/>
        <v>0</v>
      </c>
      <c r="BL21" s="208" t="b">
        <f t="shared" si="33"/>
        <v>0</v>
      </c>
      <c r="BM21" s="208" t="b">
        <f t="shared" si="34"/>
        <v>0</v>
      </c>
    </row>
    <row r="22" spans="1:6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5">E22*G22</f>
        <v>0</v>
      </c>
      <c r="I22" s="208">
        <v>1</v>
      </c>
      <c r="J22" s="208">
        <f t="shared" si="1"/>
        <v>0</v>
      </c>
      <c r="K22" s="208">
        <f t="shared" ref="K22:K31" si="36">J22*H22</f>
        <v>0</v>
      </c>
      <c r="L22" s="208"/>
      <c r="M22" s="7">
        <f t="shared" si="17"/>
        <v>0</v>
      </c>
      <c r="N22" s="7">
        <f t="shared" si="18"/>
        <v>0</v>
      </c>
      <c r="O22" s="208">
        <v>0</v>
      </c>
      <c r="P22" s="208">
        <v>1</v>
      </c>
      <c r="Q22" s="208">
        <f t="shared" ref="Q22:Q31" si="37">IF(P22&gt;1,O22*J22,0)</f>
        <v>0</v>
      </c>
      <c r="R22" s="208">
        <v>0</v>
      </c>
      <c r="S22" s="208">
        <f t="shared" ref="S22:S31" si="38">IF(P22=2,Q22*0.155,0)</f>
        <v>0</v>
      </c>
      <c r="T22" s="208">
        <f t="shared" ref="T22:T31" si="39">IF(P22=3,Q22*0.05,0)</f>
        <v>0</v>
      </c>
      <c r="U22" s="208">
        <f t="shared" ref="U22:U31" si="40">IF(P22=4,Q22*0.1,0)</f>
        <v>0</v>
      </c>
      <c r="V22" s="208"/>
      <c r="W22" s="208" t="str">
        <f t="shared" si="20"/>
        <v/>
      </c>
      <c r="X22" s="208" t="str">
        <f t="shared" si="6"/>
        <v/>
      </c>
      <c r="Y22" s="208" t="str">
        <f t="shared" si="21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1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3"/>
        <v/>
      </c>
      <c r="AR22" s="208" t="str">
        <f t="shared" si="14"/>
        <v/>
      </c>
      <c r="AS22" s="208" t="str">
        <f t="shared" si="24"/>
        <v/>
      </c>
      <c r="AV22" s="208" t="b">
        <f t="shared" si="25"/>
        <v>0</v>
      </c>
      <c r="AW22" s="208" t="b">
        <f t="shared" si="26"/>
        <v>0</v>
      </c>
      <c r="BA22" s="208" t="b">
        <f t="shared" si="27"/>
        <v>0</v>
      </c>
      <c r="BB22" s="208" t="b">
        <f t="shared" si="15"/>
        <v>0</v>
      </c>
      <c r="BC22" s="209" t="b">
        <f t="shared" si="28"/>
        <v>0</v>
      </c>
      <c r="BD22" s="208">
        <f t="shared" si="29"/>
        <v>0</v>
      </c>
      <c r="BF22" s="208" t="b">
        <f t="shared" si="30"/>
        <v>0</v>
      </c>
      <c r="BH22" s="209" t="b">
        <f t="shared" si="31"/>
        <v>0</v>
      </c>
      <c r="BI22" s="209" t="b">
        <f t="shared" si="32"/>
        <v>0</v>
      </c>
      <c r="BK22" s="208" t="b">
        <f t="shared" si="16"/>
        <v>0</v>
      </c>
      <c r="BL22" s="208" t="b">
        <f t="shared" si="33"/>
        <v>0</v>
      </c>
      <c r="BM22" s="208" t="b">
        <f t="shared" si="34"/>
        <v>0</v>
      </c>
    </row>
    <row r="23" spans="1:6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5"/>
        <v>0</v>
      </c>
      <c r="I23" s="208">
        <v>1</v>
      </c>
      <c r="J23" s="208">
        <f t="shared" si="1"/>
        <v>0</v>
      </c>
      <c r="K23" s="208">
        <f t="shared" si="36"/>
        <v>0</v>
      </c>
      <c r="L23" s="208"/>
      <c r="M23" s="7">
        <f t="shared" si="17"/>
        <v>0</v>
      </c>
      <c r="N23" s="7">
        <f t="shared" si="18"/>
        <v>0</v>
      </c>
      <c r="O23" s="208">
        <v>0</v>
      </c>
      <c r="P23" s="208">
        <v>1</v>
      </c>
      <c r="Q23" s="208">
        <f t="shared" si="37"/>
        <v>0</v>
      </c>
      <c r="R23" s="208">
        <v>0</v>
      </c>
      <c r="S23" s="208">
        <f t="shared" si="38"/>
        <v>0</v>
      </c>
      <c r="T23" s="208">
        <f t="shared" si="39"/>
        <v>0</v>
      </c>
      <c r="U23" s="208">
        <f t="shared" si="40"/>
        <v>0</v>
      </c>
      <c r="V23" s="208"/>
      <c r="W23" s="208" t="str">
        <f t="shared" si="20"/>
        <v/>
      </c>
      <c r="X23" s="208" t="str">
        <f t="shared" si="6"/>
        <v/>
      </c>
      <c r="Y23" s="208" t="str">
        <f t="shared" si="21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1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3"/>
        <v/>
      </c>
      <c r="AR23" s="208" t="str">
        <f t="shared" si="14"/>
        <v/>
      </c>
      <c r="AS23" s="208" t="str">
        <f t="shared" si="24"/>
        <v/>
      </c>
      <c r="AV23" s="208" t="b">
        <f t="shared" si="25"/>
        <v>0</v>
      </c>
      <c r="AW23" s="208" t="b">
        <f t="shared" si="26"/>
        <v>0</v>
      </c>
      <c r="BA23" s="208" t="b">
        <f t="shared" si="27"/>
        <v>0</v>
      </c>
      <c r="BB23" s="208" t="b">
        <f t="shared" si="15"/>
        <v>0</v>
      </c>
      <c r="BC23" s="209" t="b">
        <f t="shared" si="28"/>
        <v>0</v>
      </c>
      <c r="BD23" s="208">
        <f t="shared" si="29"/>
        <v>0</v>
      </c>
      <c r="BF23" s="208" t="b">
        <f t="shared" si="30"/>
        <v>0</v>
      </c>
      <c r="BH23" s="209" t="b">
        <f t="shared" si="31"/>
        <v>0</v>
      </c>
      <c r="BI23" s="209" t="b">
        <f t="shared" si="32"/>
        <v>0</v>
      </c>
      <c r="BK23" s="208" t="b">
        <f t="shared" si="16"/>
        <v>0</v>
      </c>
      <c r="BL23" s="208" t="b">
        <f t="shared" si="33"/>
        <v>0</v>
      </c>
      <c r="BM23" s="208" t="b">
        <f t="shared" si="34"/>
        <v>0</v>
      </c>
    </row>
    <row r="24" spans="1:6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5"/>
        <v>0</v>
      </c>
      <c r="I24" s="208">
        <v>1</v>
      </c>
      <c r="J24" s="208">
        <f t="shared" si="1"/>
        <v>0</v>
      </c>
      <c r="K24" s="208">
        <f t="shared" si="36"/>
        <v>0</v>
      </c>
      <c r="L24" s="208"/>
      <c r="M24" s="7">
        <f t="shared" si="17"/>
        <v>0</v>
      </c>
      <c r="N24" s="7">
        <f t="shared" si="18"/>
        <v>0</v>
      </c>
      <c r="O24" s="208">
        <v>0</v>
      </c>
      <c r="P24" s="208">
        <v>1</v>
      </c>
      <c r="Q24" s="208">
        <f t="shared" si="37"/>
        <v>0</v>
      </c>
      <c r="R24" s="208">
        <v>0</v>
      </c>
      <c r="S24" s="208">
        <f t="shared" si="38"/>
        <v>0</v>
      </c>
      <c r="T24" s="208">
        <f t="shared" si="39"/>
        <v>0</v>
      </c>
      <c r="U24" s="208">
        <f t="shared" si="40"/>
        <v>0</v>
      </c>
      <c r="V24" s="208"/>
      <c r="W24" s="208" t="str">
        <f t="shared" si="20"/>
        <v/>
      </c>
      <c r="X24" s="208" t="str">
        <f t="shared" si="6"/>
        <v/>
      </c>
      <c r="Y24" s="208" t="str">
        <f t="shared" si="21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1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3"/>
        <v/>
      </c>
      <c r="AR24" s="208" t="str">
        <f t="shared" si="14"/>
        <v/>
      </c>
      <c r="AS24" s="208" t="str">
        <f t="shared" si="24"/>
        <v/>
      </c>
      <c r="AV24" s="208" t="b">
        <f t="shared" si="25"/>
        <v>0</v>
      </c>
      <c r="AW24" s="208" t="b">
        <f t="shared" si="26"/>
        <v>0</v>
      </c>
      <c r="BA24" s="208" t="b">
        <f t="shared" si="27"/>
        <v>0</v>
      </c>
      <c r="BB24" s="208" t="b">
        <f t="shared" si="15"/>
        <v>0</v>
      </c>
      <c r="BC24" s="209" t="b">
        <f t="shared" si="28"/>
        <v>0</v>
      </c>
      <c r="BD24" s="208">
        <f t="shared" si="29"/>
        <v>0</v>
      </c>
      <c r="BF24" s="208" t="b">
        <f t="shared" si="30"/>
        <v>0</v>
      </c>
      <c r="BH24" s="209" t="b">
        <f t="shared" si="31"/>
        <v>0</v>
      </c>
      <c r="BI24" s="209" t="b">
        <f t="shared" si="32"/>
        <v>0</v>
      </c>
      <c r="BK24" s="208" t="b">
        <f t="shared" si="16"/>
        <v>0</v>
      </c>
      <c r="BL24" s="208" t="b">
        <f t="shared" si="33"/>
        <v>0</v>
      </c>
      <c r="BM24" s="208" t="b">
        <f t="shared" si="34"/>
        <v>0</v>
      </c>
    </row>
    <row r="25" spans="1:6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5"/>
        <v>0</v>
      </c>
      <c r="I25" s="208">
        <v>1</v>
      </c>
      <c r="J25" s="208">
        <f t="shared" si="1"/>
        <v>0</v>
      </c>
      <c r="K25" s="208">
        <f t="shared" si="36"/>
        <v>0</v>
      </c>
      <c r="L25" s="208"/>
      <c r="M25" s="7">
        <f t="shared" si="17"/>
        <v>0</v>
      </c>
      <c r="N25" s="7">
        <f t="shared" si="18"/>
        <v>0</v>
      </c>
      <c r="O25" s="208">
        <v>0</v>
      </c>
      <c r="P25" s="208">
        <v>1</v>
      </c>
      <c r="Q25" s="208">
        <f t="shared" si="37"/>
        <v>0</v>
      </c>
      <c r="R25" s="208">
        <v>0</v>
      </c>
      <c r="S25" s="208">
        <f t="shared" si="38"/>
        <v>0</v>
      </c>
      <c r="T25" s="208">
        <f t="shared" si="39"/>
        <v>0</v>
      </c>
      <c r="U25" s="208">
        <f t="shared" si="40"/>
        <v>0</v>
      </c>
      <c r="V25" s="208"/>
      <c r="W25" s="208" t="str">
        <f t="shared" si="20"/>
        <v/>
      </c>
      <c r="X25" s="208" t="str">
        <f t="shared" si="6"/>
        <v/>
      </c>
      <c r="Y25" s="208" t="str">
        <f t="shared" si="21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1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3"/>
        <v/>
      </c>
      <c r="AR25" s="208" t="str">
        <f t="shared" si="14"/>
        <v/>
      </c>
      <c r="AS25" s="208" t="str">
        <f t="shared" si="24"/>
        <v/>
      </c>
      <c r="AV25" s="208" t="b">
        <f t="shared" si="25"/>
        <v>0</v>
      </c>
      <c r="AW25" s="208" t="b">
        <f t="shared" si="26"/>
        <v>0</v>
      </c>
      <c r="BA25" s="208" t="b">
        <f t="shared" si="27"/>
        <v>0</v>
      </c>
      <c r="BB25" s="208" t="b">
        <f t="shared" si="15"/>
        <v>0</v>
      </c>
      <c r="BC25" s="209" t="b">
        <f t="shared" si="28"/>
        <v>0</v>
      </c>
      <c r="BD25" s="208">
        <f t="shared" si="29"/>
        <v>0</v>
      </c>
      <c r="BF25" s="208" t="b">
        <f t="shared" si="30"/>
        <v>0</v>
      </c>
      <c r="BH25" s="209" t="b">
        <f t="shared" si="31"/>
        <v>0</v>
      </c>
      <c r="BI25" s="209" t="b">
        <f t="shared" si="32"/>
        <v>0</v>
      </c>
      <c r="BK25" s="208" t="b">
        <f t="shared" si="16"/>
        <v>0</v>
      </c>
      <c r="BL25" s="208" t="b">
        <f t="shared" si="33"/>
        <v>0</v>
      </c>
      <c r="BM25" s="208" t="b">
        <f t="shared" si="34"/>
        <v>0</v>
      </c>
    </row>
    <row r="26" spans="1:6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5"/>
        <v>0</v>
      </c>
      <c r="I26" s="208">
        <v>1</v>
      </c>
      <c r="J26" s="208">
        <f t="shared" si="1"/>
        <v>0</v>
      </c>
      <c r="K26" s="208">
        <f t="shared" si="36"/>
        <v>0</v>
      </c>
      <c r="L26" s="208"/>
      <c r="M26" s="7">
        <f t="shared" si="17"/>
        <v>0</v>
      </c>
      <c r="N26" s="7">
        <f t="shared" si="18"/>
        <v>0</v>
      </c>
      <c r="O26" s="208">
        <v>0</v>
      </c>
      <c r="P26" s="208">
        <v>1</v>
      </c>
      <c r="Q26" s="208">
        <f t="shared" si="37"/>
        <v>0</v>
      </c>
      <c r="R26" s="208">
        <v>0</v>
      </c>
      <c r="S26" s="208">
        <f t="shared" si="38"/>
        <v>0</v>
      </c>
      <c r="T26" s="208">
        <f t="shared" si="39"/>
        <v>0</v>
      </c>
      <c r="U26" s="208">
        <f t="shared" si="40"/>
        <v>0</v>
      </c>
      <c r="V26" s="208"/>
      <c r="W26" s="208" t="str">
        <f t="shared" si="20"/>
        <v/>
      </c>
      <c r="X26" s="208" t="str">
        <f t="shared" si="6"/>
        <v/>
      </c>
      <c r="Y26" s="208" t="str">
        <f t="shared" si="21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1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3"/>
        <v/>
      </c>
      <c r="AR26" s="208" t="str">
        <f t="shared" si="14"/>
        <v/>
      </c>
      <c r="AS26" s="208" t="str">
        <f t="shared" si="24"/>
        <v/>
      </c>
      <c r="AV26" s="208" t="b">
        <f t="shared" si="25"/>
        <v>0</v>
      </c>
      <c r="AW26" s="208" t="b">
        <f t="shared" si="26"/>
        <v>0</v>
      </c>
      <c r="BA26" s="208" t="b">
        <f t="shared" si="27"/>
        <v>0</v>
      </c>
      <c r="BB26" s="208" t="b">
        <f t="shared" si="15"/>
        <v>0</v>
      </c>
      <c r="BC26" s="209" t="b">
        <f t="shared" si="28"/>
        <v>0</v>
      </c>
      <c r="BD26" s="208">
        <f t="shared" si="29"/>
        <v>0</v>
      </c>
      <c r="BF26" s="208" t="b">
        <f t="shared" si="30"/>
        <v>0</v>
      </c>
      <c r="BH26" s="209" t="b">
        <f t="shared" si="31"/>
        <v>0</v>
      </c>
      <c r="BI26" s="209" t="b">
        <f t="shared" si="32"/>
        <v>0</v>
      </c>
      <c r="BK26" s="208" t="b">
        <f t="shared" si="16"/>
        <v>0</v>
      </c>
      <c r="BL26" s="208" t="b">
        <f t="shared" si="33"/>
        <v>0</v>
      </c>
      <c r="BM26" s="208" t="b">
        <f t="shared" si="34"/>
        <v>0</v>
      </c>
    </row>
    <row r="27" spans="1:6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5"/>
        <v>0</v>
      </c>
      <c r="I27" s="208">
        <v>1</v>
      </c>
      <c r="J27" s="208">
        <f t="shared" si="1"/>
        <v>0</v>
      </c>
      <c r="K27" s="208">
        <f t="shared" si="36"/>
        <v>0</v>
      </c>
      <c r="L27" s="208"/>
      <c r="M27" s="7">
        <f t="shared" si="17"/>
        <v>0</v>
      </c>
      <c r="N27" s="7">
        <f t="shared" si="18"/>
        <v>0</v>
      </c>
      <c r="O27" s="208">
        <v>0</v>
      </c>
      <c r="P27" s="208">
        <v>1</v>
      </c>
      <c r="Q27" s="208">
        <f t="shared" si="37"/>
        <v>0</v>
      </c>
      <c r="R27" s="208">
        <v>0</v>
      </c>
      <c r="S27" s="208">
        <f t="shared" si="38"/>
        <v>0</v>
      </c>
      <c r="T27" s="208">
        <f t="shared" si="39"/>
        <v>0</v>
      </c>
      <c r="U27" s="208">
        <f t="shared" si="40"/>
        <v>0</v>
      </c>
      <c r="V27" s="208"/>
      <c r="W27" s="208" t="str">
        <f t="shared" si="20"/>
        <v/>
      </c>
      <c r="X27" s="208" t="str">
        <f t="shared" si="6"/>
        <v/>
      </c>
      <c r="Y27" s="208" t="str">
        <f t="shared" si="21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1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3"/>
        <v/>
      </c>
      <c r="AR27" s="208" t="str">
        <f t="shared" si="14"/>
        <v/>
      </c>
      <c r="AS27" s="208" t="str">
        <f t="shared" si="24"/>
        <v/>
      </c>
      <c r="AV27" s="208" t="b">
        <f t="shared" si="25"/>
        <v>0</v>
      </c>
      <c r="AW27" s="208" t="b">
        <f t="shared" si="26"/>
        <v>0</v>
      </c>
      <c r="BA27" s="208" t="b">
        <f t="shared" si="27"/>
        <v>0</v>
      </c>
      <c r="BB27" s="208" t="b">
        <f t="shared" si="15"/>
        <v>0</v>
      </c>
      <c r="BC27" s="209" t="b">
        <f t="shared" si="28"/>
        <v>0</v>
      </c>
      <c r="BD27" s="208">
        <f t="shared" si="29"/>
        <v>0</v>
      </c>
      <c r="BF27" s="208" t="b">
        <f t="shared" si="30"/>
        <v>0</v>
      </c>
      <c r="BH27" s="209" t="b">
        <f t="shared" si="31"/>
        <v>0</v>
      </c>
      <c r="BI27" s="209" t="b">
        <f t="shared" si="32"/>
        <v>0</v>
      </c>
      <c r="BK27" s="208" t="b">
        <f t="shared" si="16"/>
        <v>0</v>
      </c>
      <c r="BL27" s="208" t="b">
        <f t="shared" si="33"/>
        <v>0</v>
      </c>
      <c r="BM27" s="208" t="b">
        <f t="shared" si="34"/>
        <v>0</v>
      </c>
    </row>
    <row r="28" spans="1:6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5"/>
        <v>0</v>
      </c>
      <c r="I28" s="208">
        <v>1</v>
      </c>
      <c r="J28" s="208">
        <f t="shared" si="1"/>
        <v>0</v>
      </c>
      <c r="K28" s="208">
        <f t="shared" si="36"/>
        <v>0</v>
      </c>
      <c r="L28" s="208"/>
      <c r="M28" s="7">
        <f t="shared" si="17"/>
        <v>0</v>
      </c>
      <c r="N28" s="7">
        <f t="shared" si="18"/>
        <v>0</v>
      </c>
      <c r="O28" s="208">
        <v>0</v>
      </c>
      <c r="P28" s="208">
        <v>1</v>
      </c>
      <c r="Q28" s="208">
        <f t="shared" si="37"/>
        <v>0</v>
      </c>
      <c r="R28" s="208">
        <v>0</v>
      </c>
      <c r="S28" s="208">
        <f t="shared" si="38"/>
        <v>0</v>
      </c>
      <c r="T28" s="208">
        <f t="shared" si="39"/>
        <v>0</v>
      </c>
      <c r="U28" s="208">
        <f t="shared" si="40"/>
        <v>0</v>
      </c>
      <c r="V28" s="208"/>
      <c r="W28" s="208" t="str">
        <f t="shared" si="20"/>
        <v/>
      </c>
      <c r="X28" s="208" t="str">
        <f t="shared" si="6"/>
        <v/>
      </c>
      <c r="Y28" s="208" t="str">
        <f t="shared" si="21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1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3"/>
        <v/>
      </c>
      <c r="AR28" s="208" t="str">
        <f t="shared" si="14"/>
        <v/>
      </c>
      <c r="AS28" s="208" t="str">
        <f t="shared" si="24"/>
        <v/>
      </c>
      <c r="AV28" s="208" t="b">
        <f t="shared" si="25"/>
        <v>0</v>
      </c>
      <c r="AW28" s="208" t="b">
        <f t="shared" si="26"/>
        <v>0</v>
      </c>
      <c r="BA28" s="208" t="b">
        <f t="shared" si="27"/>
        <v>0</v>
      </c>
      <c r="BB28" s="208" t="b">
        <f t="shared" si="15"/>
        <v>0</v>
      </c>
      <c r="BC28" s="209" t="b">
        <f t="shared" si="28"/>
        <v>0</v>
      </c>
      <c r="BD28" s="208">
        <f t="shared" si="29"/>
        <v>0</v>
      </c>
      <c r="BF28" s="208" t="b">
        <f t="shared" si="30"/>
        <v>0</v>
      </c>
      <c r="BH28" s="209" t="b">
        <f t="shared" si="31"/>
        <v>0</v>
      </c>
      <c r="BI28" s="209" t="b">
        <f t="shared" si="32"/>
        <v>0</v>
      </c>
      <c r="BK28" s="208" t="b">
        <f t="shared" si="16"/>
        <v>0</v>
      </c>
      <c r="BL28" s="208" t="b">
        <f t="shared" si="33"/>
        <v>0</v>
      </c>
      <c r="BM28" s="208" t="b">
        <f t="shared" si="34"/>
        <v>0</v>
      </c>
    </row>
    <row r="29" spans="1:6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5"/>
        <v>0</v>
      </c>
      <c r="I29" s="208">
        <v>1</v>
      </c>
      <c r="J29" s="208">
        <f t="shared" si="1"/>
        <v>0</v>
      </c>
      <c r="K29" s="208">
        <f t="shared" si="36"/>
        <v>0</v>
      </c>
      <c r="L29" s="208"/>
      <c r="M29" s="7">
        <f t="shared" si="17"/>
        <v>0</v>
      </c>
      <c r="N29" s="7">
        <f t="shared" si="18"/>
        <v>0</v>
      </c>
      <c r="O29" s="208">
        <v>0</v>
      </c>
      <c r="P29" s="208">
        <v>1</v>
      </c>
      <c r="Q29" s="208">
        <f t="shared" si="37"/>
        <v>0</v>
      </c>
      <c r="R29" s="208">
        <v>0</v>
      </c>
      <c r="S29" s="208">
        <f t="shared" si="38"/>
        <v>0</v>
      </c>
      <c r="T29" s="208">
        <f t="shared" si="39"/>
        <v>0</v>
      </c>
      <c r="U29" s="208">
        <f t="shared" si="40"/>
        <v>0</v>
      </c>
      <c r="V29" s="208"/>
      <c r="W29" s="208" t="str">
        <f t="shared" si="20"/>
        <v/>
      </c>
      <c r="X29" s="208" t="str">
        <f t="shared" si="6"/>
        <v/>
      </c>
      <c r="Y29" s="208" t="str">
        <f t="shared" si="21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1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3"/>
        <v/>
      </c>
      <c r="AR29" s="208" t="str">
        <f t="shared" si="14"/>
        <v/>
      </c>
      <c r="AS29" s="208" t="str">
        <f t="shared" si="24"/>
        <v/>
      </c>
      <c r="AV29" s="208" t="b">
        <f t="shared" si="25"/>
        <v>0</v>
      </c>
      <c r="AW29" s="208" t="b">
        <f t="shared" si="26"/>
        <v>0</v>
      </c>
      <c r="BA29" s="208" t="b">
        <f t="shared" si="27"/>
        <v>0</v>
      </c>
      <c r="BB29" s="208" t="b">
        <f t="shared" si="15"/>
        <v>0</v>
      </c>
      <c r="BC29" s="209" t="b">
        <f t="shared" si="28"/>
        <v>0</v>
      </c>
      <c r="BD29" s="208">
        <f t="shared" si="29"/>
        <v>0</v>
      </c>
      <c r="BF29" s="208" t="b">
        <f t="shared" si="30"/>
        <v>0</v>
      </c>
      <c r="BH29" s="209" t="b">
        <f t="shared" si="31"/>
        <v>0</v>
      </c>
      <c r="BI29" s="209" t="b">
        <f t="shared" si="32"/>
        <v>0</v>
      </c>
      <c r="BK29" s="208" t="b">
        <f t="shared" si="16"/>
        <v>0</v>
      </c>
      <c r="BL29" s="208" t="b">
        <f t="shared" si="33"/>
        <v>0</v>
      </c>
      <c r="BM29" s="208" t="b">
        <f t="shared" si="34"/>
        <v>0</v>
      </c>
    </row>
    <row r="30" spans="1:6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5"/>
        <v>0</v>
      </c>
      <c r="I30" s="208">
        <v>1</v>
      </c>
      <c r="J30" s="208">
        <f t="shared" si="1"/>
        <v>0</v>
      </c>
      <c r="K30" s="208">
        <f t="shared" si="36"/>
        <v>0</v>
      </c>
      <c r="L30" s="208"/>
      <c r="M30" s="7">
        <f t="shared" si="17"/>
        <v>0</v>
      </c>
      <c r="N30" s="7">
        <f t="shared" si="18"/>
        <v>0</v>
      </c>
      <c r="O30" s="208">
        <v>0</v>
      </c>
      <c r="P30" s="208">
        <v>1</v>
      </c>
      <c r="Q30" s="208">
        <f t="shared" si="37"/>
        <v>0</v>
      </c>
      <c r="R30" s="208">
        <v>0</v>
      </c>
      <c r="S30" s="208">
        <f t="shared" si="38"/>
        <v>0</v>
      </c>
      <c r="T30" s="208">
        <f t="shared" si="39"/>
        <v>0</v>
      </c>
      <c r="U30" s="208">
        <f t="shared" si="40"/>
        <v>0</v>
      </c>
      <c r="V30" s="208"/>
      <c r="W30" s="208" t="str">
        <f t="shared" si="20"/>
        <v/>
      </c>
      <c r="X30" s="208" t="str">
        <f t="shared" si="6"/>
        <v/>
      </c>
      <c r="Y30" s="208" t="str">
        <f t="shared" si="21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1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3"/>
        <v/>
      </c>
      <c r="AR30" s="208" t="str">
        <f t="shared" si="14"/>
        <v/>
      </c>
      <c r="AS30" s="208" t="str">
        <f t="shared" si="24"/>
        <v/>
      </c>
      <c r="AV30" s="208" t="b">
        <f t="shared" si="25"/>
        <v>0</v>
      </c>
      <c r="AW30" s="208" t="b">
        <f t="shared" si="26"/>
        <v>0</v>
      </c>
      <c r="BA30" s="208" t="b">
        <f t="shared" si="27"/>
        <v>0</v>
      </c>
      <c r="BB30" s="208" t="b">
        <f t="shared" si="15"/>
        <v>0</v>
      </c>
      <c r="BC30" s="209" t="b">
        <f t="shared" si="28"/>
        <v>0</v>
      </c>
      <c r="BD30" s="208">
        <f t="shared" si="29"/>
        <v>0</v>
      </c>
      <c r="BF30" s="208" t="b">
        <f t="shared" si="30"/>
        <v>0</v>
      </c>
      <c r="BH30" s="209" t="b">
        <f t="shared" si="31"/>
        <v>0</v>
      </c>
      <c r="BI30" s="209" t="b">
        <f t="shared" si="32"/>
        <v>0</v>
      </c>
      <c r="BK30" s="208" t="b">
        <f t="shared" si="16"/>
        <v>0</v>
      </c>
      <c r="BL30" s="208" t="b">
        <f t="shared" si="33"/>
        <v>0</v>
      </c>
      <c r="BM30" s="208" t="b">
        <f t="shared" si="34"/>
        <v>0</v>
      </c>
    </row>
    <row r="31" spans="1:6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5"/>
        <v>0</v>
      </c>
      <c r="I31" s="208">
        <v>1</v>
      </c>
      <c r="J31" s="208">
        <f t="shared" si="1"/>
        <v>0</v>
      </c>
      <c r="K31" s="208">
        <f t="shared" si="36"/>
        <v>0</v>
      </c>
      <c r="L31" s="208"/>
      <c r="M31" s="7">
        <f t="shared" si="17"/>
        <v>0</v>
      </c>
      <c r="N31" s="7">
        <f t="shared" si="18"/>
        <v>0</v>
      </c>
      <c r="O31" s="208">
        <v>0</v>
      </c>
      <c r="P31" s="208">
        <v>1</v>
      </c>
      <c r="Q31" s="208">
        <f t="shared" si="37"/>
        <v>0</v>
      </c>
      <c r="R31" s="208">
        <v>0</v>
      </c>
      <c r="S31" s="208">
        <f t="shared" si="38"/>
        <v>0</v>
      </c>
      <c r="T31" s="208">
        <f t="shared" si="39"/>
        <v>0</v>
      </c>
      <c r="U31" s="208">
        <f t="shared" si="40"/>
        <v>0</v>
      </c>
      <c r="V31" s="208"/>
      <c r="W31" s="208" t="str">
        <f t="shared" si="20"/>
        <v/>
      </c>
      <c r="X31" s="208" t="str">
        <f t="shared" si="6"/>
        <v/>
      </c>
      <c r="Y31" s="208" t="str">
        <f t="shared" si="21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1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3"/>
        <v/>
      </c>
      <c r="AR31" s="208" t="str">
        <f t="shared" si="14"/>
        <v/>
      </c>
      <c r="AS31" s="208" t="str">
        <f t="shared" si="24"/>
        <v/>
      </c>
      <c r="AV31" s="208" t="b">
        <f t="shared" si="25"/>
        <v>0</v>
      </c>
      <c r="AW31" s="208" t="b">
        <f t="shared" si="26"/>
        <v>0</v>
      </c>
      <c r="BA31" s="208" t="b">
        <f t="shared" si="27"/>
        <v>0</v>
      </c>
      <c r="BB31" s="208" t="b">
        <f t="shared" si="15"/>
        <v>0</v>
      </c>
      <c r="BC31" s="209" t="b">
        <f t="shared" si="28"/>
        <v>0</v>
      </c>
      <c r="BD31" s="208">
        <f t="shared" si="29"/>
        <v>0</v>
      </c>
      <c r="BF31" s="208" t="b">
        <f t="shared" si="30"/>
        <v>0</v>
      </c>
      <c r="BH31" s="209" t="b">
        <f t="shared" si="31"/>
        <v>0</v>
      </c>
      <c r="BI31" s="209" t="b">
        <f t="shared" si="32"/>
        <v>0</v>
      </c>
      <c r="BK31" s="208" t="b">
        <f t="shared" si="16"/>
        <v>0</v>
      </c>
      <c r="BL31" s="208" t="b">
        <f t="shared" si="33"/>
        <v>0</v>
      </c>
      <c r="BM31" s="208" t="b">
        <f t="shared" si="34"/>
        <v>0</v>
      </c>
    </row>
    <row r="32" spans="1:6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F22" sqref="F22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4552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4553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4554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4555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4556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4557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4558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4559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4560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4561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4562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4563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4564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5438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4565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4566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5437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4567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4568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4569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4570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4571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4572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4573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4574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4575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0</v>
      </c>
      <c r="D2" s="208" t="s">
        <v>5393</v>
      </c>
      <c r="E2" s="209" t="s">
        <v>2780</v>
      </c>
      <c r="G2" s="209" t="s">
        <v>3525</v>
      </c>
      <c r="H2" s="352" t="s">
        <v>3518</v>
      </c>
      <c r="I2" s="352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5394</v>
      </c>
      <c r="E3" s="209" t="s">
        <v>2781</v>
      </c>
      <c r="G3" s="209" t="s">
        <v>3522</v>
      </c>
      <c r="H3" s="372" t="s">
        <v>3522</v>
      </c>
      <c r="I3" s="372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3" t="s">
        <v>3530</v>
      </c>
      <c r="Q3" s="413" t="s">
        <v>3522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5395</v>
      </c>
      <c r="E4" s="209" t="s">
        <v>2782</v>
      </c>
      <c r="G4" s="209" t="s">
        <v>3521</v>
      </c>
      <c r="H4" s="690" t="s">
        <v>3521</v>
      </c>
      <c r="I4" s="690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92" t="s">
        <v>3530</v>
      </c>
      <c r="Q4" s="692" t="s">
        <v>3521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5396</v>
      </c>
      <c r="E5" s="209" t="s">
        <v>2783</v>
      </c>
      <c r="G5" s="209" t="s">
        <v>3519</v>
      </c>
      <c r="H5" s="660" t="s">
        <v>3519</v>
      </c>
      <c r="I5" s="660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61" t="s">
        <v>3530</v>
      </c>
      <c r="Q5" s="661" t="s">
        <v>3519</v>
      </c>
      <c r="R5" s="661"/>
    </row>
    <row r="6" spans="1:18" x14ac:dyDescent="0.2">
      <c r="A6" s="209" t="s">
        <v>894</v>
      </c>
      <c r="B6" s="209" t="s">
        <v>3530</v>
      </c>
      <c r="C6" s="208"/>
      <c r="D6" s="208" t="s">
        <v>5397</v>
      </c>
      <c r="E6" s="209" t="s">
        <v>2784</v>
      </c>
      <c r="G6" s="209" t="s">
        <v>3520</v>
      </c>
      <c r="H6" s="691" t="s">
        <v>3520</v>
      </c>
      <c r="I6" s="691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704" t="s">
        <v>3530</v>
      </c>
      <c r="Q6" s="704" t="s">
        <v>3520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5398</v>
      </c>
      <c r="E7" s="209" t="s">
        <v>2785</v>
      </c>
      <c r="G7" s="209" t="s">
        <v>3523</v>
      </c>
      <c r="H7" s="723" t="s">
        <v>3523</v>
      </c>
      <c r="I7" s="723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24" t="s">
        <v>3530</v>
      </c>
      <c r="Q7" s="724" t="s">
        <v>3523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5399</v>
      </c>
      <c r="E8" s="209" t="s">
        <v>2786</v>
      </c>
      <c r="G8" s="209" t="s">
        <v>3526</v>
      </c>
      <c r="H8" s="353" t="s">
        <v>89</v>
      </c>
      <c r="I8" s="353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70" t="s">
        <v>3530</v>
      </c>
      <c r="Q8" s="370" t="s">
        <v>3526</v>
      </c>
      <c r="R8" s="370"/>
    </row>
    <row r="9" spans="1:18" x14ac:dyDescent="0.2">
      <c r="A9" s="209" t="s">
        <v>899</v>
      </c>
      <c r="B9" t="s">
        <v>4977</v>
      </c>
      <c r="C9" s="208"/>
      <c r="D9" s="208" t="s">
        <v>5400</v>
      </c>
      <c r="E9" s="209" t="s">
        <v>2787</v>
      </c>
      <c r="G9" s="209" t="s">
        <v>3524</v>
      </c>
      <c r="H9" s="354" t="s">
        <v>3524</v>
      </c>
      <c r="I9" s="354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71" t="s">
        <v>3530</v>
      </c>
      <c r="Q9" s="371" t="s">
        <v>3524</v>
      </c>
      <c r="R9" s="371"/>
    </row>
    <row r="10" spans="1:18" x14ac:dyDescent="0.2">
      <c r="A10" s="209" t="s">
        <v>902</v>
      </c>
      <c r="B10" s="209" t="s">
        <v>4978</v>
      </c>
      <c r="C10" s="208"/>
      <c r="D10" s="208" t="s">
        <v>5401</v>
      </c>
      <c r="E10" s="209" t="s">
        <v>2788</v>
      </c>
      <c r="G10" s="209" t="s">
        <v>4532</v>
      </c>
      <c r="H10" s="519" t="s">
        <v>4532</v>
      </c>
      <c r="I10" s="519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5402</v>
      </c>
      <c r="E11" s="209" t="s">
        <v>2789</v>
      </c>
      <c r="G11" s="209" t="s">
        <v>3514</v>
      </c>
      <c r="H11" s="520" t="s">
        <v>3514</v>
      </c>
      <c r="I11" s="520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5403</v>
      </c>
      <c r="E12" s="209" t="s">
        <v>2790</v>
      </c>
      <c r="G12" s="209" t="s">
        <v>3515</v>
      </c>
      <c r="H12" s="521" t="s">
        <v>3515</v>
      </c>
      <c r="I12" s="521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5404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5405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5406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5407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5408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5409</v>
      </c>
      <c r="E18" s="209" t="s">
        <v>5232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5410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5411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5412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5332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5413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5414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5415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5416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5417</v>
      </c>
      <c r="E27" s="209" t="s">
        <v>5432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5418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5419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5420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5421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5422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5423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5424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5425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5426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5427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5428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5429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5430</v>
      </c>
      <c r="E40" s="209" t="s">
        <v>5433</v>
      </c>
      <c r="K40" s="209" t="s">
        <v>3534</v>
      </c>
      <c r="L40" s="209" t="s">
        <v>3526</v>
      </c>
    </row>
    <row r="41" spans="4:13" x14ac:dyDescent="0.2">
      <c r="D41" t="s">
        <v>5431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" activePane="bottomLeft" state="frozen"/>
      <selection pane="bottomLeft" activeCell="C16" sqref="C1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5396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6127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5449</v>
      </c>
      <c r="B54" t="s">
        <v>5450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5451</v>
      </c>
      <c r="B55" t="s">
        <v>5452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5453</v>
      </c>
      <c r="B56" t="s">
        <v>5454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5455</v>
      </c>
      <c r="B57" t="s">
        <v>5456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5457</v>
      </c>
      <c r="B58" t="s">
        <v>5458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5459</v>
      </c>
      <c r="B59" t="s">
        <v>5460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5461</v>
      </c>
      <c r="B60" t="s">
        <v>5462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5463</v>
      </c>
      <c r="B61" t="s">
        <v>5464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5465</v>
      </c>
      <c r="B62" t="s">
        <v>5466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5467</v>
      </c>
      <c r="B63" t="s">
        <v>5468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5469</v>
      </c>
      <c r="B64" t="s">
        <v>5470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5471</v>
      </c>
      <c r="B65" t="s">
        <v>5472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5473</v>
      </c>
      <c r="B66" t="s">
        <v>5474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5475</v>
      </c>
      <c r="B67" t="s">
        <v>5476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5477</v>
      </c>
      <c r="B68" t="s">
        <v>5478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5479</v>
      </c>
      <c r="B69" t="s">
        <v>5480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5481</v>
      </c>
      <c r="B70" t="s">
        <v>5482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5483</v>
      </c>
      <c r="B71" t="s">
        <v>5484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5485</v>
      </c>
      <c r="B72" t="s">
        <v>5486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5487</v>
      </c>
      <c r="B73" t="s">
        <v>5488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5489</v>
      </c>
      <c r="B74" t="s">
        <v>5490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5491</v>
      </c>
      <c r="B75" t="s">
        <v>5492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5493</v>
      </c>
      <c r="B76" t="s">
        <v>5494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5495</v>
      </c>
      <c r="B77" t="s">
        <v>5496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5497</v>
      </c>
      <c r="B78" t="s">
        <v>5498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5499</v>
      </c>
      <c r="B79" t="s">
        <v>5500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5501</v>
      </c>
      <c r="B80" t="s">
        <v>5502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5503</v>
      </c>
      <c r="B81" t="s">
        <v>5504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5505</v>
      </c>
      <c r="B82" t="s">
        <v>5506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5507</v>
      </c>
      <c r="B83" t="s">
        <v>5508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5509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5510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5511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5512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5513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5514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5515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5516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5517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5518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5519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5520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5521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5522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5523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5524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5525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5526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5527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5528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5529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5530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5531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5532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5533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5534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5535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5536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5537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5538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3118</v>
      </c>
      <c r="B174" t="s">
        <v>5828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3119</v>
      </c>
      <c r="B175" t="s">
        <v>5830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3120</v>
      </c>
      <c r="B176" t="s">
        <v>5832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3121</v>
      </c>
      <c r="B177" t="s">
        <v>5834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3122</v>
      </c>
      <c r="B178" t="s">
        <v>5836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3123</v>
      </c>
      <c r="B179" t="s">
        <v>5838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3124</v>
      </c>
      <c r="B180" t="s">
        <v>5840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3125</v>
      </c>
      <c r="B181" t="s">
        <v>5842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3126</v>
      </c>
      <c r="B182" t="s">
        <v>5844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3127</v>
      </c>
      <c r="B183" t="s">
        <v>5846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3128</v>
      </c>
      <c r="B184" t="s">
        <v>5848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3129</v>
      </c>
      <c r="B185" t="s">
        <v>5850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3130</v>
      </c>
      <c r="B186" t="s">
        <v>5852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3131</v>
      </c>
      <c r="B187" t="s">
        <v>5854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3132</v>
      </c>
      <c r="B188" t="s">
        <v>5856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3133</v>
      </c>
      <c r="B189" t="s">
        <v>5858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3134</v>
      </c>
      <c r="B190" t="s">
        <v>5860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3135</v>
      </c>
      <c r="B191" t="s">
        <v>5862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3136</v>
      </c>
      <c r="B192" t="s">
        <v>5864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3137</v>
      </c>
      <c r="B193" t="s">
        <v>5866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3138</v>
      </c>
      <c r="B194" t="s">
        <v>5868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3139</v>
      </c>
      <c r="B195" t="s">
        <v>5870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3140</v>
      </c>
      <c r="B196" t="s">
        <v>5872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3141</v>
      </c>
      <c r="B197" t="s">
        <v>5874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3142</v>
      </c>
      <c r="B198" t="s">
        <v>5876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3143</v>
      </c>
      <c r="B199" t="s">
        <v>5878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3144</v>
      </c>
      <c r="B200" t="s">
        <v>5880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3145</v>
      </c>
      <c r="B201" t="s">
        <v>5882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3146</v>
      </c>
      <c r="B202" t="s">
        <v>5884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3147</v>
      </c>
      <c r="B203" t="s">
        <v>5886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5827</v>
      </c>
      <c r="B204" t="s">
        <v>6097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5829</v>
      </c>
      <c r="B205" t="s">
        <v>6098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5831</v>
      </c>
      <c r="B206" t="s">
        <v>6099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5833</v>
      </c>
      <c r="B207" t="s">
        <v>6100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5835</v>
      </c>
      <c r="B208" t="s">
        <v>6101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5837</v>
      </c>
      <c r="B209" t="s">
        <v>6102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5839</v>
      </c>
      <c r="B210" t="s">
        <v>6103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5841</v>
      </c>
      <c r="B211" t="s">
        <v>6104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5843</v>
      </c>
      <c r="B212" t="s">
        <v>6105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5845</v>
      </c>
      <c r="B213" t="s">
        <v>6106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5847</v>
      </c>
      <c r="B214" t="s">
        <v>6107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5849</v>
      </c>
      <c r="B215" t="s">
        <v>6108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5851</v>
      </c>
      <c r="B216" t="s">
        <v>6109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5853</v>
      </c>
      <c r="B217" t="s">
        <v>6110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5855</v>
      </c>
      <c r="B218" t="s">
        <v>6111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5857</v>
      </c>
      <c r="B219" t="s">
        <v>6112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5859</v>
      </c>
      <c r="B220" t="s">
        <v>6113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5861</v>
      </c>
      <c r="B221" t="s">
        <v>6114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5863</v>
      </c>
      <c r="B222" t="s">
        <v>6115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5865</v>
      </c>
      <c r="B223" t="s">
        <v>6116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5867</v>
      </c>
      <c r="B224" t="s">
        <v>6117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5869</v>
      </c>
      <c r="B225" t="s">
        <v>6118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5871</v>
      </c>
      <c r="B226" t="s">
        <v>6119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5873</v>
      </c>
      <c r="B227" t="s">
        <v>6120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5875</v>
      </c>
      <c r="B228" t="s">
        <v>6121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5877</v>
      </c>
      <c r="B229" t="s">
        <v>6122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5879</v>
      </c>
      <c r="B230" t="s">
        <v>6123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5881</v>
      </c>
      <c r="B231" t="s">
        <v>6124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5883</v>
      </c>
      <c r="B232" t="s">
        <v>6125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5885</v>
      </c>
      <c r="B233" t="s">
        <v>6126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5539</v>
      </c>
      <c r="B354" t="s">
        <v>5540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5541</v>
      </c>
      <c r="B355" t="s">
        <v>5542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5543</v>
      </c>
      <c r="B356" t="s">
        <v>5544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5545</v>
      </c>
      <c r="B357" t="s">
        <v>5546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5547</v>
      </c>
      <c r="B358" t="s">
        <v>5548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5549</v>
      </c>
      <c r="B359" t="s">
        <v>5550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5551</v>
      </c>
      <c r="B360" t="s">
        <v>5552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5553</v>
      </c>
      <c r="B361" t="s">
        <v>5554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5555</v>
      </c>
      <c r="B362" t="s">
        <v>5556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5557</v>
      </c>
      <c r="B363" t="s">
        <v>5558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5559</v>
      </c>
      <c r="B364" t="s">
        <v>5560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5561</v>
      </c>
      <c r="B365" t="s">
        <v>5562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5563</v>
      </c>
      <c r="B366" t="s">
        <v>5564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5565</v>
      </c>
      <c r="B367" t="s">
        <v>5566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5567</v>
      </c>
      <c r="B368" t="s">
        <v>5568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5569</v>
      </c>
      <c r="B369" t="s">
        <v>5570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5571</v>
      </c>
      <c r="B370" t="s">
        <v>5572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5573</v>
      </c>
      <c r="B371" t="s">
        <v>5574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5575</v>
      </c>
      <c r="B372" t="s">
        <v>5576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5577</v>
      </c>
      <c r="B373" t="s">
        <v>5578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5579</v>
      </c>
      <c r="B374" t="s">
        <v>5580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5581</v>
      </c>
      <c r="B375" t="s">
        <v>5582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5583</v>
      </c>
      <c r="B376" t="s">
        <v>5584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5585</v>
      </c>
      <c r="B377" t="s">
        <v>5586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5587</v>
      </c>
      <c r="B378" t="s">
        <v>5588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5589</v>
      </c>
      <c r="B379" t="s">
        <v>5590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5591</v>
      </c>
      <c r="B380" t="s">
        <v>5592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5593</v>
      </c>
      <c r="B381" t="s">
        <v>5594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5595</v>
      </c>
      <c r="B382" t="s">
        <v>5596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5597</v>
      </c>
      <c r="B383" t="s">
        <v>5598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5887</v>
      </c>
      <c r="B384" t="s">
        <v>5888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5889</v>
      </c>
      <c r="B385" t="s">
        <v>5890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5891</v>
      </c>
      <c r="B386" t="s">
        <v>5892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5893</v>
      </c>
      <c r="B387" t="s">
        <v>5894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5895</v>
      </c>
      <c r="B388" t="s">
        <v>5896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5897</v>
      </c>
      <c r="B389" t="s">
        <v>5898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5899</v>
      </c>
      <c r="B390" t="s">
        <v>5900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5901</v>
      </c>
      <c r="B391" t="s">
        <v>5902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5903</v>
      </c>
      <c r="B392" t="s">
        <v>5904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5905</v>
      </c>
      <c r="B393" t="s">
        <v>5906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5907</v>
      </c>
      <c r="B394" t="s">
        <v>5908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5909</v>
      </c>
      <c r="B395" t="s">
        <v>5910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5911</v>
      </c>
      <c r="B396" t="s">
        <v>5912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5913</v>
      </c>
      <c r="B397" t="s">
        <v>5914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5915</v>
      </c>
      <c r="B398" t="s">
        <v>5916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5917</v>
      </c>
      <c r="B399" t="s">
        <v>5918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5919</v>
      </c>
      <c r="B400" t="s">
        <v>5920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5921</v>
      </c>
      <c r="B401" t="s">
        <v>5922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5923</v>
      </c>
      <c r="B402" t="s">
        <v>5924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5925</v>
      </c>
      <c r="B403" t="s">
        <v>5926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5927</v>
      </c>
      <c r="B404" t="s">
        <v>5928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5929</v>
      </c>
      <c r="B405" t="s">
        <v>5930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5931</v>
      </c>
      <c r="B406" t="s">
        <v>5932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5933</v>
      </c>
      <c r="B407" t="s">
        <v>5934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5935</v>
      </c>
      <c r="B408" t="s">
        <v>5936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5937</v>
      </c>
      <c r="B409" t="s">
        <v>5938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5939</v>
      </c>
      <c r="B410" t="s">
        <v>5940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5941</v>
      </c>
      <c r="B411" t="s">
        <v>5942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5943</v>
      </c>
      <c r="B412" t="s">
        <v>5944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5945</v>
      </c>
      <c r="B413" t="s">
        <v>5946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5599</v>
      </c>
      <c r="B414" t="s">
        <v>5600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5601</v>
      </c>
      <c r="B415" t="s">
        <v>5602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5603</v>
      </c>
      <c r="B416" t="s">
        <v>5604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5605</v>
      </c>
      <c r="B417" t="s">
        <v>5606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5607</v>
      </c>
      <c r="B418" t="s">
        <v>5608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5609</v>
      </c>
      <c r="B419" t="s">
        <v>5610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5611</v>
      </c>
      <c r="B420" t="s">
        <v>5612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5613</v>
      </c>
      <c r="B421" t="s">
        <v>5614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5615</v>
      </c>
      <c r="B422" t="s">
        <v>5616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5617</v>
      </c>
      <c r="B423" t="s">
        <v>5618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5619</v>
      </c>
      <c r="B424" t="s">
        <v>5620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5621</v>
      </c>
      <c r="B425" t="s">
        <v>5622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5623</v>
      </c>
      <c r="B426" t="s">
        <v>5624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5625</v>
      </c>
      <c r="B427" t="s">
        <v>5626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5627</v>
      </c>
      <c r="B428" t="s">
        <v>5628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5629</v>
      </c>
      <c r="B429" t="s">
        <v>5630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5631</v>
      </c>
      <c r="B430" t="s">
        <v>5632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5633</v>
      </c>
      <c r="B431" t="s">
        <v>5634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5635</v>
      </c>
      <c r="B432" t="s">
        <v>5636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5637</v>
      </c>
      <c r="B433" t="s">
        <v>5638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5639</v>
      </c>
      <c r="B434" t="s">
        <v>5640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5641</v>
      </c>
      <c r="B435" t="s">
        <v>5642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5643</v>
      </c>
      <c r="B436" t="s">
        <v>5644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5645</v>
      </c>
      <c r="B437" t="s">
        <v>5646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5647</v>
      </c>
      <c r="B438" t="s">
        <v>5648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5649</v>
      </c>
      <c r="B439" t="s">
        <v>5650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5651</v>
      </c>
      <c r="B440" t="s">
        <v>5652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5653</v>
      </c>
      <c r="B441" t="s">
        <v>5654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5655</v>
      </c>
      <c r="B442" t="s">
        <v>5656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5657</v>
      </c>
      <c r="B443" t="s">
        <v>5658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5947</v>
      </c>
      <c r="B444" t="s">
        <v>5948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5949</v>
      </c>
      <c r="B445" t="s">
        <v>5950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5951</v>
      </c>
      <c r="B446" t="s">
        <v>5952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5953</v>
      </c>
      <c r="B447" t="s">
        <v>5954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5955</v>
      </c>
      <c r="B448" t="s">
        <v>5956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5957</v>
      </c>
      <c r="B449" t="s">
        <v>5958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5959</v>
      </c>
      <c r="B450" t="s">
        <v>5960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5961</v>
      </c>
      <c r="B451" t="s">
        <v>5962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5963</v>
      </c>
      <c r="B452" t="s">
        <v>5964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5965</v>
      </c>
      <c r="B453" t="s">
        <v>5966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5967</v>
      </c>
      <c r="B454" t="s">
        <v>5968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5969</v>
      </c>
      <c r="B455" t="s">
        <v>5970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5971</v>
      </c>
      <c r="B456" t="s">
        <v>5972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5973</v>
      </c>
      <c r="B457" t="s">
        <v>5974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5975</v>
      </c>
      <c r="B458" t="s">
        <v>5976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5977</v>
      </c>
      <c r="B459" t="s">
        <v>5978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5979</v>
      </c>
      <c r="B460" t="s">
        <v>5980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5981</v>
      </c>
      <c r="B461" t="s">
        <v>5982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5983</v>
      </c>
      <c r="B462" t="s">
        <v>5984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5985</v>
      </c>
      <c r="B463" t="s">
        <v>5986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5987</v>
      </c>
      <c r="B464" t="s">
        <v>5988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5989</v>
      </c>
      <c r="B465" t="s">
        <v>5990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5991</v>
      </c>
      <c r="B466" t="s">
        <v>5992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5993</v>
      </c>
      <c r="B467" t="s">
        <v>5994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5995</v>
      </c>
      <c r="B468" t="s">
        <v>5996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5997</v>
      </c>
      <c r="B469" t="s">
        <v>5998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5999</v>
      </c>
      <c r="B470" t="s">
        <v>6000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6001</v>
      </c>
      <c r="B471" t="s">
        <v>6002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6003</v>
      </c>
      <c r="B472" t="s">
        <v>6004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6005</v>
      </c>
      <c r="B473" t="s">
        <v>6006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5659</v>
      </c>
      <c r="B474" t="s">
        <v>5660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5661</v>
      </c>
      <c r="B475" t="s">
        <v>5662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5663</v>
      </c>
      <c r="B476" t="s">
        <v>5664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5665</v>
      </c>
      <c r="B477" t="s">
        <v>5666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5667</v>
      </c>
      <c r="B478" t="s">
        <v>5668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5669</v>
      </c>
      <c r="B479" t="s">
        <v>5670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5671</v>
      </c>
      <c r="B480" t="s">
        <v>5672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5673</v>
      </c>
      <c r="B481" t="s">
        <v>5674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5675</v>
      </c>
      <c r="B482" t="s">
        <v>5676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5677</v>
      </c>
      <c r="B483" t="s">
        <v>5678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5679</v>
      </c>
      <c r="B484" t="s">
        <v>5680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5681</v>
      </c>
      <c r="B485" t="s">
        <v>5682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5683</v>
      </c>
      <c r="B486" t="s">
        <v>5684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5685</v>
      </c>
      <c r="B487" t="s">
        <v>5686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5687</v>
      </c>
      <c r="B488" t="s">
        <v>5688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5689</v>
      </c>
      <c r="B489" t="s">
        <v>5690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5691</v>
      </c>
      <c r="B490" t="s">
        <v>5692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5693</v>
      </c>
      <c r="B491" t="s">
        <v>5694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5695</v>
      </c>
      <c r="B492" t="s">
        <v>5696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5697</v>
      </c>
      <c r="B493" t="s">
        <v>5698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5699</v>
      </c>
      <c r="B494" t="s">
        <v>5700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5701</v>
      </c>
      <c r="B495" t="s">
        <v>5702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5703</v>
      </c>
      <c r="B496" t="s">
        <v>5704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5705</v>
      </c>
      <c r="B497" t="s">
        <v>5706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5707</v>
      </c>
      <c r="B498" t="s">
        <v>5708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5709</v>
      </c>
      <c r="B499" t="s">
        <v>5710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5711</v>
      </c>
      <c r="B500" t="s">
        <v>5712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5713</v>
      </c>
      <c r="B501" t="s">
        <v>5714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5715</v>
      </c>
      <c r="B502" t="s">
        <v>5716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5717</v>
      </c>
      <c r="B503" t="s">
        <v>5718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5719</v>
      </c>
      <c r="B534" t="s">
        <v>5720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5721</v>
      </c>
      <c r="B535" t="s">
        <v>5722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5723</v>
      </c>
      <c r="B536" t="s">
        <v>5724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5725</v>
      </c>
      <c r="B537" t="s">
        <v>5726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5727</v>
      </c>
      <c r="B538" t="s">
        <v>5728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5729</v>
      </c>
      <c r="B539" t="s">
        <v>5730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5731</v>
      </c>
      <c r="B540" t="s">
        <v>5732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5733</v>
      </c>
      <c r="B541" t="s">
        <v>5734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5735</v>
      </c>
      <c r="B542" t="s">
        <v>5736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5737</v>
      </c>
      <c r="B543" t="s">
        <v>5738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5739</v>
      </c>
      <c r="B544" t="s">
        <v>5740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5741</v>
      </c>
      <c r="B545" t="s">
        <v>5742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5743</v>
      </c>
      <c r="B546" t="s">
        <v>5744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5745</v>
      </c>
      <c r="B547" t="s">
        <v>5746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5747</v>
      </c>
      <c r="B548" t="s">
        <v>5748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5749</v>
      </c>
      <c r="B549" t="s">
        <v>5750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5751</v>
      </c>
      <c r="B550" t="s">
        <v>5752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5753</v>
      </c>
      <c r="B551" t="s">
        <v>5754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5755</v>
      </c>
      <c r="B552" t="s">
        <v>5756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5757</v>
      </c>
      <c r="B553" t="s">
        <v>5758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5759</v>
      </c>
      <c r="B554" t="s">
        <v>5760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5761</v>
      </c>
      <c r="B555" t="s">
        <v>5762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5763</v>
      </c>
      <c r="B556" t="s">
        <v>5764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5765</v>
      </c>
      <c r="B557" t="s">
        <v>5766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5767</v>
      </c>
      <c r="B558" t="s">
        <v>5768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5769</v>
      </c>
      <c r="B559" t="s">
        <v>5770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5771</v>
      </c>
      <c r="B560" t="s">
        <v>5772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5773</v>
      </c>
      <c r="B561" t="s">
        <v>5774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5775</v>
      </c>
      <c r="B562" t="s">
        <v>5776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5777</v>
      </c>
      <c r="B563" t="s">
        <v>5778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5779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5780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5781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5782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5783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5784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5785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5786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5787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5788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5789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5790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5791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5792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5793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5794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5795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5796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5797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5798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5799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5800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5801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5802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5803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5804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5805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5806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5807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5808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x14ac:dyDescent="0.2">
      <c r="A1465" t="s">
        <v>3202</v>
      </c>
      <c r="B1465" t="s">
        <v>5288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x14ac:dyDescent="0.2">
      <c r="A1467" t="s">
        <v>5289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hidden="1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5290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5809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5810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5291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5292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5293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5294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5812</v>
      </c>
      <c r="B2003" t="s">
        <v>5813</v>
      </c>
      <c r="D2003" t="b">
        <f>IFERROR(VLOOKUP(B2003,PatData!$A$2:$A$2000,1,),"")&lt;&gt;""</f>
        <v>0</v>
      </c>
      <c r="E2003" t="s">
        <v>5814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5815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5818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5819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5295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5820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6007</v>
      </c>
      <c r="B2035" t="s">
        <v>6008</v>
      </c>
      <c r="D2035" t="b">
        <f>IFERROR(VLOOKUP(B2035,PatData!$A$2:$A$2000,1,),"")&lt;&gt;""</f>
        <v>0</v>
      </c>
      <c r="E2035" t="s">
        <v>6009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6010</v>
      </c>
      <c r="B2036" t="s">
        <v>6011</v>
      </c>
      <c r="D2036" t="b">
        <f>IFERROR(VLOOKUP(B2036,PatData!$A$2:$A$2000,1,),"")&lt;&gt;""</f>
        <v>0</v>
      </c>
      <c r="E2036" t="s">
        <v>6012</v>
      </c>
      <c r="F2036" t="b">
        <v>1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6013</v>
      </c>
      <c r="B2037" t="s">
        <v>6014</v>
      </c>
      <c r="D2037" t="b">
        <f>IFERROR(VLOOKUP(B2037,PatData!$A$2:$A$2000,1,),"")&lt;&gt;""</f>
        <v>0</v>
      </c>
      <c r="E2037" t="s">
        <v>6015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6016</v>
      </c>
      <c r="B2038" t="s">
        <v>6017</v>
      </c>
      <c r="D2038" t="b">
        <f>IFERROR(VLOOKUP(B2038,PatData!$A$2:$A$2000,1,),"")&lt;&gt;""</f>
        <v>0</v>
      </c>
      <c r="E2038" t="s">
        <v>6018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6019</v>
      </c>
      <c r="B2039" t="s">
        <v>6020</v>
      </c>
      <c r="D2039" t="b">
        <f>IFERROR(VLOOKUP(B2039,PatData!$A$2:$A$2000,1,),"")&lt;&gt;""</f>
        <v>0</v>
      </c>
      <c r="E2039" t="s">
        <v>6021</v>
      </c>
      <c r="F2039" t="b">
        <v>1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6022</v>
      </c>
      <c r="B2040" t="s">
        <v>6023</v>
      </c>
      <c r="D2040" t="b">
        <f>IFERROR(VLOOKUP(B2040,PatData!$A$2:$A$2000,1,),"")&lt;&gt;""</f>
        <v>0</v>
      </c>
      <c r="E2040" t="s">
        <v>6024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6025</v>
      </c>
      <c r="B2041" t="s">
        <v>6026</v>
      </c>
      <c r="D2041" t="b">
        <f>IFERROR(VLOOKUP(B2041,PatData!$A$2:$A$2000,1,),"")&lt;&gt;""</f>
        <v>0</v>
      </c>
      <c r="E2041" t="s">
        <v>6027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6028</v>
      </c>
      <c r="B2042" t="s">
        <v>6029</v>
      </c>
      <c r="D2042" t="b">
        <f>IFERROR(VLOOKUP(B2042,PatData!$A$2:$A$2000,1,),"")&lt;&gt;""</f>
        <v>0</v>
      </c>
      <c r="E2042" t="s">
        <v>6030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6031</v>
      </c>
      <c r="B2043" t="s">
        <v>6032</v>
      </c>
      <c r="D2043" t="b">
        <f>IFERROR(VLOOKUP(B2043,PatData!$A$2:$A$2000,1,),"")&lt;&gt;""</f>
        <v>0</v>
      </c>
      <c r="E2043" t="s">
        <v>6033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6034</v>
      </c>
      <c r="B2044" t="s">
        <v>6035</v>
      </c>
      <c r="D2044" t="b">
        <f>IFERROR(VLOOKUP(B2044,PatData!$A$2:$A$2000,1,),"")&lt;&gt;""</f>
        <v>0</v>
      </c>
      <c r="E2044" t="s">
        <v>6036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6037</v>
      </c>
      <c r="B2045" t="s">
        <v>6038</v>
      </c>
      <c r="D2045" t="b">
        <f>IFERROR(VLOOKUP(B2045,PatData!$A$2:$A$2000,1,),"")&lt;&gt;""</f>
        <v>0</v>
      </c>
      <c r="E2045" t="s">
        <v>6039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6040</v>
      </c>
      <c r="B2046" t="s">
        <v>6041</v>
      </c>
      <c r="D2046" t="b">
        <f>IFERROR(VLOOKUP(B2046,PatData!$A$2:$A$2000,1,),"")&lt;&gt;""</f>
        <v>0</v>
      </c>
      <c r="E2046" t="s">
        <v>6042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6043</v>
      </c>
      <c r="B2047" t="s">
        <v>6044</v>
      </c>
      <c r="D2047" t="b">
        <f>IFERROR(VLOOKUP(B2047,PatData!$A$2:$A$2000,1,),"")&lt;&gt;""</f>
        <v>0</v>
      </c>
      <c r="E2047" t="s">
        <v>6045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6046</v>
      </c>
      <c r="B2048" t="s">
        <v>6047</v>
      </c>
      <c r="D2048" t="b">
        <f>IFERROR(VLOOKUP(B2048,PatData!$A$2:$A$2000,1,),"")&lt;&gt;""</f>
        <v>0</v>
      </c>
      <c r="E2048" t="s">
        <v>6048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6049</v>
      </c>
      <c r="B2049" t="s">
        <v>6050</v>
      </c>
      <c r="D2049" t="b">
        <f>IFERROR(VLOOKUP(B2049,PatData!$A$2:$A$2000,1,),"")&lt;&gt;""</f>
        <v>0</v>
      </c>
      <c r="E2049" t="s">
        <v>6051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6052</v>
      </c>
      <c r="B2050" t="s">
        <v>6053</v>
      </c>
      <c r="D2050" t="b">
        <f>IFERROR(VLOOKUP(B2050,PatData!$A$2:$A$2000,1,),"")&lt;&gt;""</f>
        <v>0</v>
      </c>
      <c r="E2050" t="s">
        <v>6054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6055</v>
      </c>
      <c r="B2051" t="s">
        <v>6056</v>
      </c>
      <c r="D2051" t="b">
        <f>IFERROR(VLOOKUP(B2051,PatData!$A$2:$A$2000,1,),"")&lt;&gt;""</f>
        <v>0</v>
      </c>
      <c r="E2051" t="s">
        <v>6057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6058</v>
      </c>
      <c r="B2052" t="s">
        <v>6059</v>
      </c>
      <c r="D2052" t="b">
        <f>IFERROR(VLOOKUP(B2052,PatData!$A$2:$A$2000,1,),"")&lt;&gt;""</f>
        <v>0</v>
      </c>
      <c r="E2052" t="s">
        <v>6060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6061</v>
      </c>
      <c r="B2053" t="s">
        <v>6062</v>
      </c>
      <c r="D2053" t="b">
        <f>IFERROR(VLOOKUP(B2053,PatData!$A$2:$A$2000,1,),"")&lt;&gt;""</f>
        <v>0</v>
      </c>
      <c r="E2053" t="s">
        <v>6063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6064</v>
      </c>
      <c r="B2054" t="s">
        <v>6065</v>
      </c>
      <c r="D2054" t="b">
        <f>IFERROR(VLOOKUP(B2054,PatData!$A$2:$A$2000,1,),"")&lt;&gt;""</f>
        <v>0</v>
      </c>
      <c r="E2054" t="s">
        <v>6066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6067</v>
      </c>
      <c r="B2055" t="s">
        <v>6068</v>
      </c>
      <c r="D2055" t="b">
        <f>IFERROR(VLOOKUP(B2055,PatData!$A$2:$A$2000,1,),"")&lt;&gt;""</f>
        <v>0</v>
      </c>
      <c r="E2055" t="s">
        <v>6069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6070</v>
      </c>
      <c r="B2056" t="s">
        <v>6071</v>
      </c>
      <c r="D2056" t="b">
        <f>IFERROR(VLOOKUP(B2056,PatData!$A$2:$A$2000,1,),"")&lt;&gt;""</f>
        <v>0</v>
      </c>
      <c r="E2056" t="s">
        <v>6072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6073</v>
      </c>
      <c r="B2057" t="s">
        <v>6074</v>
      </c>
      <c r="D2057" t="b">
        <f>IFERROR(VLOOKUP(B2057,PatData!$A$2:$A$2000,1,),"")&lt;&gt;""</f>
        <v>0</v>
      </c>
      <c r="E2057" t="s">
        <v>6075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6076</v>
      </c>
      <c r="B2058" t="s">
        <v>6077</v>
      </c>
      <c r="D2058" t="b">
        <f>IFERROR(VLOOKUP(B2058,PatData!$A$2:$A$2000,1,),"")&lt;&gt;""</f>
        <v>0</v>
      </c>
      <c r="E2058" t="s">
        <v>6078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6079</v>
      </c>
      <c r="B2059" t="s">
        <v>6080</v>
      </c>
      <c r="D2059" t="b">
        <f>IFERROR(VLOOKUP(B2059,PatData!$A$2:$A$2000,1,),"")&lt;&gt;""</f>
        <v>0</v>
      </c>
      <c r="E2059" t="s">
        <v>6081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6082</v>
      </c>
      <c r="B2060" t="s">
        <v>6083</v>
      </c>
      <c r="D2060" t="b">
        <f>IFERROR(VLOOKUP(B2060,PatData!$A$2:$A$2000,1,),"")&lt;&gt;""</f>
        <v>0</v>
      </c>
      <c r="E2060" t="s">
        <v>6084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6085</v>
      </c>
      <c r="B2061" t="s">
        <v>6086</v>
      </c>
      <c r="D2061" t="b">
        <f>IFERROR(VLOOKUP(B2061,PatData!$A$2:$A$2000,1,),"")&lt;&gt;""</f>
        <v>0</v>
      </c>
      <c r="E2061" t="s">
        <v>6087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6088</v>
      </c>
      <c r="B2062" t="s">
        <v>6089</v>
      </c>
      <c r="D2062" t="b">
        <f>IFERROR(VLOOKUP(B2062,PatData!$A$2:$A$2000,1,),"")&lt;&gt;""</f>
        <v>0</v>
      </c>
      <c r="E2062" t="s">
        <v>6090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6091</v>
      </c>
      <c r="B2063" t="s">
        <v>6092</v>
      </c>
      <c r="D2063" t="b">
        <f>IFERROR(VLOOKUP(B2063,PatData!$A$2:$A$2000,1,),"")&lt;&gt;""</f>
        <v>0</v>
      </c>
      <c r="E2063" t="s">
        <v>6093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6094</v>
      </c>
      <c r="B2064" t="s">
        <v>6095</v>
      </c>
      <c r="D2064" t="b">
        <f>IFERROR(VLOOKUP(B2064,PatData!$A$2:$A$2000,1,),"")&lt;&gt;""</f>
        <v>0</v>
      </c>
      <c r="E2064" t="s">
        <v>6096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hidden="1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5296</v>
      </c>
      <c r="B2072" t="s">
        <v>5297</v>
      </c>
      <c r="D2072" t="b">
        <f>IFERROR(VLOOKUP(B2072,PatData!$A$2:$A$2000,1,),"")&lt;&gt;""</f>
        <v>0</v>
      </c>
      <c r="E2072" t="s">
        <v>5298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5299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WAA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7" t="s">
        <v>178</v>
      </c>
      <c r="B2" s="218">
        <v>1</v>
      </c>
      <c r="C2" s="417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4084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4958</v>
      </c>
    </row>
    <row r="4" spans="1:21" ht="15" x14ac:dyDescent="0.25">
      <c r="A4" s="460" t="s">
        <v>4097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4959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4960</v>
      </c>
    </row>
    <row r="8" spans="1:21" x14ac:dyDescent="0.2">
      <c r="A8" s="348" t="s">
        <v>4091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4961</v>
      </c>
    </row>
    <row r="10" spans="1:21" x14ac:dyDescent="0.2">
      <c r="A10" s="348" t="s">
        <v>4092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4962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4963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4964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4965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4966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4967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4968</v>
      </c>
      <c r="S17" s="446"/>
      <c r="U17" s="446"/>
    </row>
    <row r="18" spans="1:21" x14ac:dyDescent="0.2">
      <c r="A18" s="348" t="s">
        <v>4093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4094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4278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4969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4970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4774</v>
      </c>
      <c r="B1" s="571" t="s">
        <v>4101</v>
      </c>
      <c r="O1" s="465" t="s">
        <v>4086</v>
      </c>
      <c r="P1" s="571" t="s">
        <v>4776</v>
      </c>
      <c r="AG1" s="467"/>
      <c r="AH1" s="464"/>
      <c r="AI1" s="467"/>
    </row>
    <row r="2" spans="1:35" x14ac:dyDescent="0.2">
      <c r="B2" s="466" t="s">
        <v>4081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4100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4775</v>
      </c>
      <c r="B43" s="571" t="s">
        <v>4102</v>
      </c>
      <c r="O43" s="465" t="s">
        <v>4087</v>
      </c>
      <c r="P43" s="571" t="s">
        <v>4777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5333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5434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5334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5335</v>
      </c>
      <c r="B4" s="815" t="str">
        <f t="shared" si="0"/>
        <v>strSql = strSql &amp; "DECLARE @bd AS int" &amp; vbNewLine</v>
      </c>
    </row>
    <row r="5" spans="1:2" ht="15" x14ac:dyDescent="0.25">
      <c r="A5" t="s">
        <v>5336</v>
      </c>
      <c r="B5" s="815" t="str">
        <f t="shared" si="0"/>
        <v>strSql = strSql &amp; "DECLARE @weightKg AS int" &amp; vbNewLine</v>
      </c>
    </row>
    <row r="6" spans="1:2" ht="15" x14ac:dyDescent="0.25">
      <c r="A6" t="s">
        <v>5337</v>
      </c>
      <c r="B6" s="815" t="str">
        <f t="shared" si="0"/>
        <v>strSql = strSql &amp; "DECLARE @weightGr AS int" &amp; vbNewLine</v>
      </c>
    </row>
    <row r="7" spans="1:2" ht="15" x14ac:dyDescent="0.25">
      <c r="A7" t="s">
        <v>5338</v>
      </c>
      <c r="B7" s="815" t="str">
        <f t="shared" si="0"/>
        <v>strSql = strSql &amp; "DECLARE @bwGr AS int" &amp; vbNewLine</v>
      </c>
    </row>
    <row r="8" spans="1:2" ht="15" x14ac:dyDescent="0.25">
      <c r="A8" t="s">
        <v>5339</v>
      </c>
      <c r="B8" s="815" t="str">
        <f t="shared" si="0"/>
        <v>strSql = strSql &amp; "DECLARE @length AS int" &amp; vbNewLine</v>
      </c>
    </row>
    <row r="9" spans="1:2" ht="15" x14ac:dyDescent="0.25">
      <c r="A9" t="s">
        <v>5359</v>
      </c>
      <c r="B9" s="815" t="str">
        <f t="shared" si="0"/>
        <v>strSql = strSql &amp; "DECLARE @gesl AS int" &amp; vbNewLine</v>
      </c>
    </row>
    <row r="10" spans="1:2" ht="15" x14ac:dyDescent="0.25">
      <c r="A10" t="s">
        <v>5340</v>
      </c>
      <c r="B10" s="815" t="str">
        <f t="shared" si="0"/>
        <v>strSql = strSql &amp; "DECLARE @adD AS int" &amp; vbNewLine</v>
      </c>
    </row>
    <row r="11" spans="1:2" ht="15" x14ac:dyDescent="0.25">
      <c r="A11" t="s">
        <v>5341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5342</v>
      </c>
      <c r="B13" s="815" t="str">
        <f t="shared" si="0"/>
        <v>strSql = strSql &amp; "SET @bd = 5372" &amp; vbNewLine</v>
      </c>
    </row>
    <row r="14" spans="1:2" ht="15" x14ac:dyDescent="0.25">
      <c r="A14" t="s">
        <v>5343</v>
      </c>
      <c r="B14" s="815" t="str">
        <f t="shared" si="0"/>
        <v>strSql = strSql &amp; "SET @weightKg = 8365" &amp; vbNewLine</v>
      </c>
    </row>
    <row r="15" spans="1:2" ht="15" x14ac:dyDescent="0.25">
      <c r="A15" t="s">
        <v>5344</v>
      </c>
      <c r="B15" s="815" t="str">
        <f t="shared" si="0"/>
        <v>strSql = strSql &amp; "SET @weightGr = 8456" &amp; vbNewLine</v>
      </c>
    </row>
    <row r="16" spans="1:2" ht="15" x14ac:dyDescent="0.25">
      <c r="A16" t="s">
        <v>5345</v>
      </c>
      <c r="B16" s="815" t="str">
        <f t="shared" si="0"/>
        <v>strSql = strSql &amp; "SET @bwGr = 7734" &amp; vbNewLine</v>
      </c>
    </row>
    <row r="17" spans="1:2" ht="15" x14ac:dyDescent="0.25">
      <c r="A17" t="s">
        <v>5346</v>
      </c>
      <c r="B17" s="815" t="str">
        <f t="shared" si="0"/>
        <v>strSql = strSql &amp; "SET @adD = 10213" &amp; vbNewLine</v>
      </c>
    </row>
    <row r="18" spans="1:2" ht="15" x14ac:dyDescent="0.25">
      <c r="A18" t="s">
        <v>5347</v>
      </c>
      <c r="B18" s="815" t="str">
        <f t="shared" si="0"/>
        <v>strSql = strSql &amp; "SET @adW = 10214" &amp; vbNewLine</v>
      </c>
    </row>
    <row r="19" spans="1:2" ht="15" x14ac:dyDescent="0.25">
      <c r="A19" t="s">
        <v>5348</v>
      </c>
      <c r="B19" s="815" t="str">
        <f t="shared" si="0"/>
        <v>strSql = strSql &amp; "SET @length = 9505" &amp; vbNewLine</v>
      </c>
    </row>
    <row r="20" spans="1:2" ht="15" x14ac:dyDescent="0.25">
      <c r="A20" t="s">
        <v>5360</v>
      </c>
      <c r="B20" s="815" t="str">
        <f t="shared" si="0"/>
        <v>strSql = strSql &amp; "SET @gesl = 5373" &amp; vbNewLine</v>
      </c>
    </row>
    <row r="21" spans="1:2" ht="15" x14ac:dyDescent="0.25">
      <c r="A21" t="s">
        <v>5436</v>
      </c>
      <c r="B21" s="815" t="str">
        <f t="shared" si="0"/>
        <v>strSql = strSql &amp; "SET @Bed = 'H2.01.03'" &amp; vbNewLine</v>
      </c>
    </row>
    <row r="22" spans="1:2" ht="15" x14ac:dyDescent="0.25">
      <c r="A22" t="s">
        <v>5349</v>
      </c>
      <c r="B22" s="815" t="str">
        <f t="shared" si="0"/>
        <v>strSql = strSql &amp; "SELECT DISTINCT" &amp; vbNewLine</v>
      </c>
    </row>
    <row r="23" spans="1:2" ht="15" x14ac:dyDescent="0.25">
      <c r="A23" t="s">
        <v>5361</v>
      </c>
      <c r="B23" s="815" t="str">
        <f t="shared" si="0"/>
        <v>strSql = strSql &amp; "pl.PatientID" &amp; vbNewLine</v>
      </c>
    </row>
    <row r="24" spans="1:2" ht="15" x14ac:dyDescent="0.25">
      <c r="A24" t="s">
        <v>5362</v>
      </c>
      <c r="B24" s="815" t="str">
        <f t="shared" si="0"/>
        <v>strSql = strSql &amp; ", pl.HospitalNumber" &amp; vbNewLine</v>
      </c>
    </row>
    <row r="25" spans="1:2" ht="15" x14ac:dyDescent="0.25">
      <c r="A25" t="s">
        <v>5363</v>
      </c>
      <c r="B25" s="815" t="str">
        <f t="shared" si="0"/>
        <v>strSql = strSql &amp; ", pl.LastName" &amp; vbNewLine</v>
      </c>
    </row>
    <row r="26" spans="1:2" ht="15" x14ac:dyDescent="0.25">
      <c r="A26" t="s">
        <v>5364</v>
      </c>
      <c r="B26" s="815" t="str">
        <f t="shared" si="0"/>
        <v>strSql = strSql &amp; ", pl.FirstName" &amp; vbNewLine</v>
      </c>
    </row>
    <row r="27" spans="1:2" ht="15" x14ac:dyDescent="0.25">
      <c r="A27" t="s">
        <v>5365</v>
      </c>
      <c r="B27" s="815" t="str">
        <f t="shared" si="0"/>
        <v>strSql = strSql &amp; ", dts.value BirthDate" &amp; vbNewLine</v>
      </c>
    </row>
    <row r="28" spans="1:2" ht="15" x14ac:dyDescent="0.25">
      <c r="A28" t="s">
        <v>5366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5367</v>
      </c>
      <c r="B29" s="815" t="str">
        <f t="shared" si="0"/>
        <v>strSql = strSql &amp; "   FROM Signals s " &amp; vbNewLine</v>
      </c>
    </row>
    <row r="30" spans="1:2" ht="15" x14ac:dyDescent="0.25">
      <c r="A30" t="s">
        <v>5368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5369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5370</v>
      </c>
      <c r="B32" s="815" t="str">
        <f t="shared" si="0"/>
        <v>strSql = strSql &amp; ", (SELECT TOP 1 s.Value " &amp; vbNewLine</v>
      </c>
    </row>
    <row r="33" spans="1:2" ht="15" x14ac:dyDescent="0.25">
      <c r="A33" t="s">
        <v>5367</v>
      </c>
      <c r="B33" s="815" t="str">
        <f t="shared" si="0"/>
        <v>strSql = strSql &amp; "   FROM Signals s " &amp; vbNewLine</v>
      </c>
    </row>
    <row r="34" spans="1:2" ht="15" x14ac:dyDescent="0.25">
      <c r="A34" t="s">
        <v>5371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5372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5373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5367</v>
      </c>
      <c r="B37" s="815" t="str">
        <f t="shared" si="0"/>
        <v>strSql = strSql &amp; "   FROM Signals s " &amp; vbNewLine</v>
      </c>
    </row>
    <row r="38" spans="1:2" ht="15" x14ac:dyDescent="0.25">
      <c r="A38" t="s">
        <v>5374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5375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5370</v>
      </c>
      <c r="B40" s="815" t="str">
        <f t="shared" si="0"/>
        <v>strSql = strSql &amp; ", (SELECT TOP 1 s.Value " &amp; vbNewLine</v>
      </c>
    </row>
    <row r="41" spans="1:2" ht="15" x14ac:dyDescent="0.25">
      <c r="A41" t="s">
        <v>5367</v>
      </c>
      <c r="B41" s="815" t="str">
        <f t="shared" si="0"/>
        <v>strSql = strSql &amp; "   FROM Signals s " &amp; vbNewLine</v>
      </c>
    </row>
    <row r="42" spans="1:2" ht="15" x14ac:dyDescent="0.25">
      <c r="A42" t="s">
        <v>5376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5377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5378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5367</v>
      </c>
      <c r="B45" s="815" t="str">
        <f t="shared" si="0"/>
        <v>strSql = strSql &amp; "   FROM Signals s " &amp; vbNewLine</v>
      </c>
    </row>
    <row r="46" spans="1:2" ht="15" x14ac:dyDescent="0.25">
      <c r="A46" t="s">
        <v>5379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5380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5381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5382</v>
      </c>
      <c r="B49" s="815" t="str">
        <f t="shared" si="0"/>
        <v>strSql = strSql &amp; ", (SELECT TOP 1 pt.Text " &amp; vbNewLine</v>
      </c>
    </row>
    <row r="50" spans="1:2" ht="15" x14ac:dyDescent="0.25">
      <c r="A50" t="s">
        <v>5383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5384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5385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5386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5387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5388</v>
      </c>
      <c r="B55" s="815" t="str">
        <f t="shared" si="0"/>
        <v>strSql = strSql &amp; ", lu.Name Department" &amp; vbNewLine</v>
      </c>
    </row>
    <row r="56" spans="1:2" ht="15" x14ac:dyDescent="0.25">
      <c r="A56" t="s">
        <v>5389</v>
      </c>
      <c r="B56" s="815" t="str">
        <f t="shared" si="0"/>
        <v>strSql = strSql &amp; ", b.BedName" &amp; vbNewLine</v>
      </c>
    </row>
    <row r="57" spans="1:2" ht="15" x14ac:dyDescent="0.25">
      <c r="A57" t="s">
        <v>5390</v>
      </c>
      <c r="B57" s="815" t="str">
        <f t="shared" si="0"/>
        <v>strSql = strSql &amp; ", pl.LocationFromTime" &amp; vbNewLine</v>
      </c>
    </row>
    <row r="58" spans="1:2" ht="15" x14ac:dyDescent="0.25">
      <c r="A58" t="s">
        <v>5350</v>
      </c>
      <c r="B58" s="815" t="str">
        <f t="shared" si="0"/>
        <v>strSql = strSql &amp; "FROM PatientLogs pl" &amp; vbNewLine</v>
      </c>
    </row>
    <row r="59" spans="1:2" ht="15" x14ac:dyDescent="0.25">
      <c r="A59" t="s">
        <v>5351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5352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5353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5354</v>
      </c>
      <c r="B62" s="815" t="str">
        <f t="shared" si="0"/>
        <v>strSql = strSql &amp; "WHERE " &amp; vbNewLine</v>
      </c>
    </row>
    <row r="63" spans="1:2" ht="15" x14ac:dyDescent="0.25">
      <c r="A63" t="s">
        <v>5355</v>
      </c>
      <c r="B63" s="815" t="str">
        <f t="shared" si="0"/>
        <v>strSql = strSql &amp; "dts.ParameterID = @bd" &amp; vbNewLine</v>
      </c>
    </row>
    <row r="64" spans="1:2" ht="15" x14ac:dyDescent="0.25">
      <c r="A64" t="s">
        <v>5356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5357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5435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5358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5309</v>
      </c>
      <c r="D1" s="209" t="s">
        <v>5300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5310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5311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41535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5280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5233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5312</v>
      </c>
      <c r="E11" s="209" t="s">
        <v>5301</v>
      </c>
      <c r="F11" s="209" t="s">
        <v>5302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5238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5303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5234</v>
      </c>
      <c r="D18" s="214" t="s">
        <v>343</v>
      </c>
      <c r="E18" s="209" t="s">
        <v>5262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3460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5263</v>
      </c>
      <c r="V18" s="209" t="str">
        <f>GlobBerMedDisc!AA2</f>
        <v/>
      </c>
      <c r="W18" s="209" t="s">
        <v>5264</v>
      </c>
      <c r="X18" s="209">
        <f>GlobBerMedDisc!AB2</f>
        <v>0</v>
      </c>
      <c r="Y18" s="209" t="s">
        <v>5265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5234</v>
      </c>
      <c r="D19" s="214" t="s">
        <v>344</v>
      </c>
      <c r="E19" s="209" t="s">
        <v>5262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3460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5263</v>
      </c>
      <c r="V19" s="209" t="str">
        <f>GlobBerMedDisc!AA3</f>
        <v/>
      </c>
      <c r="W19" s="209" t="s">
        <v>5264</v>
      </c>
      <c r="X19" s="209">
        <f>GlobBerMedDisc!AB3</f>
        <v>0</v>
      </c>
      <c r="Y19" s="209" t="s">
        <v>5265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5234</v>
      </c>
      <c r="D20" s="214" t="s">
        <v>345</v>
      </c>
      <c r="E20" s="209" t="s">
        <v>5262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5263</v>
      </c>
      <c r="V20" s="209" t="str">
        <f>GlobBerMedDisc!AA4</f>
        <v/>
      </c>
      <c r="W20" s="209" t="s">
        <v>5264</v>
      </c>
      <c r="X20" s="209">
        <f>GlobBerMedDisc!AB4</f>
        <v>0</v>
      </c>
      <c r="Y20" s="209" t="s">
        <v>5265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5234</v>
      </c>
      <c r="D21" s="214" t="s">
        <v>346</v>
      </c>
      <c r="E21" s="209" t="s">
        <v>5262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5263</v>
      </c>
      <c r="V21" s="209" t="str">
        <f>GlobBerMedDisc!AA5</f>
        <v/>
      </c>
      <c r="W21" s="209" t="s">
        <v>5264</v>
      </c>
      <c r="X21" s="209">
        <f>GlobBerMedDisc!AB5</f>
        <v>0</v>
      </c>
      <c r="Y21" s="209" t="s">
        <v>5265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5234</v>
      </c>
      <c r="D22" s="214" t="s">
        <v>347</v>
      </c>
      <c r="E22" s="209" t="s">
        <v>5262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5263</v>
      </c>
      <c r="V22" s="209" t="str">
        <f>GlobBerMedDisc!AA6</f>
        <v/>
      </c>
      <c r="W22" s="209" t="s">
        <v>5264</v>
      </c>
      <c r="X22" s="209">
        <f>GlobBerMedDisc!AB6</f>
        <v>0</v>
      </c>
      <c r="Y22" s="209" t="s">
        <v>5265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5234</v>
      </c>
      <c r="D23" s="214" t="s">
        <v>348</v>
      </c>
      <c r="E23" s="209" t="s">
        <v>5262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5263</v>
      </c>
      <c r="V23" s="209" t="str">
        <f>GlobBerMedDisc!AA7</f>
        <v/>
      </c>
      <c r="W23" s="209" t="s">
        <v>5264</v>
      </c>
      <c r="X23" s="209">
        <f>GlobBerMedDisc!AB7</f>
        <v>0</v>
      </c>
      <c r="Y23" s="209" t="s">
        <v>5265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5234</v>
      </c>
      <c r="D24" s="214" t="s">
        <v>349</v>
      </c>
      <c r="E24" s="209" t="s">
        <v>5262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5263</v>
      </c>
      <c r="V24" s="209" t="str">
        <f>GlobBerMedDisc!AA8</f>
        <v/>
      </c>
      <c r="W24" s="209" t="s">
        <v>5264</v>
      </c>
      <c r="X24" s="209">
        <f>GlobBerMedDisc!AB8</f>
        <v>0</v>
      </c>
      <c r="Y24" s="209" t="s">
        <v>5265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5234</v>
      </c>
      <c r="D25" s="214" t="s">
        <v>350</v>
      </c>
      <c r="E25" s="209" t="s">
        <v>5262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5263</v>
      </c>
      <c r="V25" s="209" t="str">
        <f>GlobBerMedDisc!AA9</f>
        <v/>
      </c>
      <c r="W25" s="209" t="s">
        <v>5264</v>
      </c>
      <c r="X25" s="209">
        <f>GlobBerMedDisc!AB9</f>
        <v>0</v>
      </c>
      <c r="Y25" s="209" t="s">
        <v>5265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5234</v>
      </c>
      <c r="D26" s="214" t="s">
        <v>351</v>
      </c>
      <c r="E26" s="209" t="s">
        <v>5262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5263</v>
      </c>
      <c r="V26" s="209" t="str">
        <f>GlobBerMedDisc!AA10</f>
        <v/>
      </c>
      <c r="W26" s="209" t="s">
        <v>5264</v>
      </c>
      <c r="X26" s="209">
        <f>GlobBerMedDisc!AB10</f>
        <v>0</v>
      </c>
      <c r="Y26" s="209" t="s">
        <v>5265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5234</v>
      </c>
      <c r="D27" s="214" t="s">
        <v>500</v>
      </c>
      <c r="E27" s="209" t="s">
        <v>5262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5263</v>
      </c>
      <c r="V27" s="209" t="str">
        <f>GlobBerMedDisc!AA11</f>
        <v/>
      </c>
      <c r="W27" s="209" t="s">
        <v>5264</v>
      </c>
      <c r="X27" s="209">
        <f>GlobBerMedDisc!AB11</f>
        <v>0</v>
      </c>
      <c r="Y27" s="209" t="s">
        <v>5265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5234</v>
      </c>
      <c r="D28" s="214" t="s">
        <v>501</v>
      </c>
      <c r="E28" s="209" t="s">
        <v>5262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5263</v>
      </c>
      <c r="V28" s="209" t="str">
        <f>GlobBerMedDisc!AA12</f>
        <v/>
      </c>
      <c r="W28" s="209" t="s">
        <v>5264</v>
      </c>
      <c r="X28" s="209">
        <f>GlobBerMedDisc!AB12</f>
        <v>0</v>
      </c>
      <c r="Y28" s="209" t="s">
        <v>5265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5234</v>
      </c>
      <c r="D29" s="214" t="s">
        <v>502</v>
      </c>
      <c r="E29" s="209" t="s">
        <v>5262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5263</v>
      </c>
      <c r="V29" s="209" t="str">
        <f>GlobBerMedDisc!AA13</f>
        <v/>
      </c>
      <c r="W29" s="209" t="s">
        <v>5264</v>
      </c>
      <c r="X29" s="209">
        <f>GlobBerMedDisc!AB13</f>
        <v>0</v>
      </c>
      <c r="Y29" s="209" t="s">
        <v>5265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5234</v>
      </c>
      <c r="D30" s="214" t="s">
        <v>596</v>
      </c>
      <c r="E30" s="209" t="s">
        <v>5262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5263</v>
      </c>
      <c r="V30" s="209" t="str">
        <f>GlobBerMedDisc!AA14</f>
        <v/>
      </c>
      <c r="W30" s="209" t="s">
        <v>5264</v>
      </c>
      <c r="X30" s="209">
        <f>GlobBerMedDisc!AB14</f>
        <v>0</v>
      </c>
      <c r="Y30" s="209" t="s">
        <v>5265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5234</v>
      </c>
      <c r="D31" s="214" t="s">
        <v>597</v>
      </c>
      <c r="E31" s="209" t="s">
        <v>5262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5263</v>
      </c>
      <c r="V31" s="209" t="str">
        <f>GlobBerMedDisc!AA15</f>
        <v/>
      </c>
      <c r="W31" s="209" t="s">
        <v>5264</v>
      </c>
      <c r="X31" s="209">
        <f>GlobBerMedDisc!AB15</f>
        <v>0</v>
      </c>
      <c r="Y31" s="209" t="s">
        <v>5265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5234</v>
      </c>
      <c r="D32" s="214" t="s">
        <v>837</v>
      </c>
      <c r="E32" s="209" t="s">
        <v>5262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5263</v>
      </c>
      <c r="V32" s="209" t="str">
        <f>GlobBerMedDisc!AA16</f>
        <v/>
      </c>
      <c r="W32" s="209" t="s">
        <v>5264</v>
      </c>
      <c r="X32" s="209">
        <f>GlobBerMedDisc!AB16</f>
        <v>0</v>
      </c>
      <c r="Y32" s="209" t="s">
        <v>5265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5234</v>
      </c>
      <c r="D33" s="214" t="s">
        <v>851</v>
      </c>
      <c r="E33" s="209" t="s">
        <v>5262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5263</v>
      </c>
      <c r="V33" s="209" t="str">
        <f>GlobBerMedDisc!AA17</f>
        <v/>
      </c>
      <c r="W33" s="209" t="s">
        <v>5264</v>
      </c>
      <c r="X33" s="209">
        <f>GlobBerMedDisc!AB17</f>
        <v>0</v>
      </c>
      <c r="Y33" s="209" t="s">
        <v>5265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5234</v>
      </c>
      <c r="D34" s="214" t="s">
        <v>852</v>
      </c>
      <c r="E34" s="209" t="s">
        <v>5262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5263</v>
      </c>
      <c r="V34" s="209" t="str">
        <f>GlobBerMedDisc!AA18</f>
        <v/>
      </c>
      <c r="W34" s="209" t="s">
        <v>5264</v>
      </c>
      <c r="X34" s="209">
        <f>GlobBerMedDisc!AB18</f>
        <v>0</v>
      </c>
      <c r="Y34" s="209" t="s">
        <v>5265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5234</v>
      </c>
      <c r="D35" s="214" t="s">
        <v>853</v>
      </c>
      <c r="E35" s="209" t="s">
        <v>5262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5263</v>
      </c>
      <c r="V35" s="209" t="str">
        <f>GlobBerMedDisc!AA19</f>
        <v/>
      </c>
      <c r="W35" s="209" t="s">
        <v>5264</v>
      </c>
      <c r="X35" s="209">
        <f>GlobBerMedDisc!AB19</f>
        <v>0</v>
      </c>
      <c r="Y35" s="209" t="s">
        <v>5265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5234</v>
      </c>
      <c r="D36" s="214" t="s">
        <v>854</v>
      </c>
      <c r="E36" s="209" t="s">
        <v>5262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5263</v>
      </c>
      <c r="V36" s="209" t="str">
        <f>GlobBerMedDisc!AA20</f>
        <v/>
      </c>
      <c r="W36" s="209" t="s">
        <v>5264</v>
      </c>
      <c r="X36" s="209">
        <f>GlobBerMedDisc!AB20</f>
        <v>0</v>
      </c>
      <c r="Y36" s="209" t="s">
        <v>5265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5234</v>
      </c>
      <c r="D37" s="214" t="s">
        <v>855</v>
      </c>
      <c r="E37" s="209" t="s">
        <v>5262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5263</v>
      </c>
      <c r="V37" s="209" t="str">
        <f>GlobBerMedDisc!AA21</f>
        <v/>
      </c>
      <c r="W37" s="209" t="s">
        <v>5264</v>
      </c>
      <c r="X37" s="209">
        <f>GlobBerMedDisc!AB21</f>
        <v>0</v>
      </c>
      <c r="Y37" s="209" t="s">
        <v>5265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5234</v>
      </c>
      <c r="D38" s="214" t="s">
        <v>856</v>
      </c>
      <c r="E38" s="209" t="s">
        <v>5262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5263</v>
      </c>
      <c r="V38" s="209" t="str">
        <f>GlobBerMedDisc!AA22</f>
        <v/>
      </c>
      <c r="W38" s="209" t="s">
        <v>5264</v>
      </c>
      <c r="X38" s="209">
        <f>GlobBerMedDisc!AB22</f>
        <v>0</v>
      </c>
      <c r="Y38" s="209" t="s">
        <v>5265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5234</v>
      </c>
      <c r="D39" s="214" t="s">
        <v>857</v>
      </c>
      <c r="E39" s="209" t="s">
        <v>5262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5263</v>
      </c>
      <c r="V39" s="209" t="str">
        <f>GlobBerMedDisc!AA23</f>
        <v/>
      </c>
      <c r="W39" s="209" t="s">
        <v>5264</v>
      </c>
      <c r="X39" s="209">
        <f>GlobBerMedDisc!AB23</f>
        <v>0</v>
      </c>
      <c r="Y39" s="209" t="s">
        <v>5265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5234</v>
      </c>
      <c r="D40" s="214" t="s">
        <v>858</v>
      </c>
      <c r="E40" s="209" t="s">
        <v>5262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5263</v>
      </c>
      <c r="V40" s="209" t="str">
        <f>GlobBerMedDisc!AA24</f>
        <v/>
      </c>
      <c r="W40" s="209" t="s">
        <v>5264</v>
      </c>
      <c r="X40" s="209">
        <f>GlobBerMedDisc!AB24</f>
        <v>0</v>
      </c>
      <c r="Y40" s="209" t="s">
        <v>5265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5234</v>
      </c>
      <c r="D41" s="214" t="s">
        <v>859</v>
      </c>
      <c r="E41" s="209" t="s">
        <v>5262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5263</v>
      </c>
      <c r="V41" s="209" t="str">
        <f>GlobBerMedDisc!AA25</f>
        <v/>
      </c>
      <c r="W41" s="209" t="s">
        <v>5264</v>
      </c>
      <c r="X41" s="209">
        <f>GlobBerMedDisc!AB25</f>
        <v>0</v>
      </c>
      <c r="Y41" s="209" t="s">
        <v>5265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5234</v>
      </c>
      <c r="D42" s="214" t="s">
        <v>860</v>
      </c>
      <c r="E42" s="209" t="s">
        <v>5262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5263</v>
      </c>
      <c r="V42" s="209" t="str">
        <f>GlobBerMedDisc!AA26</f>
        <v/>
      </c>
      <c r="W42" s="209" t="s">
        <v>5264</v>
      </c>
      <c r="X42" s="209">
        <f>GlobBerMedDisc!AB26</f>
        <v>0</v>
      </c>
      <c r="Y42" s="209" t="s">
        <v>5265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5234</v>
      </c>
      <c r="D43" s="214" t="s">
        <v>861</v>
      </c>
      <c r="E43" s="209" t="s">
        <v>5262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5263</v>
      </c>
      <c r="V43" s="209" t="str">
        <f>GlobBerMedDisc!AA27</f>
        <v/>
      </c>
      <c r="W43" s="209" t="s">
        <v>5264</v>
      </c>
      <c r="X43" s="209">
        <f>GlobBerMedDisc!AB27</f>
        <v>0</v>
      </c>
      <c r="Y43" s="209" t="s">
        <v>5265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5234</v>
      </c>
      <c r="D44" s="214" t="s">
        <v>862</v>
      </c>
      <c r="E44" s="209" t="s">
        <v>5262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5263</v>
      </c>
      <c r="V44" s="209" t="str">
        <f>GlobBerMedDisc!AA28</f>
        <v/>
      </c>
      <c r="W44" s="209" t="s">
        <v>5264</v>
      </c>
      <c r="X44" s="209">
        <f>GlobBerMedDisc!AB28</f>
        <v>0</v>
      </c>
      <c r="Y44" s="209" t="s">
        <v>5265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5234</v>
      </c>
      <c r="D45" s="214" t="s">
        <v>5235</v>
      </c>
      <c r="E45" s="209" t="s">
        <v>5262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5263</v>
      </c>
      <c r="V45" s="209" t="str">
        <f>GlobBerMedDisc!AA29</f>
        <v/>
      </c>
      <c r="W45" s="209" t="s">
        <v>5264</v>
      </c>
      <c r="X45" s="209">
        <f>GlobBerMedDisc!AB29</f>
        <v>0</v>
      </c>
      <c r="Y45" s="209" t="s">
        <v>5265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5234</v>
      </c>
      <c r="D46" s="214" t="s">
        <v>5236</v>
      </c>
      <c r="E46" s="209" t="s">
        <v>5262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5263</v>
      </c>
      <c r="V46" s="209" t="str">
        <f>GlobBerMedDisc!AA30</f>
        <v/>
      </c>
      <c r="W46" s="209" t="s">
        <v>5264</v>
      </c>
      <c r="X46" s="209">
        <f>GlobBerMedDisc!AB30</f>
        <v>0</v>
      </c>
      <c r="Y46" s="209" t="s">
        <v>5265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5234</v>
      </c>
      <c r="D47" s="214" t="s">
        <v>5237</v>
      </c>
      <c r="E47" s="209" t="s">
        <v>5262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5263</v>
      </c>
      <c r="V47" s="209" t="str">
        <f>GlobBerMedDisc!AA31</f>
        <v/>
      </c>
      <c r="W47" s="209" t="s">
        <v>5264</v>
      </c>
      <c r="X47" s="209">
        <f>GlobBerMedDisc!AB31</f>
        <v>0</v>
      </c>
      <c r="Y47" s="209" t="s">
        <v>5265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5239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5239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5239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5239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5239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5239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5239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5239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5239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5239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5239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5239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5239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5239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5239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5239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5239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5239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5239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5239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5313</v>
      </c>
      <c r="D68" s="214" t="s">
        <v>5331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5313</v>
      </c>
      <c r="D69" s="214" t="s">
        <v>5330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5261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5313</v>
      </c>
      <c r="D70" s="214" t="s">
        <v>5314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5261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5313</v>
      </c>
      <c r="D71" s="214" t="s">
        <v>5315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5261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5313</v>
      </c>
      <c r="D72" s="214" t="s">
        <v>5315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5261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5313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5253</v>
      </c>
      <c r="D74" s="214" t="s">
        <v>5254</v>
      </c>
      <c r="E74" s="209" t="s">
        <v>5260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5261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5253</v>
      </c>
      <c r="D75" s="214" t="s">
        <v>5255</v>
      </c>
      <c r="E75" s="209" t="s">
        <v>5260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5261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5253</v>
      </c>
      <c r="D76" s="214" t="s">
        <v>5256</v>
      </c>
      <c r="E76" s="209" t="s">
        <v>5260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5261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5253</v>
      </c>
      <c r="D77" s="214" t="s">
        <v>240</v>
      </c>
      <c r="E77" s="209" t="s">
        <v>5260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5261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5253</v>
      </c>
      <c r="D78" s="214" t="s">
        <v>5257</v>
      </c>
      <c r="E78" s="209" t="s">
        <v>5260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5261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5253</v>
      </c>
      <c r="D79" s="214" t="s">
        <v>5258</v>
      </c>
      <c r="E79" s="209" t="s">
        <v>5260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5261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5253</v>
      </c>
      <c r="D80" s="214" t="s">
        <v>5259</v>
      </c>
      <c r="E80" s="209" t="s">
        <v>5260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5261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5253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5240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5240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5240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5240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5240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5240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5240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5241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5242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5242</v>
      </c>
      <c r="D91" s="209" t="s">
        <v>5250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5242</v>
      </c>
      <c r="D92" s="209" t="s">
        <v>5249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5242</v>
      </c>
      <c r="D93" s="209" t="s">
        <v>5251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5242</v>
      </c>
      <c r="D94" s="209" t="s">
        <v>5252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5242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5243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5243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5243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5243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5244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5244</v>
      </c>
      <c r="D101" s="350" t="s">
        <v>5245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5244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5244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5244</v>
      </c>
      <c r="D104" s="350" t="s">
        <v>5259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5244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5244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5244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5244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5244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5244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5244</v>
      </c>
      <c r="D111" s="209" t="s">
        <v>5248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5244</v>
      </c>
      <c r="D112" s="209" t="s">
        <v>5247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5327</v>
      </c>
      <c r="D113" s="209" t="s">
        <v>5266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5327</v>
      </c>
      <c r="D114" s="214" t="s">
        <v>5316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5327</v>
      </c>
      <c r="D115" s="214" t="s">
        <v>5317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5327</v>
      </c>
      <c r="D116" s="214" t="s">
        <v>5318</v>
      </c>
      <c r="E116" s="209" t="s">
        <v>363</v>
      </c>
      <c r="F116" s="209" t="s">
        <v>5306</v>
      </c>
      <c r="G116" s="209" t="s">
        <v>5270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5327</v>
      </c>
      <c r="D117" s="214" t="s">
        <v>5319</v>
      </c>
      <c r="E117" s="209" t="s">
        <v>363</v>
      </c>
      <c r="F117" s="209" t="str">
        <f>NeoBerInfB!P12</f>
        <v/>
      </c>
      <c r="G117" s="209" t="s">
        <v>5270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5327</v>
      </c>
      <c r="D118" s="214" t="s">
        <v>5320</v>
      </c>
      <c r="E118" s="209" t="s">
        <v>363</v>
      </c>
      <c r="F118" s="209" t="str">
        <f>NeoBerInfB!P13</f>
        <v/>
      </c>
      <c r="G118" s="209" t="s">
        <v>5270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5327</v>
      </c>
      <c r="D119" s="214" t="s">
        <v>5321</v>
      </c>
      <c r="E119" s="209" t="s">
        <v>363</v>
      </c>
      <c r="F119" s="209" t="str">
        <f>NeoBerInfB!P14</f>
        <v/>
      </c>
      <c r="G119" s="209" t="s">
        <v>5270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5327</v>
      </c>
      <c r="D120" s="214" t="s">
        <v>5322</v>
      </c>
      <c r="E120" s="209" t="s">
        <v>363</v>
      </c>
      <c r="F120" s="209" t="str">
        <f>NeoBerInfB!P15</f>
        <v/>
      </c>
      <c r="G120" s="209" t="s">
        <v>5270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5327</v>
      </c>
      <c r="D121" s="214" t="s">
        <v>5323</v>
      </c>
      <c r="E121" s="209" t="s">
        <v>363</v>
      </c>
      <c r="F121" s="209" t="str">
        <f>NeoBerInfB!P16</f>
        <v/>
      </c>
      <c r="G121" s="209" t="s">
        <v>5270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5327</v>
      </c>
      <c r="D122" s="214" t="s">
        <v>5324</v>
      </c>
      <c r="E122" s="209" t="s">
        <v>363</v>
      </c>
      <c r="F122" s="209" t="str">
        <f>NeoBerInfB!P17</f>
        <v/>
      </c>
      <c r="G122" s="209" t="s">
        <v>5270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5327</v>
      </c>
      <c r="D123" s="214" t="s">
        <v>5325</v>
      </c>
      <c r="E123" s="209" t="s">
        <v>363</v>
      </c>
      <c r="F123" s="209" t="str">
        <f>NeoBerInfB!P18</f>
        <v/>
      </c>
      <c r="G123" s="209" t="s">
        <v>5270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5327</v>
      </c>
      <c r="D124" s="214" t="s">
        <v>5326</v>
      </c>
      <c r="E124" s="209" t="s">
        <v>363</v>
      </c>
      <c r="F124" s="209" t="str">
        <f>NeoBerInfB!P19</f>
        <v/>
      </c>
      <c r="G124" s="209" t="s">
        <v>5270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5267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5266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5268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5266</v>
      </c>
      <c r="V126" s="209" t="str">
        <f>IF(AND(F126&lt;&gt;"",NeoBerInfB!I23),"Extra","")</f>
        <v/>
      </c>
      <c r="W126" s="209" t="s">
        <v>5265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5268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5266</v>
      </c>
      <c r="V127" s="209" t="str">
        <f>IF(AND(F127&lt;&gt;"",NeoBerInfB!I24),"Extra","")</f>
        <v/>
      </c>
      <c r="W127" s="209" t="s">
        <v>5265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5268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5266</v>
      </c>
      <c r="V128" s="209" t="str">
        <f>IF(AND(F128&lt;&gt;"",NeoBerInfB!I25),"Extra","")</f>
        <v/>
      </c>
      <c r="W128" s="209" t="s">
        <v>5265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5268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5266</v>
      </c>
      <c r="V129" s="209" t="str">
        <f>IF(AND(F129&lt;&gt;"",NeoBerInfB!I26),"Extra","")</f>
        <v/>
      </c>
      <c r="W129" s="209" t="s">
        <v>5265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5268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5266</v>
      </c>
      <c r="V130" s="209" t="str">
        <f>IF(AND(F130&lt;&gt;"",NeoBerInfB!I27),"Extra","")</f>
        <v/>
      </c>
      <c r="W130" s="209" t="s">
        <v>5265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5268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5266</v>
      </c>
      <c r="V131" s="209" t="str">
        <f>IF(AND(F131&lt;&gt;"",NeoBerInfB!I28),"Extra","")</f>
        <v/>
      </c>
      <c r="W131" s="209" t="s">
        <v>5265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5268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5266</v>
      </c>
      <c r="V132" s="209" t="str">
        <f>IF(AND(F132&lt;&gt;"",NeoBerInfB!I29),"Extra","")</f>
        <v/>
      </c>
      <c r="W132" s="209" t="s">
        <v>5265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5268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5266</v>
      </c>
      <c r="V133" s="209" t="str">
        <f>IF(AND(F133&lt;&gt;"",NeoBerInfB!I30),"Extra","")</f>
        <v/>
      </c>
      <c r="W133" s="209" t="s">
        <v>5265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5268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5266</v>
      </c>
      <c r="V134" s="209" t="str">
        <f>IF(AND(F134&lt;&gt;"",NeoBerInfB!I31),"Extra","")</f>
        <v/>
      </c>
      <c r="W134" s="209" t="s">
        <v>5265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5268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5266</v>
      </c>
      <c r="V135" s="209" t="str">
        <f>IF(AND(F135&lt;&gt;"",NeoBerInfB!I32),"Extra","")</f>
        <v/>
      </c>
      <c r="W135" s="209" t="s">
        <v>5265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5268</v>
      </c>
      <c r="D136" s="214" t="s">
        <v>5328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5268</v>
      </c>
      <c r="D137" s="214" t="s">
        <v>5329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5269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5266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5269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5266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5269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5266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5271</v>
      </c>
      <c r="D141" s="209" t="s">
        <v>5259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5271</v>
      </c>
      <c r="D142" s="209" t="s">
        <v>5272</v>
      </c>
      <c r="E142" s="209" t="s">
        <v>5260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5261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5245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5246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5247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5248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5273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5273</v>
      </c>
      <c r="D156" s="209" t="s">
        <v>5274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5273</v>
      </c>
      <c r="D157" s="209" t="s">
        <v>5275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5273</v>
      </c>
      <c r="D158" s="209" t="s">
        <v>5276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5273</v>
      </c>
      <c r="D159" s="209" t="s">
        <v>5251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5273</v>
      </c>
      <c r="D160" s="209" t="s">
        <v>5277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5273</v>
      </c>
      <c r="D161" s="209" t="s">
        <v>5278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5273</v>
      </c>
      <c r="D162" s="209" t="s">
        <v>5308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5273</v>
      </c>
      <c r="D163" s="209" t="s">
        <v>5307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5273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5279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5279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5279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5279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5279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1800" activePane="bottomRight" state="frozen"/>
      <selection activeCell="C22" sqref="C22"/>
      <selection pane="topRight" activeCell="C22" sqref="C22"/>
      <selection pane="bottomLeft" activeCell="C22" sqref="C22"/>
      <selection pane="bottomRight" activeCell="C1810" sqref="C181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6" x14ac:dyDescent="0.2">
      <c r="A49" s="208" t="s">
        <v>1788</v>
      </c>
      <c r="B49" t="str">
        <f>IF(ISBLANK(GlobBerMedDisc!$AJ$30),"",GlobBerMedDisc!$AJ$30)</f>
        <v/>
      </c>
      <c r="C49" s="350"/>
    </row>
    <row r="50" spans="1:6" x14ac:dyDescent="0.2">
      <c r="A50" s="208" t="s">
        <v>1789</v>
      </c>
      <c r="B50" t="str">
        <f>IF(ISBLANK(GlobBerMedDisc!$AJ$31),"",GlobBerMedDisc!$AJ$31)</f>
        <v/>
      </c>
      <c r="C50" s="350"/>
    </row>
    <row r="51" spans="1:6" x14ac:dyDescent="0.2">
      <c r="A51" s="208" t="s">
        <v>5450</v>
      </c>
      <c r="B51" s="208" t="str">
        <f>IF(ISBLANK(GlobBerMedDisc!$AU$2),"",GlobBerMedDisc!$AU$2)</f>
        <v/>
      </c>
      <c r="C51" s="350"/>
      <c r="D51" s="208"/>
      <c r="E51" s="208"/>
      <c r="F51" s="208"/>
    </row>
    <row r="52" spans="1:6" x14ac:dyDescent="0.2">
      <c r="A52" s="208" t="s">
        <v>5452</v>
      </c>
      <c r="B52" s="208" t="str">
        <f>IF(ISBLANK(GlobBerMedDisc!$AU$3),"",GlobBerMedDisc!$AU$3)</f>
        <v/>
      </c>
      <c r="C52" s="350"/>
      <c r="D52" s="208"/>
      <c r="E52" s="208"/>
      <c r="F52" s="208"/>
    </row>
    <row r="53" spans="1:6" x14ac:dyDescent="0.2">
      <c r="A53" s="208" t="s">
        <v>5454</v>
      </c>
      <c r="B53" s="208" t="str">
        <f>IF(ISBLANK(GlobBerMedDisc!$AU$4),"",GlobBerMedDisc!$AU$4)</f>
        <v/>
      </c>
      <c r="C53" s="350"/>
      <c r="D53" s="208"/>
      <c r="E53" s="208"/>
      <c r="F53" s="208"/>
    </row>
    <row r="54" spans="1:6" x14ac:dyDescent="0.2">
      <c r="A54" s="208" t="s">
        <v>5456</v>
      </c>
      <c r="B54" s="208" t="str">
        <f>IF(ISBLANK(GlobBerMedDisc!$AU$5),"",GlobBerMedDisc!$AU$5)</f>
        <v/>
      </c>
      <c r="C54" s="350"/>
      <c r="D54" s="208"/>
      <c r="E54" s="208"/>
      <c r="F54" s="208"/>
    </row>
    <row r="55" spans="1:6" x14ac:dyDescent="0.2">
      <c r="A55" s="208" t="s">
        <v>5458</v>
      </c>
      <c r="B55" s="208" t="str">
        <f>IF(ISBLANK(GlobBerMedDisc!$AU$6),"",GlobBerMedDisc!$AU$6)</f>
        <v/>
      </c>
      <c r="C55" s="350"/>
      <c r="D55" s="208"/>
      <c r="E55" s="208"/>
      <c r="F55" s="208"/>
    </row>
    <row r="56" spans="1:6" x14ac:dyDescent="0.2">
      <c r="A56" s="208" t="s">
        <v>5460</v>
      </c>
      <c r="B56" s="208" t="str">
        <f>IF(ISBLANK(GlobBerMedDisc!$AU$7),"",GlobBerMedDisc!$AU$7)</f>
        <v/>
      </c>
      <c r="C56" s="350"/>
      <c r="D56" s="208"/>
      <c r="E56" s="208"/>
      <c r="F56" s="208"/>
    </row>
    <row r="57" spans="1:6" x14ac:dyDescent="0.2">
      <c r="A57" s="208" t="s">
        <v>5462</v>
      </c>
      <c r="B57" s="208" t="str">
        <f>IF(ISBLANK(GlobBerMedDisc!$AU$8),"",GlobBerMedDisc!$AU$8)</f>
        <v/>
      </c>
      <c r="C57" s="350"/>
      <c r="D57" s="208"/>
      <c r="E57" s="208"/>
      <c r="F57" s="208"/>
    </row>
    <row r="58" spans="1:6" x14ac:dyDescent="0.2">
      <c r="A58" s="208" t="s">
        <v>5464</v>
      </c>
      <c r="B58" s="208" t="str">
        <f>IF(ISBLANK(GlobBerMedDisc!$AU$9),"",GlobBerMedDisc!$AU$9)</f>
        <v/>
      </c>
      <c r="C58" s="350"/>
      <c r="D58" s="208"/>
      <c r="E58" s="208"/>
      <c r="F58" s="208"/>
    </row>
    <row r="59" spans="1:6" x14ac:dyDescent="0.2">
      <c r="A59" s="208" t="s">
        <v>5466</v>
      </c>
      <c r="B59" s="208" t="str">
        <f>IF(ISBLANK(GlobBerMedDisc!$AU$10),"",GlobBerMedDisc!$AU$10)</f>
        <v/>
      </c>
      <c r="C59" s="350"/>
      <c r="D59" s="208"/>
      <c r="E59" s="208"/>
      <c r="F59" s="208"/>
    </row>
    <row r="60" spans="1:6" x14ac:dyDescent="0.2">
      <c r="A60" s="208" t="s">
        <v>5468</v>
      </c>
      <c r="B60" s="208" t="str">
        <f>IF(ISBLANK(GlobBerMedDisc!$AU$11),"",GlobBerMedDisc!$AU$11)</f>
        <v/>
      </c>
      <c r="C60" s="350"/>
      <c r="D60" s="208"/>
      <c r="E60" s="208"/>
      <c r="F60" s="208"/>
    </row>
    <row r="61" spans="1:6" x14ac:dyDescent="0.2">
      <c r="A61" s="208" t="s">
        <v>5470</v>
      </c>
      <c r="B61" s="208" t="str">
        <f>IF(ISBLANK(GlobBerMedDisc!$AU$12),"",GlobBerMedDisc!$AU$12)</f>
        <v/>
      </c>
      <c r="C61" s="350"/>
      <c r="D61" s="208"/>
      <c r="E61" s="208"/>
      <c r="F61" s="208"/>
    </row>
    <row r="62" spans="1:6" x14ac:dyDescent="0.2">
      <c r="A62" s="208" t="s">
        <v>5472</v>
      </c>
      <c r="B62" s="208" t="str">
        <f>IF(ISBLANK(GlobBerMedDisc!$AU$13),"",GlobBerMedDisc!$AU$13)</f>
        <v/>
      </c>
      <c r="C62" s="350"/>
      <c r="D62" s="208"/>
      <c r="E62" s="208"/>
      <c r="F62" s="208"/>
    </row>
    <row r="63" spans="1:6" x14ac:dyDescent="0.2">
      <c r="A63" s="208" t="s">
        <v>5474</v>
      </c>
      <c r="B63" s="208" t="str">
        <f>IF(ISBLANK(GlobBerMedDisc!$AU$14),"",GlobBerMedDisc!$AU$14)</f>
        <v/>
      </c>
      <c r="C63" s="350"/>
      <c r="D63" s="208"/>
      <c r="E63" s="208"/>
      <c r="F63" s="208"/>
    </row>
    <row r="64" spans="1:6" x14ac:dyDescent="0.2">
      <c r="A64" s="208" t="s">
        <v>5476</v>
      </c>
      <c r="B64" s="208" t="str">
        <f>IF(ISBLANK(GlobBerMedDisc!$AU$15),"",GlobBerMedDisc!$AU$15)</f>
        <v/>
      </c>
      <c r="C64" s="350"/>
      <c r="D64" s="208"/>
      <c r="E64" s="208"/>
      <c r="F64" s="208"/>
    </row>
    <row r="65" spans="1:6" x14ac:dyDescent="0.2">
      <c r="A65" s="208" t="s">
        <v>5478</v>
      </c>
      <c r="B65" s="208" t="str">
        <f>IF(ISBLANK(GlobBerMedDisc!$AU$16),"",GlobBerMedDisc!$AU$16)</f>
        <v/>
      </c>
      <c r="C65" s="350"/>
      <c r="D65" s="208"/>
      <c r="E65" s="208"/>
      <c r="F65" s="208"/>
    </row>
    <row r="66" spans="1:6" x14ac:dyDescent="0.2">
      <c r="A66" s="208" t="s">
        <v>5480</v>
      </c>
      <c r="B66" s="208" t="str">
        <f>IF(ISBLANK(GlobBerMedDisc!$AU$17),"",GlobBerMedDisc!$AU$17)</f>
        <v/>
      </c>
      <c r="C66" s="350"/>
      <c r="D66" s="208"/>
      <c r="E66" s="208"/>
      <c r="F66" s="208"/>
    </row>
    <row r="67" spans="1:6" x14ac:dyDescent="0.2">
      <c r="A67" s="208" t="s">
        <v>5482</v>
      </c>
      <c r="B67" s="208" t="str">
        <f>IF(ISBLANK(GlobBerMedDisc!$AU$18),"",GlobBerMedDisc!$AU$18)</f>
        <v/>
      </c>
      <c r="C67" s="350"/>
      <c r="D67" s="208"/>
      <c r="E67" s="208"/>
      <c r="F67" s="208"/>
    </row>
    <row r="68" spans="1:6" x14ac:dyDescent="0.2">
      <c r="A68" s="208" t="s">
        <v>5484</v>
      </c>
      <c r="B68" s="208" t="str">
        <f>IF(ISBLANK(GlobBerMedDisc!$AU$19),"",GlobBerMedDisc!$AU$19)</f>
        <v/>
      </c>
      <c r="C68" s="350"/>
      <c r="D68" s="208"/>
      <c r="E68" s="208"/>
      <c r="F68" s="208"/>
    </row>
    <row r="69" spans="1:6" x14ac:dyDescent="0.2">
      <c r="A69" s="208" t="s">
        <v>5486</v>
      </c>
      <c r="B69" s="208" t="str">
        <f>IF(ISBLANK(GlobBerMedDisc!$AU$20),"",GlobBerMedDisc!$AU$20)</f>
        <v/>
      </c>
      <c r="C69" s="350"/>
      <c r="D69" s="208"/>
      <c r="E69" s="208"/>
      <c r="F69" s="208"/>
    </row>
    <row r="70" spans="1:6" x14ac:dyDescent="0.2">
      <c r="A70" s="208" t="s">
        <v>5488</v>
      </c>
      <c r="B70" s="208" t="str">
        <f>IF(ISBLANK(GlobBerMedDisc!$AU$21),"",GlobBerMedDisc!$AU$21)</f>
        <v/>
      </c>
      <c r="C70" s="350"/>
      <c r="D70" s="208"/>
      <c r="E70" s="208"/>
      <c r="F70" s="208"/>
    </row>
    <row r="71" spans="1:6" x14ac:dyDescent="0.2">
      <c r="A71" s="208" t="s">
        <v>5490</v>
      </c>
      <c r="B71" s="208" t="str">
        <f>IF(ISBLANK(GlobBerMedDisc!$AU$22),"",GlobBerMedDisc!$AU$22)</f>
        <v/>
      </c>
      <c r="C71" s="350"/>
      <c r="D71" s="208"/>
      <c r="E71" s="208"/>
      <c r="F71" s="208"/>
    </row>
    <row r="72" spans="1:6" x14ac:dyDescent="0.2">
      <c r="A72" s="208" t="s">
        <v>5492</v>
      </c>
      <c r="B72" s="208" t="str">
        <f>IF(ISBLANK(GlobBerMedDisc!$AU$23),"",GlobBerMedDisc!$AU$23)</f>
        <v/>
      </c>
      <c r="C72" s="350"/>
      <c r="D72" s="208"/>
      <c r="E72" s="208"/>
      <c r="F72" s="208"/>
    </row>
    <row r="73" spans="1:6" x14ac:dyDescent="0.2">
      <c r="A73" s="208" t="s">
        <v>5494</v>
      </c>
      <c r="B73" s="208" t="str">
        <f>IF(ISBLANK(GlobBerMedDisc!$AU$24),"",GlobBerMedDisc!$AU$24)</f>
        <v/>
      </c>
      <c r="C73" s="350"/>
      <c r="D73" s="208"/>
      <c r="E73" s="208"/>
      <c r="F73" s="208"/>
    </row>
    <row r="74" spans="1:6" x14ac:dyDescent="0.2">
      <c r="A74" s="208" t="s">
        <v>5496</v>
      </c>
      <c r="B74" s="208" t="str">
        <f>IF(ISBLANK(GlobBerMedDisc!$AU$25),"",GlobBerMedDisc!$AU$25)</f>
        <v/>
      </c>
      <c r="C74" s="350"/>
      <c r="D74" s="208"/>
      <c r="E74" s="208"/>
      <c r="F74" s="208"/>
    </row>
    <row r="75" spans="1:6" x14ac:dyDescent="0.2">
      <c r="A75" s="208" t="s">
        <v>5498</v>
      </c>
      <c r="B75" s="208" t="str">
        <f>IF(ISBLANK(GlobBerMedDisc!$AU$26),"",GlobBerMedDisc!$AU$26)</f>
        <v/>
      </c>
      <c r="C75" s="350"/>
      <c r="D75" s="208"/>
      <c r="E75" s="208"/>
      <c r="F75" s="208"/>
    </row>
    <row r="76" spans="1:6" x14ac:dyDescent="0.2">
      <c r="A76" s="208" t="s">
        <v>5500</v>
      </c>
      <c r="B76" s="208" t="str">
        <f>IF(ISBLANK(GlobBerMedDisc!$AU$27),"",GlobBerMedDisc!$AU$27)</f>
        <v/>
      </c>
      <c r="C76" s="350"/>
      <c r="D76" s="208"/>
      <c r="E76" s="208"/>
      <c r="F76" s="208"/>
    </row>
    <row r="77" spans="1:6" x14ac:dyDescent="0.2">
      <c r="A77" s="208" t="s">
        <v>5502</v>
      </c>
      <c r="B77" s="208" t="str">
        <f>IF(ISBLANK(GlobBerMedDisc!$AU$28),"",GlobBerMedDisc!$AU$28)</f>
        <v/>
      </c>
      <c r="C77" s="350"/>
      <c r="D77" s="208"/>
      <c r="E77" s="208"/>
      <c r="F77" s="208"/>
    </row>
    <row r="78" spans="1:6" x14ac:dyDescent="0.2">
      <c r="A78" s="208" t="s">
        <v>5504</v>
      </c>
      <c r="B78" s="208" t="str">
        <f>IF(ISBLANK(GlobBerMedDisc!$AU$29),"",GlobBerMedDisc!$AU$29)</f>
        <v/>
      </c>
      <c r="C78" s="350"/>
      <c r="D78" s="208"/>
      <c r="E78" s="208"/>
      <c r="F78" s="208"/>
    </row>
    <row r="79" spans="1:6" x14ac:dyDescent="0.2">
      <c r="A79" s="208" t="s">
        <v>5506</v>
      </c>
      <c r="B79" s="208" t="str">
        <f>IF(ISBLANK(GlobBerMedDisc!$AU$30),"",GlobBerMedDisc!$AU$30)</f>
        <v/>
      </c>
      <c r="C79" s="350"/>
      <c r="D79" s="208"/>
      <c r="E79" s="208"/>
      <c r="F79" s="208"/>
    </row>
    <row r="80" spans="1:6" x14ac:dyDescent="0.2">
      <c r="A80" s="208" t="s">
        <v>5508</v>
      </c>
      <c r="B80" s="208" t="str">
        <f>IF(ISBLANK(GlobBerMedDisc!$AU$31),"",GlobBerMedDisc!$AU$31)</f>
        <v/>
      </c>
      <c r="C80" s="350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50"/>
    </row>
    <row r="82" spans="1:3" x14ac:dyDescent="0.2">
      <c r="A82" s="208" t="s">
        <v>1791</v>
      </c>
      <c r="B82" t="str">
        <f>IF(ISBLANK(GlobBerMedDisc!$F$3),"",GlobBerMedDisc!$F$3)</f>
        <v/>
      </c>
      <c r="C82" s="350"/>
    </row>
    <row r="83" spans="1:3" x14ac:dyDescent="0.2">
      <c r="A83" s="208" t="s">
        <v>1792</v>
      </c>
      <c r="B83" t="str">
        <f>IF(ISBLANK(GlobBerMedDisc!$F$4),"",GlobBerMedDisc!$F$4)</f>
        <v/>
      </c>
      <c r="C83" s="350"/>
    </row>
    <row r="84" spans="1:3" x14ac:dyDescent="0.2">
      <c r="A84" s="208" t="s">
        <v>1793</v>
      </c>
      <c r="B84" t="str">
        <f>IF(ISBLANK(GlobBerMedDisc!$F$5),"",GlobBerMedDisc!$F$5)</f>
        <v/>
      </c>
      <c r="C84" s="350"/>
    </row>
    <row r="85" spans="1:3" x14ac:dyDescent="0.2">
      <c r="A85" s="208" t="s">
        <v>1794</v>
      </c>
      <c r="B85" t="str">
        <f>IF(ISBLANK(GlobBerMedDisc!$F$6),"",GlobBerMedDisc!$F$6)</f>
        <v/>
      </c>
      <c r="C85" s="350"/>
    </row>
    <row r="86" spans="1:3" x14ac:dyDescent="0.2">
      <c r="A86" s="208" t="s">
        <v>1795</v>
      </c>
      <c r="B86" t="str">
        <f>IF(ISBLANK(GlobBerMedDisc!$F$7),"",GlobBerMedDisc!$F$7)</f>
        <v/>
      </c>
      <c r="C86" s="350"/>
    </row>
    <row r="87" spans="1:3" x14ac:dyDescent="0.2">
      <c r="A87" s="208" t="s">
        <v>1796</v>
      </c>
      <c r="B87" t="str">
        <f>IF(ISBLANK(GlobBerMedDisc!$F$8),"",GlobBerMedDisc!$F$8)</f>
        <v/>
      </c>
      <c r="C87" s="350"/>
    </row>
    <row r="88" spans="1:3" x14ac:dyDescent="0.2">
      <c r="A88" s="208" t="s">
        <v>1797</v>
      </c>
      <c r="B88" t="str">
        <f>IF(ISBLANK(GlobBerMedDisc!$F$9),"",GlobBerMedDisc!$F$9)</f>
        <v/>
      </c>
      <c r="C88" s="350"/>
    </row>
    <row r="89" spans="1:3" x14ac:dyDescent="0.2">
      <c r="A89" s="208" t="s">
        <v>1798</v>
      </c>
      <c r="B89" t="str">
        <f>IF(ISBLANK(GlobBerMedDisc!$F$10),"",GlobBerMedDisc!$F$10)</f>
        <v/>
      </c>
      <c r="C89" s="350"/>
    </row>
    <row r="90" spans="1:3" x14ac:dyDescent="0.2">
      <c r="A90" s="208" t="s">
        <v>1799</v>
      </c>
      <c r="B90" t="str">
        <f>IF(ISBLANK(GlobBerMedDisc!$F$11),"",GlobBerMedDisc!$F$11)</f>
        <v/>
      </c>
      <c r="C90" s="350"/>
    </row>
    <row r="91" spans="1:3" x14ac:dyDescent="0.2">
      <c r="A91" s="208" t="s">
        <v>1800</v>
      </c>
      <c r="B91" t="str">
        <f>IF(ISBLANK(GlobBerMedDisc!$F$12),"",GlobBerMedDisc!$F$12)</f>
        <v/>
      </c>
      <c r="C91" s="350"/>
    </row>
    <row r="92" spans="1:3" x14ac:dyDescent="0.2">
      <c r="A92" s="208" t="s">
        <v>1801</v>
      </c>
      <c r="B92" t="str">
        <f>IF(ISBLANK(GlobBerMedDisc!$F$13),"",GlobBerMedDisc!$F$13)</f>
        <v/>
      </c>
      <c r="C92" s="350"/>
    </row>
    <row r="93" spans="1:3" x14ac:dyDescent="0.2">
      <c r="A93" s="208" t="s">
        <v>1802</v>
      </c>
      <c r="B93" t="str">
        <f>IF(ISBLANK(GlobBerMedDisc!$F$14),"",GlobBerMedDisc!$F$14)</f>
        <v/>
      </c>
      <c r="C93" s="350"/>
    </row>
    <row r="94" spans="1:3" x14ac:dyDescent="0.2">
      <c r="A94" s="208" t="s">
        <v>1803</v>
      </c>
      <c r="B94" t="str">
        <f>IF(ISBLANK(GlobBerMedDisc!$F$15),"",GlobBerMedDisc!$F$15)</f>
        <v/>
      </c>
      <c r="C94" s="350"/>
    </row>
    <row r="95" spans="1:3" x14ac:dyDescent="0.2">
      <c r="A95" s="208" t="s">
        <v>1804</v>
      </c>
      <c r="B95" t="str">
        <f>IF(ISBLANK(GlobBerMedDisc!$F$16),"",GlobBerMedDisc!$F$16)</f>
        <v/>
      </c>
      <c r="C95" s="350"/>
    </row>
    <row r="96" spans="1:3" x14ac:dyDescent="0.2">
      <c r="A96" s="208" t="s">
        <v>1805</v>
      </c>
      <c r="B96" t="str">
        <f>IF(ISBLANK(GlobBerMedDisc!$F$17),"",GlobBerMedDisc!$F$17)</f>
        <v/>
      </c>
      <c r="C96" s="350"/>
    </row>
    <row r="97" spans="1:3" x14ac:dyDescent="0.2">
      <c r="A97" s="208" t="s">
        <v>1806</v>
      </c>
      <c r="B97" t="str">
        <f>IF(ISBLANK(GlobBerMedDisc!$F$18),"",GlobBerMedDisc!$F$18)</f>
        <v/>
      </c>
      <c r="C97" s="350"/>
    </row>
    <row r="98" spans="1:3" x14ac:dyDescent="0.2">
      <c r="A98" s="208" t="s">
        <v>1807</v>
      </c>
      <c r="B98" t="str">
        <f>IF(ISBLANK(GlobBerMedDisc!$F$19),"",GlobBerMedDisc!$F$19)</f>
        <v/>
      </c>
      <c r="C98" s="350"/>
    </row>
    <row r="99" spans="1:3" x14ac:dyDescent="0.2">
      <c r="A99" s="208" t="s">
        <v>1808</v>
      </c>
      <c r="B99" t="str">
        <f>IF(ISBLANK(GlobBerMedDisc!$F$20),"",GlobBerMedDisc!$F$20)</f>
        <v/>
      </c>
      <c r="C99" s="350"/>
    </row>
    <row r="100" spans="1:3" x14ac:dyDescent="0.2">
      <c r="A100" s="208" t="s">
        <v>1809</v>
      </c>
      <c r="B100" t="str">
        <f>IF(ISBLANK(GlobBerMedDisc!$F$21),"",GlobBerMedDisc!$F$21)</f>
        <v/>
      </c>
      <c r="C100" s="350"/>
    </row>
    <row r="101" spans="1:3" x14ac:dyDescent="0.2">
      <c r="A101" s="208" t="s">
        <v>1810</v>
      </c>
      <c r="B101" t="str">
        <f>IF(ISBLANK(GlobBerMedDisc!$F$22),"",GlobBerMedDisc!$F$22)</f>
        <v/>
      </c>
      <c r="C101" s="350"/>
    </row>
    <row r="102" spans="1:3" x14ac:dyDescent="0.2">
      <c r="A102" s="208" t="s">
        <v>1811</v>
      </c>
      <c r="B102" t="str">
        <f>IF(ISBLANK(GlobBerMedDisc!$F$23),"",GlobBerMedDisc!$F$23)</f>
        <v/>
      </c>
      <c r="C102" s="350"/>
    </row>
    <row r="103" spans="1:3" x14ac:dyDescent="0.2">
      <c r="A103" s="208" t="s">
        <v>1812</v>
      </c>
      <c r="B103" t="str">
        <f>IF(ISBLANK(GlobBerMedDisc!$F$24),"",GlobBerMedDisc!$F$24)</f>
        <v/>
      </c>
      <c r="C103" s="350"/>
    </row>
    <row r="104" spans="1:3" x14ac:dyDescent="0.2">
      <c r="A104" s="208" t="s">
        <v>1813</v>
      </c>
      <c r="B104" t="str">
        <f>IF(ISBLANK(GlobBerMedDisc!$F$25),"",GlobBerMedDisc!$F$25)</f>
        <v/>
      </c>
      <c r="C104" s="350"/>
    </row>
    <row r="105" spans="1:3" x14ac:dyDescent="0.2">
      <c r="A105" s="208" t="s">
        <v>1814</v>
      </c>
      <c r="B105" t="str">
        <f>IF(ISBLANK(GlobBerMedDisc!$F$26),"",GlobBerMedDisc!$F$26)</f>
        <v/>
      </c>
      <c r="C105" s="350"/>
    </row>
    <row r="106" spans="1:3" x14ac:dyDescent="0.2">
      <c r="A106" s="208" t="s">
        <v>1815</v>
      </c>
      <c r="B106" t="str">
        <f>IF(ISBLANK(GlobBerMedDisc!$F$27),"",GlobBerMedDisc!$F$27)</f>
        <v/>
      </c>
      <c r="C106" s="350"/>
    </row>
    <row r="107" spans="1:3" x14ac:dyDescent="0.2">
      <c r="A107" s="208" t="s">
        <v>1816</v>
      </c>
      <c r="B107" t="str">
        <f>IF(ISBLANK(GlobBerMedDisc!$F$28),"",GlobBerMedDisc!$F$28)</f>
        <v/>
      </c>
      <c r="C107" s="350"/>
    </row>
    <row r="108" spans="1:3" x14ac:dyDescent="0.2">
      <c r="A108" s="208" t="s">
        <v>1817</v>
      </c>
      <c r="B108" t="str">
        <f>IF(ISBLANK(GlobBerMedDisc!$F$29),"",GlobBerMedDisc!$F$29)</f>
        <v/>
      </c>
      <c r="C108" s="350"/>
    </row>
    <row r="109" spans="1:3" x14ac:dyDescent="0.2">
      <c r="A109" s="208" t="s">
        <v>1818</v>
      </c>
      <c r="B109" t="str">
        <f>IF(ISBLANK(GlobBerMedDisc!$F$30),"",GlobBerMedDisc!$F$30)</f>
        <v/>
      </c>
      <c r="C109" s="350"/>
    </row>
    <row r="110" spans="1:3" x14ac:dyDescent="0.2">
      <c r="A110" s="208" t="s">
        <v>1819</v>
      </c>
      <c r="B110" t="str">
        <f>IF(ISBLANK(GlobBerMedDisc!$F$31),"",GlobBerMedDisc!$F$31)</f>
        <v/>
      </c>
      <c r="C110" s="350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5828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5830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5832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5840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5850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5860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5870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5880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6097</v>
      </c>
      <c r="B201" t="str">
        <f>IF(ISBLANK(GlobBerMedDisc!$BE$2),"",GlobBerMedDisc!$BE$2)</f>
        <v/>
      </c>
      <c r="C201" s="208"/>
    </row>
    <row r="202" spans="1:3" x14ac:dyDescent="0.2">
      <c r="A202" s="208" t="s">
        <v>6098</v>
      </c>
      <c r="B202" t="str">
        <f>IF(ISBLANK(GlobBerMedDisc!$BE$3),"",GlobBerMedDisc!$BE$3)</f>
        <v/>
      </c>
      <c r="C202" s="208"/>
    </row>
    <row r="203" spans="1:3" x14ac:dyDescent="0.2">
      <c r="A203" s="208" t="s">
        <v>6099</v>
      </c>
      <c r="B203" t="str">
        <f>IF(ISBLANK(GlobBerMedDisc!$BE$4),"",GlobBerMedDisc!$BE$4)</f>
        <v/>
      </c>
      <c r="C203" s="208"/>
    </row>
    <row r="204" spans="1:3" x14ac:dyDescent="0.2">
      <c r="A204" s="208" t="s">
        <v>6100</v>
      </c>
      <c r="B204" t="str">
        <f>IF(ISBLANK(GlobBerMedDisc!$BE$5),"",GlobBerMedDisc!$BE$5)</f>
        <v/>
      </c>
      <c r="C204" s="208"/>
    </row>
    <row r="205" spans="1:3" x14ac:dyDescent="0.2">
      <c r="A205" s="208" t="s">
        <v>6101</v>
      </c>
      <c r="B205" t="str">
        <f>IF(ISBLANK(GlobBerMedDisc!$BE$6),"",GlobBerMedDisc!$BE$6)</f>
        <v/>
      </c>
      <c r="C205" s="208"/>
    </row>
    <row r="206" spans="1:3" x14ac:dyDescent="0.2">
      <c r="A206" s="208" t="s">
        <v>6102</v>
      </c>
      <c r="B206" t="str">
        <f>IF(ISBLANK(GlobBerMedDisc!$BE$7),"",GlobBerMedDisc!$BE$7)</f>
        <v/>
      </c>
      <c r="C206" s="208"/>
    </row>
    <row r="207" spans="1:3" x14ac:dyDescent="0.2">
      <c r="A207" s="208" t="s">
        <v>6103</v>
      </c>
      <c r="B207" t="str">
        <f>IF(ISBLANK(GlobBerMedDisc!$BE$8),"",GlobBerMedDisc!$BE$8)</f>
        <v/>
      </c>
      <c r="C207" s="208"/>
    </row>
    <row r="208" spans="1:3" x14ac:dyDescent="0.2">
      <c r="A208" s="208" t="s">
        <v>6104</v>
      </c>
      <c r="B208" t="str">
        <f>IF(ISBLANK(GlobBerMedDisc!$BE$9),"",GlobBerMedDisc!$BE$9)</f>
        <v/>
      </c>
      <c r="C208" s="208"/>
    </row>
    <row r="209" spans="1:3" x14ac:dyDescent="0.2">
      <c r="A209" s="208" t="s">
        <v>6105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6106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6107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6108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6109</v>
      </c>
      <c r="B213" t="str">
        <f>IF(ISBLANK(GlobBerMedDisc!$BE$14),"",GlobBerMedDisc!$BE$14)</f>
        <v/>
      </c>
      <c r="C213" s="208"/>
    </row>
    <row r="214" spans="1:3" x14ac:dyDescent="0.2">
      <c r="A214" s="208" t="s">
        <v>6110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6111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6112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6113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6114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6115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6116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6117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6118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6119</v>
      </c>
      <c r="B223" t="str">
        <f>IF(ISBLANK(GlobBerMedDisc!$BE$24),"",GlobBerMedDisc!$BE$24)</f>
        <v/>
      </c>
      <c r="C223" s="208"/>
    </row>
    <row r="224" spans="1:3" x14ac:dyDescent="0.2">
      <c r="A224" s="208" t="s">
        <v>6120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6121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6122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6123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6124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6125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/>
      </c>
      <c r="C231" s="99"/>
    </row>
    <row r="232" spans="1:3" x14ac:dyDescent="0.2">
      <c r="A232" s="208" t="s">
        <v>1881</v>
      </c>
      <c r="B232" t="str">
        <f>IF(ISBLANK(GlobBerMedDisc!$D$3),"",GlobBerMedDisc!$D$3)</f>
        <v/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1911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1917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5540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5542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5544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5546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5548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5550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5552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5554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5556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5558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5560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5562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5564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5566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5568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5570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5572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5574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5576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5578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5580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5582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5584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5586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5588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5590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5592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5594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5596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5598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5888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5890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5892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5894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5896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5898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5900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5902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5904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5906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5908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5910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5912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5914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5916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5918</v>
      </c>
      <c r="B396" s="208" t="str">
        <f>IF(ISBLANK(GlobBerMedDisc!$BJ$17),"",GlobBerMedDisc!$BJ$17)</f>
        <v/>
      </c>
      <c r="F396"/>
    </row>
    <row r="397" spans="1:6" x14ac:dyDescent="0.2">
      <c r="A397" s="208" t="s">
        <v>5920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5922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5924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5926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5928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5930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5932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5934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5936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5938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5940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5942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5944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5946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5600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5602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5604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5606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5608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5610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5612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5614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5616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5618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5620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5622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5624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5626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5628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5630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5632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5634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5636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5638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5640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5642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5644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5646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5648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5650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5652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5654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5656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5658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5948</v>
      </c>
      <c r="B441" t="str">
        <f>IF(ISBLANK(GlobBerMedDisc!$BG$2),"",GlobBerMedDisc!$BG$2)</f>
        <v/>
      </c>
      <c r="C441" s="208"/>
    </row>
    <row r="442" spans="1:6" x14ac:dyDescent="0.2">
      <c r="A442" s="208" t="s">
        <v>5950</v>
      </c>
      <c r="B442" t="str">
        <f>IF(ISBLANK(GlobBerMedDisc!$BG$3),"",GlobBerMedDisc!$BG$3)</f>
        <v/>
      </c>
      <c r="C442" s="208"/>
    </row>
    <row r="443" spans="1:6" x14ac:dyDescent="0.2">
      <c r="A443" s="208" t="s">
        <v>5952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5954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5956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5958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5960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5962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5964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5966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5968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5970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5972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5974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5976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5978</v>
      </c>
      <c r="B456" t="str">
        <f>IF(ISBLANK(GlobBerMedDisc!$BG$17),"",GlobBerMedDisc!$BG$17)</f>
        <v/>
      </c>
      <c r="C456" s="208"/>
    </row>
    <row r="457" spans="1:6" x14ac:dyDescent="0.2">
      <c r="A457" s="208" t="s">
        <v>5980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5982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5984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5986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5988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5990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5992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5994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5996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5998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6000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6002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6004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6006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5660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5662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5664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5666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5668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5670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5672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5674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5676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5678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5680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5682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5684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5686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5688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5690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5692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5694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5696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5698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5700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5702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5704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5706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5708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5710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5712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5714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5716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5718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5720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5722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5724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5726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5728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5730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5732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5734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5736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5738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5740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5742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5744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5746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5748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5750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5752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5754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5756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5758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5760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5762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5764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5766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5768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5770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5772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5774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5776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5778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/>
      </c>
      <c r="C771" s="99"/>
    </row>
    <row r="772" spans="1:6" x14ac:dyDescent="0.2">
      <c r="A772" s="208" t="s">
        <v>2181</v>
      </c>
      <c r="B772" t="str">
        <f>IF(ISBLANK(GlobBerMedDisc!$L$3),"",GlobBerMedDisc!$L$3)</f>
        <v/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/>
      </c>
      <c r="C801" s="99"/>
    </row>
    <row r="802" spans="1:5" x14ac:dyDescent="0.2">
      <c r="A802" s="208" t="s">
        <v>3462</v>
      </c>
      <c r="B802" t="str">
        <f>IF(ISBLANK(GlobBerMedDisc!$C$3),"",GlobBerMedDisc!$C$3)</f>
        <v/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47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47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47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47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47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47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47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47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47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47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47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47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5000</v>
      </c>
      <c r="C943" s="208">
        <v>5000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51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816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816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816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816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816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816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816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816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816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816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816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816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816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816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5288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47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5280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42997</v>
      </c>
    </row>
    <row r="16" spans="1:7" x14ac:dyDescent="0.2">
      <c r="A16" t="s">
        <v>353</v>
      </c>
      <c r="B16" s="98"/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19-sep-2017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54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41536)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5280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19-sep-2017</v>
      </c>
      <c r="F2" s="665"/>
      <c r="G2" s="666"/>
      <c r="H2" s="664" t="s">
        <v>3496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/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3497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3493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3327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3321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1">
        <f>PedBerMedIV!C29</f>
        <v>0</v>
      </c>
      <c r="G31" s="822"/>
      <c r="H31" s="822"/>
      <c r="I31" s="822"/>
      <c r="J31" s="822"/>
      <c r="K31" s="822"/>
      <c r="L31" s="822"/>
      <c r="M31" s="822"/>
      <c r="N31" s="822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2"/>
      <c r="G32" s="822"/>
      <c r="H32" s="822"/>
      <c r="I32" s="822"/>
      <c r="J32" s="822"/>
      <c r="K32" s="822"/>
      <c r="L32" s="822"/>
      <c r="M32" s="822"/>
      <c r="N32" s="822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2"/>
      <c r="G33" s="822"/>
      <c r="H33" s="822"/>
      <c r="I33" s="822"/>
      <c r="J33" s="822"/>
      <c r="K33" s="822"/>
      <c r="L33" s="822"/>
      <c r="M33" s="822"/>
      <c r="N33" s="822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4811</v>
      </c>
      <c r="F35" s="726" t="s">
        <v>86</v>
      </c>
      <c r="G35" s="726"/>
      <c r="H35" s="726" t="s">
        <v>433</v>
      </c>
      <c r="I35" s="726"/>
      <c r="J35" s="726" t="s">
        <v>4811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D4" activePane="bottomRight" state="frozen"/>
      <selection pane="topRight" activeCell="C1" sqref="C1"/>
      <selection pane="bottomLeft" activeCell="A3" sqref="A3"/>
      <selection pane="bottomRight" activeCell="W5" sqref="W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30" customFormat="1" x14ac:dyDescent="0.2">
      <c r="A2" s="253" t="s">
        <v>4120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7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"),IF(_Pat_Gewicht/10&lt;=48,_Pat_Gewicht/10,48),INDEX(Tbl_Ped_MedContIV,C5,H$2))),"")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"),IF(_Pat_Gewicht/10&lt;=48,_Pat_Gewicht/10,48),INDEX(Tbl_Ped_MedContIV,C6,H$2))),"")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3">Q6</f>
        <v>0</v>
      </c>
      <c r="S6">
        <f t="shared" ref="S6:S25" si="24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"),IF(_Pat_Gewicht/10&lt;=48,_Pat_Gewicht/10,48),INDEX(Tbl_Ped_MedContIV,C7,H$2))),"")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3"/>
        <v>0</v>
      </c>
      <c r="S7">
        <f t="shared" si="24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25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"),IF(_Pat_Gewicht/10&lt;=48,_Pat_Gewicht/10,48),INDEX(Tbl_Ped_MedContIV,C8,H$2))),"")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3"/>
        <v>0</v>
      </c>
      <c r="S8">
        <f t="shared" si="24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25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"),IF(_Pat_Gewicht/10&lt;=48,_Pat_Gewicht/10,48),INDEX(Tbl_Ped_MedContIV,C9,H$2))),"")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3"/>
        <v>0</v>
      </c>
      <c r="S9">
        <f t="shared" si="24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25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"),IF(_Pat_Gewicht/10&lt;=48,_Pat_Gewicht/10,48),INDEX(Tbl_Ped_MedContIV,C10,H$2))),"")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3"/>
        <v>0</v>
      </c>
      <c r="S10">
        <f t="shared" si="24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25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"),IF(_Pat_Gewicht/10&lt;=48,_Pat_Gewicht/10,48),INDEX(Tbl_Ped_MedContIV,C11,H$2))),"")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3"/>
        <v>0</v>
      </c>
      <c r="S11">
        <f t="shared" si="24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25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"),IF(_Pat_Gewicht/10&lt;=48,_Pat_Gewicht/10,48),INDEX(Tbl_Ped_MedContIV,C12,H$2))),"")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3"/>
        <v>0</v>
      </c>
      <c r="S12">
        <f t="shared" si="24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25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"),IF(_Pat_Gewicht/10&lt;=48,_Pat_Gewicht/10,48),INDEX(Tbl_Ped_MedContIV,C13,H$2))),"")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3"/>
        <v>0</v>
      </c>
      <c r="S13">
        <f t="shared" si="24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25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"),IF(_Pat_Gewicht/10&lt;=48,_Pat_Gewicht/10,48),INDEX(Tbl_Ped_MedContIV,C14,H$2))),"")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3"/>
        <v>0</v>
      </c>
      <c r="S14">
        <f t="shared" si="24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25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"),IF(_Pat_Gewicht/10&lt;=48,_Pat_Gewicht/10,48),INDEX(Tbl_Ped_MedContIV,C15,H$2))),"")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3"/>
        <v>0</v>
      </c>
      <c r="S15" s="208">
        <f t="shared" si="24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25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"),IF(_Pat_Gewicht/10&lt;=48,_Pat_Gewicht/10,48),INDEX(Tbl_Ped_MedContIV,C16,H$2))),"")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3"/>
        <v>0</v>
      </c>
      <c r="S16" s="208">
        <f t="shared" si="24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25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"),IF(_Pat_Gewicht/10&lt;=48,_Pat_Gewicht/10,48),INDEX(Tbl_Ped_MedContIV,C17,H$2))),"")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3"/>
        <v>0</v>
      </c>
      <c r="S17" s="208">
        <f t="shared" si="24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25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"),IF(_Pat_Gewicht/10&lt;=48,_Pat_Gewicht/10,48),INDEX(Tbl_Ped_MedContIV,C18,H$2))),"")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3"/>
        <v>0</v>
      </c>
      <c r="S18" s="208">
        <f t="shared" si="24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25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"),IF(_Pat_Gewicht/10&lt;=48,_Pat_Gewicht/10,48),INDEX(Tbl_Ped_MedContIV,C19,H$2))),"")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3"/>
        <v>0</v>
      </c>
      <c r="S19" s="208">
        <f t="shared" si="24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25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4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29">Q22</f>
        <v>0</v>
      </c>
      <c r="S22" s="348">
        <f t="shared" si="24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0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29"/>
        <v>0</v>
      </c>
      <c r="S23" s="348">
        <f t="shared" si="24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0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29"/>
        <v>0</v>
      </c>
      <c r="S24" s="348">
        <f t="shared" si="24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0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29"/>
        <v>0</v>
      </c>
      <c r="S25" s="429">
        <f t="shared" si="24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0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O34" sqref="O34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0" width="8.7109375" style="349" customWidth="1"/>
    <col min="21" max="21" width="12.28515625" style="349" customWidth="1"/>
    <col min="22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4118</v>
      </c>
      <c r="F1" s="433"/>
      <c r="G1" s="433"/>
      <c r="H1" s="433"/>
      <c r="I1" s="433"/>
      <c r="J1" s="433"/>
      <c r="K1" s="433" t="s">
        <v>4119</v>
      </c>
      <c r="L1" s="433"/>
      <c r="M1" s="433"/>
      <c r="N1" s="433"/>
      <c r="O1" s="433"/>
      <c r="P1" s="433"/>
      <c r="Q1" s="433"/>
      <c r="R1" s="433" t="s">
        <v>4107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4121</v>
      </c>
      <c r="C3" s="437" t="s">
        <v>3321</v>
      </c>
      <c r="D3" s="437" t="s">
        <v>4123</v>
      </c>
      <c r="E3" s="437" t="s">
        <v>4122</v>
      </c>
      <c r="F3" s="437" t="s">
        <v>378</v>
      </c>
      <c r="G3" s="437" t="s">
        <v>4122</v>
      </c>
      <c r="H3" s="437" t="s">
        <v>378</v>
      </c>
      <c r="I3" s="437" t="s">
        <v>4122</v>
      </c>
      <c r="J3" s="437" t="s">
        <v>378</v>
      </c>
      <c r="K3" s="437" t="s">
        <v>4115</v>
      </c>
      <c r="L3" s="437" t="s">
        <v>4116</v>
      </c>
      <c r="M3" s="437" t="s">
        <v>4117</v>
      </c>
      <c r="N3" s="437" t="s">
        <v>4909</v>
      </c>
      <c r="O3" s="437" t="s">
        <v>4907</v>
      </c>
      <c r="P3" s="437" t="s">
        <v>4105</v>
      </c>
      <c r="Q3" s="437" t="s">
        <v>4125</v>
      </c>
      <c r="R3" s="437" t="s">
        <v>368</v>
      </c>
      <c r="S3" s="437" t="s">
        <v>4122</v>
      </c>
      <c r="T3" s="437" t="s">
        <v>378</v>
      </c>
      <c r="U3" s="437" t="s">
        <v>4781</v>
      </c>
      <c r="V3" s="437" t="s">
        <v>4113</v>
      </c>
      <c r="X3" s="431" t="s">
        <v>4753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4288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IF(_Pat_Gewicht/10&gt;=48,48,_Pat_Gewicht/10)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2</v>
      </c>
      <c r="Q12" s="439" t="s">
        <v>4291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4287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IF(_Pat_Gewicht/10&gt;=48,48,_Pat_Gewicht/10)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2</v>
      </c>
      <c r="Q13" s="439" t="s">
        <v>4291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1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4083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4083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2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4120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19-sep-2017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3493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3327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3">
        <f>_Ped_Lijn_Opm</f>
        <v>0</v>
      </c>
      <c r="F16" s="824"/>
      <c r="G16" s="824"/>
      <c r="H16" s="824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3337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3338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19-sep-2017</v>
      </c>
      <c r="G2" s="666"/>
      <c r="H2" s="664"/>
      <c r="I2" s="668" t="s">
        <v>3496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3497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3493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3327</v>
      </c>
      <c r="C7" s="704"/>
      <c r="D7" s="713" t="s">
        <v>3494</v>
      </c>
      <c r="E7" s="704"/>
      <c r="F7" s="713"/>
      <c r="G7" s="714"/>
      <c r="H7" s="713"/>
      <c r="I7" s="715"/>
      <c r="J7" s="715" t="s">
        <v>3327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3495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4081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5">
        <f>_Ped_Ent_Opm</f>
        <v>0</v>
      </c>
      <c r="G18" s="826"/>
      <c r="H18" s="826"/>
      <c r="I18" s="826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3327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3327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3501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3512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3502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3503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3503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3504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3504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3505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3506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4784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3507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3508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3509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3510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3511</v>
      </c>
      <c r="F39" s="825">
        <f>_Ped_TPN_Opm</f>
        <v>0</v>
      </c>
      <c r="G39" s="826"/>
      <c r="H39" s="826"/>
      <c r="I39" s="826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4811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4811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4782</v>
      </c>
      <c r="W2" s="212" t="s">
        <v>4783</v>
      </c>
      <c r="X2" s="810" t="s">
        <v>5305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5281</v>
      </c>
      <c r="C30" s="809" t="s">
        <v>5282</v>
      </c>
      <c r="D30" s="809" t="s">
        <v>5283</v>
      </c>
      <c r="E30" s="809" t="s">
        <v>5284</v>
      </c>
      <c r="F30" s="809" t="s">
        <v>5285</v>
      </c>
      <c r="G30" s="809" t="s">
        <v>5286</v>
      </c>
      <c r="H30" s="809" t="s">
        <v>5287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4077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19-sep-2017</v>
      </c>
      <c r="E2" s="666"/>
      <c r="F2" s="664"/>
      <c r="G2" s="663"/>
      <c r="H2" s="668" t="s">
        <v>3496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/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3497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3493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7" t="str">
        <f>IF(_Ped_Lab_Opm=0,"",_Ped_Lab_Opm)</f>
        <v/>
      </c>
      <c r="E43" s="828"/>
      <c r="F43" s="828"/>
      <c r="G43" s="828"/>
      <c r="H43" s="828"/>
      <c r="I43" s="828"/>
      <c r="J43" s="828"/>
      <c r="K43" s="828"/>
      <c r="L43" s="828"/>
    </row>
    <row r="44" spans="2:12" ht="20.100000000000001" customHeight="1" x14ac:dyDescent="0.2">
      <c r="B44" s="699"/>
      <c r="C44" s="699"/>
      <c r="D44" s="828"/>
      <c r="E44" s="828"/>
      <c r="F44" s="828"/>
      <c r="G44" s="828"/>
      <c r="H44" s="828"/>
      <c r="I44" s="828"/>
      <c r="J44" s="828"/>
      <c r="K44" s="828"/>
      <c r="L44" s="828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19-sep-2017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3493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9" t="str">
        <f>IF(_Ped_AfsprOverig=0,"",_Ped_AfsprOverig)</f>
        <v/>
      </c>
      <c r="H18" s="830"/>
      <c r="I18" s="830"/>
      <c r="J18" s="830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30"/>
      <c r="H19" s="830"/>
      <c r="I19" s="830"/>
      <c r="J19" s="830"/>
      <c r="O19" s="409"/>
    </row>
    <row r="20" spans="2:15" ht="18" customHeight="1" thickTop="1" x14ac:dyDescent="0.2">
      <c r="G20" s="830"/>
      <c r="H20" s="830"/>
      <c r="I20" s="830"/>
      <c r="J20" s="830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4" t="str">
        <f>"= "&amp;IF(ROUND(0.02*(E5),1)&lt;0.1,0.1,IF(ROUND(0.02*(E5),1)&gt;0.5,0.5,ROUND(0.02*(E5),1)))*2&amp;" ml van 0,5 mg/ml (min 0,1 mg)"</f>
        <v>= 0,2 ml van 0,5 mg/ml (min 0,1 mg)</v>
      </c>
      <c r="F16" s="834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5"/>
      <c r="F17" s="835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4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5"/>
      <c r="F21" s="835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2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3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1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1"/>
      <c r="C31" s="693" t="s">
        <v>210</v>
      </c>
      <c r="D31" s="511" t="str">
        <f>IF((20*E5)&gt;1500,"1500 mg iv",20*E5&amp;" mg iv")</f>
        <v>0 mg iv</v>
      </c>
      <c r="E31" s="83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4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4"/>
      <c r="F32" s="834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19-sep-2017</v>
      </c>
      <c r="E2" s="273" t="s">
        <v>363</v>
      </c>
      <c r="F2" s="836" t="str">
        <f>Txt_Pat_FullName</f>
        <v/>
      </c>
      <c r="G2" s="836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41536)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7">
        <f>_Ped_Ent_Opm</f>
        <v>0</v>
      </c>
      <c r="E12" s="838"/>
      <c r="F12" s="838"/>
      <c r="G12" s="838"/>
      <c r="H12" s="838"/>
      <c r="I12" s="838"/>
      <c r="J12" s="838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5" t="str">
        <f>TRIM(Txt_Ped_Lab_1)</f>
        <v/>
      </c>
      <c r="E15" s="846"/>
      <c r="F15" s="846"/>
      <c r="G15" s="846"/>
      <c r="H15" s="846"/>
      <c r="I15" s="846"/>
      <c r="J15" s="846"/>
      <c r="L15" s="276"/>
    </row>
    <row r="16" spans="1:12" ht="12.6" customHeight="1" x14ac:dyDescent="0.2">
      <c r="B16" s="275"/>
      <c r="C16" s="275" t="s">
        <v>358</v>
      </c>
      <c r="D16" s="843" t="str">
        <f>TRIM(Txt_Ped_Lab_2)</f>
        <v/>
      </c>
      <c r="E16" s="844"/>
      <c r="F16" s="844"/>
      <c r="G16" s="844"/>
      <c r="H16" s="844"/>
      <c r="I16" s="844"/>
      <c r="J16" s="844"/>
      <c r="L16" s="276"/>
    </row>
    <row r="17" spans="1:12" ht="12.6" customHeight="1" x14ac:dyDescent="0.2">
      <c r="B17" s="275"/>
      <c r="C17" s="275" t="s">
        <v>359</v>
      </c>
      <c r="D17" s="843" t="str">
        <f>TRIM(Txt_Ped_Lab_3)</f>
        <v/>
      </c>
      <c r="E17" s="847"/>
      <c r="F17" s="847"/>
      <c r="G17" s="847"/>
      <c r="H17" s="847"/>
      <c r="I17" s="847"/>
      <c r="J17" s="847"/>
      <c r="L17" s="276"/>
    </row>
    <row r="18" spans="1:12" ht="12.6" customHeight="1" x14ac:dyDescent="0.2">
      <c r="B18" s="275"/>
      <c r="C18" s="275" t="s">
        <v>111</v>
      </c>
      <c r="D18" s="843" t="str">
        <f>TRIM(Txt_Ped_Lab_4)</f>
        <v/>
      </c>
      <c r="E18" s="847"/>
      <c r="F18" s="847"/>
      <c r="G18" s="847"/>
      <c r="H18" s="847"/>
      <c r="I18" s="847"/>
      <c r="J18" s="847"/>
      <c r="L18" s="276"/>
    </row>
    <row r="19" spans="1:12" ht="12.6" customHeight="1" x14ac:dyDescent="0.2">
      <c r="B19" s="275"/>
      <c r="C19" s="285" t="s">
        <v>18</v>
      </c>
      <c r="D19" s="843" t="str">
        <f>TRIM(Txt_Ped_Lab_5)</f>
        <v/>
      </c>
      <c r="E19" s="848"/>
      <c r="F19" s="848"/>
      <c r="G19" s="848"/>
      <c r="H19" s="848"/>
      <c r="I19" s="848"/>
      <c r="J19" s="848"/>
      <c r="L19" s="276"/>
    </row>
    <row r="20" spans="1:12" ht="12.6" customHeight="1" x14ac:dyDescent="0.2">
      <c r="B20" s="275"/>
      <c r="C20" s="285" t="s">
        <v>225</v>
      </c>
      <c r="D20" s="839">
        <f>_Ped_Lab_Opm</f>
        <v>0</v>
      </c>
      <c r="E20" s="840"/>
      <c r="F20" s="840"/>
      <c r="G20" s="840"/>
      <c r="H20" s="840"/>
      <c r="I20" s="840"/>
      <c r="J20" s="840"/>
      <c r="L20" s="276"/>
    </row>
    <row r="21" spans="1:12" ht="12.6" customHeight="1" x14ac:dyDescent="0.2">
      <c r="A21" s="279"/>
      <c r="B21" s="284"/>
      <c r="C21" s="286"/>
      <c r="D21" s="841"/>
      <c r="E21" s="841"/>
      <c r="F21" s="841"/>
      <c r="G21" s="841"/>
      <c r="H21" s="841"/>
      <c r="I21" s="841"/>
      <c r="J21" s="841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19-sep-2017</v>
      </c>
      <c r="E34" s="273" t="s">
        <v>363</v>
      </c>
      <c r="F34" s="836" t="str">
        <f>Txt_Pat_FullName</f>
        <v/>
      </c>
      <c r="G34" s="836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41536)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7">
        <f>_Ped_Lijn_Opm</f>
        <v>0</v>
      </c>
      <c r="E46" s="838"/>
      <c r="F46" s="838"/>
      <c r="G46" s="838"/>
      <c r="H46" s="838"/>
      <c r="I46" s="838"/>
      <c r="J46" s="838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9">
        <f>_Ped_MedIV_Opm</f>
        <v>0</v>
      </c>
      <c r="E72" s="839"/>
      <c r="F72" s="839"/>
      <c r="G72" s="839"/>
      <c r="H72" s="839"/>
      <c r="I72" s="839"/>
      <c r="J72" s="839"/>
      <c r="L72" s="276"/>
    </row>
    <row r="73" spans="1:12" ht="12.6" customHeight="1" x14ac:dyDescent="0.2">
      <c r="D73" s="842"/>
      <c r="E73" s="842"/>
      <c r="F73" s="842"/>
      <c r="G73" s="842"/>
      <c r="H73" s="842"/>
      <c r="I73" s="842"/>
      <c r="J73" s="842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19-sep-2017</v>
      </c>
      <c r="E75" s="273" t="s">
        <v>363</v>
      </c>
      <c r="F75" s="836" t="str">
        <f>Txt_Pat_FullName</f>
        <v/>
      </c>
      <c r="G75" s="836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41536)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7">
        <f>_Ped_TPN_Opm</f>
        <v>0</v>
      </c>
      <c r="E99" s="838"/>
      <c r="F99" s="838"/>
      <c r="G99" s="838"/>
      <c r="H99" s="838"/>
      <c r="I99" s="838"/>
      <c r="J99" s="838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1" t="str">
        <f ca="1">Txt_Pat_GeboorteDat</f>
        <v/>
      </c>
      <c r="F2" s="851"/>
      <c r="G2" s="267" t="str">
        <f>Txt_Pat_Gewicht</f>
        <v>Gewicht: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42997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2">
        <f ca="1">TODAY()</f>
        <v>42997</v>
      </c>
      <c r="AB25" s="852"/>
      <c r="AC25" s="852"/>
      <c r="AD25" s="852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42997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7" t="s">
        <v>16</v>
      </c>
      <c r="B11" s="868"/>
      <c r="C11" s="868"/>
      <c r="D11" s="868"/>
      <c r="E11" s="868"/>
      <c r="F11" s="868"/>
      <c r="G11" s="868"/>
      <c r="H11" s="869"/>
    </row>
    <row r="12" spans="1:8" ht="25.5" x14ac:dyDescent="0.2">
      <c r="A12" s="12" t="s">
        <v>238</v>
      </c>
      <c r="B12" s="870" t="s">
        <v>127</v>
      </c>
      <c r="C12" s="872"/>
      <c r="D12" s="874" t="s">
        <v>128</v>
      </c>
      <c r="E12" s="874" t="s">
        <v>129</v>
      </c>
      <c r="F12" s="874" t="s">
        <v>130</v>
      </c>
      <c r="G12" s="13"/>
      <c r="H12" s="13" t="s">
        <v>131</v>
      </c>
    </row>
    <row r="13" spans="1:8" x14ac:dyDescent="0.2">
      <c r="A13" s="14" t="s">
        <v>132</v>
      </c>
      <c r="B13" s="871"/>
      <c r="C13" s="873"/>
      <c r="D13" s="875"/>
      <c r="E13" s="875"/>
      <c r="F13" s="875"/>
      <c r="G13" s="13" t="s">
        <v>133</v>
      </c>
      <c r="H13" s="15" t="s">
        <v>134</v>
      </c>
    </row>
    <row r="14" spans="1:8" ht="20.100000000000001" customHeight="1" x14ac:dyDescent="0.2">
      <c r="A14" s="856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57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0" t="s">
        <v>164</v>
      </c>
      <c r="F21" s="860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56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57"/>
      <c r="B24" s="50" t="s">
        <v>151</v>
      </c>
      <c r="C24" s="51"/>
      <c r="D24" s="51"/>
      <c r="E24" s="861" t="s">
        <v>224</v>
      </c>
      <c r="F24" s="862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1"/>
      <c r="F25" s="862"/>
      <c r="G25" s="53"/>
      <c r="H25" s="13"/>
    </row>
    <row r="26" spans="1:8" ht="15.95" customHeight="1" x14ac:dyDescent="0.2">
      <c r="A26" s="12"/>
      <c r="B26" s="39"/>
      <c r="C26" s="39"/>
      <c r="D26" s="39"/>
      <c r="E26" s="863" t="s">
        <v>164</v>
      </c>
      <c r="F26" s="863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8" t="s">
        <v>88</v>
      </c>
      <c r="C28" s="859"/>
      <c r="D28" s="859"/>
      <c r="E28" s="859"/>
      <c r="F28" s="859"/>
      <c r="G28" s="37"/>
      <c r="H28" s="20"/>
    </row>
    <row r="29" spans="1:8" ht="20.100000000000001" customHeight="1" x14ac:dyDescent="0.2">
      <c r="A29" s="856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57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3" t="s">
        <v>165</v>
      </c>
      <c r="F35" s="863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4" t="s">
        <v>185</v>
      </c>
      <c r="C37" s="865"/>
      <c r="D37" s="865"/>
      <c r="E37" s="865"/>
      <c r="F37" s="866"/>
      <c r="G37" s="20" t="s">
        <v>186</v>
      </c>
      <c r="H37" s="20"/>
    </row>
    <row r="38" spans="1:8" ht="15.95" customHeight="1" x14ac:dyDescent="0.2">
      <c r="A38" s="21"/>
      <c r="B38" s="853" t="s">
        <v>187</v>
      </c>
      <c r="C38" s="854"/>
      <c r="D38" s="854"/>
      <c r="E38" s="854"/>
      <c r="F38" s="855"/>
      <c r="G38" s="15" t="s">
        <v>188</v>
      </c>
      <c r="H38" s="13"/>
    </row>
    <row r="39" spans="1:8" ht="15.95" customHeight="1" x14ac:dyDescent="0.2">
      <c r="A39" s="21"/>
      <c r="B39" s="853" t="s">
        <v>189</v>
      </c>
      <c r="C39" s="854"/>
      <c r="D39" s="854"/>
      <c r="E39" s="854"/>
      <c r="F39" s="855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97">
        <f ca="1">TODAY()</f>
        <v>42997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5" t="s">
        <v>16</v>
      </c>
      <c r="B10" s="886"/>
      <c r="C10" s="886"/>
      <c r="D10" s="886"/>
      <c r="E10" s="886"/>
      <c r="F10" s="886"/>
      <c r="G10" s="886"/>
      <c r="H10" s="887"/>
    </row>
    <row r="11" spans="1:8" ht="25.5" x14ac:dyDescent="0.2">
      <c r="A11" s="607" t="s">
        <v>238</v>
      </c>
      <c r="B11" s="888" t="s">
        <v>127</v>
      </c>
      <c r="C11" s="890"/>
      <c r="D11" s="874" t="s">
        <v>128</v>
      </c>
      <c r="E11" s="874" t="s">
        <v>129</v>
      </c>
      <c r="F11" s="874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9"/>
      <c r="C12" s="891"/>
      <c r="D12" s="875"/>
      <c r="E12" s="875"/>
      <c r="F12" s="875"/>
      <c r="G12" s="608" t="s">
        <v>133</v>
      </c>
      <c r="H12" s="610" t="s">
        <v>134</v>
      </c>
    </row>
    <row r="13" spans="1:8" ht="20.100000000000001" customHeight="1" x14ac:dyDescent="0.2">
      <c r="A13" s="876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77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4898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4899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82" t="s">
        <v>164</v>
      </c>
      <c r="F21" s="882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78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79"/>
      <c r="B24" s="615" t="s">
        <v>151</v>
      </c>
      <c r="C24" s="616"/>
      <c r="D24" s="616"/>
      <c r="E24" s="883" t="s">
        <v>295</v>
      </c>
      <c r="F24" s="884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83" t="s">
        <v>295</v>
      </c>
      <c r="F25" s="884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82" t="s">
        <v>164</v>
      </c>
      <c r="F26" s="882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80" t="s">
        <v>88</v>
      </c>
      <c r="C28" s="881"/>
      <c r="D28" s="881"/>
      <c r="E28" s="881"/>
      <c r="F28" s="881"/>
      <c r="G28" s="626"/>
      <c r="H28" s="627"/>
    </row>
    <row r="29" spans="1:8" ht="20.100000000000001" customHeight="1" x14ac:dyDescent="0.2">
      <c r="A29" s="878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79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82" t="s">
        <v>165</v>
      </c>
      <c r="F35" s="882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92" t="s">
        <v>185</v>
      </c>
      <c r="C37" s="893"/>
      <c r="D37" s="893"/>
      <c r="E37" s="893"/>
      <c r="F37" s="894"/>
      <c r="G37" s="627" t="s">
        <v>186</v>
      </c>
      <c r="H37" s="627"/>
    </row>
    <row r="38" spans="1:8" ht="15.95" customHeight="1" x14ac:dyDescent="0.2">
      <c r="A38" s="638"/>
      <c r="B38" s="895" t="s">
        <v>187</v>
      </c>
      <c r="C38" s="896"/>
      <c r="D38" s="896"/>
      <c r="E38" s="896"/>
      <c r="F38" s="897"/>
      <c r="G38" s="610" t="s">
        <v>188</v>
      </c>
      <c r="H38" s="608"/>
    </row>
    <row r="39" spans="1:8" ht="15.95" customHeight="1" x14ac:dyDescent="0.2">
      <c r="A39" s="638"/>
      <c r="B39" s="895" t="s">
        <v>189</v>
      </c>
      <c r="C39" s="896"/>
      <c r="D39" s="896"/>
      <c r="E39" s="896"/>
      <c r="F39" s="897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42997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9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0" t="s">
        <v>97</v>
      </c>
      <c r="F16" s="901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63" t="s">
        <v>164</v>
      </c>
      <c r="F21" s="863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8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9"/>
      <c r="B24" s="50" t="s">
        <v>151</v>
      </c>
      <c r="C24" s="51"/>
      <c r="D24" s="51"/>
      <c r="E24" s="900" t="s">
        <v>295</v>
      </c>
      <c r="F24" s="901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00" t="s">
        <v>295</v>
      </c>
      <c r="F25" s="901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63" t="s">
        <v>164</v>
      </c>
      <c r="F26" s="863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8" t="s">
        <v>88</v>
      </c>
      <c r="C28" s="859"/>
      <c r="D28" s="859"/>
      <c r="E28" s="859"/>
      <c r="F28" s="859"/>
      <c r="G28" s="37"/>
      <c r="H28" s="20"/>
    </row>
    <row r="29" spans="1:8" ht="20.100000000000001" customHeight="1" x14ac:dyDescent="0.2">
      <c r="A29" s="898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99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3" t="s">
        <v>165</v>
      </c>
      <c r="F35" s="863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4" t="s">
        <v>185</v>
      </c>
      <c r="C37" s="865"/>
      <c r="D37" s="865"/>
      <c r="E37" s="865"/>
      <c r="F37" s="866"/>
      <c r="G37" s="20" t="s">
        <v>186</v>
      </c>
      <c r="H37" s="20"/>
    </row>
    <row r="38" spans="1:8" ht="15.95" customHeight="1" x14ac:dyDescent="0.2">
      <c r="A38" s="21"/>
      <c r="B38" s="853" t="s">
        <v>187</v>
      </c>
      <c r="C38" s="854"/>
      <c r="D38" s="854"/>
      <c r="E38" s="854"/>
      <c r="F38" s="855"/>
      <c r="G38" s="15" t="s">
        <v>188</v>
      </c>
      <c r="H38" s="13"/>
    </row>
    <row r="39" spans="1:8" ht="15.95" customHeight="1" x14ac:dyDescent="0.2">
      <c r="A39" s="21"/>
      <c r="B39" s="853" t="s">
        <v>189</v>
      </c>
      <c r="C39" s="854"/>
      <c r="D39" s="854"/>
      <c r="E39" s="854"/>
      <c r="F39" s="855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42997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9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0" t="s">
        <v>97</v>
      </c>
      <c r="F16" s="901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63" t="s">
        <v>164</v>
      </c>
      <c r="F22" s="863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8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99"/>
      <c r="B25" s="50" t="s">
        <v>151</v>
      </c>
      <c r="C25" s="51"/>
      <c r="D25" s="51"/>
      <c r="E25" s="900" t="s">
        <v>295</v>
      </c>
      <c r="F25" s="901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00" t="s">
        <v>295</v>
      </c>
      <c r="F26" s="901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63" t="s">
        <v>164</v>
      </c>
      <c r="F27" s="863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2" t="s">
        <v>88</v>
      </c>
      <c r="C29" s="903"/>
      <c r="D29" s="903"/>
      <c r="E29" s="903"/>
      <c r="F29" s="903"/>
      <c r="G29" s="37"/>
      <c r="H29" s="20"/>
    </row>
    <row r="30" spans="1:8" ht="20.100000000000001" customHeight="1" x14ac:dyDescent="0.2">
      <c r="A30" s="898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99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0" t="s">
        <v>165</v>
      </c>
      <c r="F36" s="860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64" t="s">
        <v>185</v>
      </c>
      <c r="C38" s="865"/>
      <c r="D38" s="865"/>
      <c r="E38" s="865"/>
      <c r="F38" s="866"/>
      <c r="G38" s="20" t="s">
        <v>186</v>
      </c>
      <c r="H38" s="20"/>
    </row>
    <row r="39" spans="1:8" ht="15.95" customHeight="1" x14ac:dyDescent="0.2">
      <c r="A39" s="21"/>
      <c r="B39" s="853" t="s">
        <v>187</v>
      </c>
      <c r="C39" s="854"/>
      <c r="D39" s="854"/>
      <c r="E39" s="854"/>
      <c r="F39" s="855"/>
      <c r="G39" s="15" t="s">
        <v>188</v>
      </c>
      <c r="H39" s="13"/>
    </row>
    <row r="40" spans="1:8" ht="15.95" customHeight="1" x14ac:dyDescent="0.2">
      <c r="A40" s="21"/>
      <c r="B40" s="853" t="s">
        <v>189</v>
      </c>
      <c r="C40" s="854"/>
      <c r="D40" s="854"/>
      <c r="E40" s="854"/>
      <c r="F40" s="855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42997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7" t="s">
        <v>16</v>
      </c>
      <c r="B10" s="868"/>
      <c r="C10" s="868"/>
      <c r="D10" s="868"/>
      <c r="E10" s="868"/>
      <c r="F10" s="868"/>
      <c r="G10" s="868"/>
      <c r="H10" s="869"/>
    </row>
    <row r="11" spans="1:8" ht="25.5" x14ac:dyDescent="0.2">
      <c r="A11" s="12" t="s">
        <v>238</v>
      </c>
      <c r="B11" s="870" t="s">
        <v>127</v>
      </c>
      <c r="C11" s="872"/>
      <c r="D11" s="874" t="s">
        <v>128</v>
      </c>
      <c r="E11" s="874" t="s">
        <v>129</v>
      </c>
      <c r="F11" s="874" t="s">
        <v>130</v>
      </c>
      <c r="G11" s="13"/>
      <c r="H11" s="13" t="s">
        <v>131</v>
      </c>
    </row>
    <row r="12" spans="1:8" x14ac:dyDescent="0.2">
      <c r="A12" s="14" t="s">
        <v>132</v>
      </c>
      <c r="B12" s="871"/>
      <c r="C12" s="873"/>
      <c r="D12" s="875"/>
      <c r="E12" s="875"/>
      <c r="F12" s="875"/>
      <c r="G12" s="13" t="s">
        <v>133</v>
      </c>
      <c r="H12" s="15" t="s">
        <v>134</v>
      </c>
    </row>
    <row r="13" spans="1:8" ht="20.100000000000001" customHeight="1" x14ac:dyDescent="0.2">
      <c r="A13" s="898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99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99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99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63" t="s">
        <v>164</v>
      </c>
      <c r="F19" s="863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99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99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63" t="s">
        <v>164</v>
      </c>
      <c r="F24" s="863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2" t="s">
        <v>88</v>
      </c>
      <c r="C26" s="903"/>
      <c r="D26" s="903"/>
      <c r="E26" s="903"/>
      <c r="F26" s="903"/>
      <c r="G26" s="37"/>
      <c r="H26" s="20"/>
    </row>
    <row r="27" spans="1:8" ht="20.100000000000001" customHeight="1" x14ac:dyDescent="0.2">
      <c r="A27" s="898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99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0" t="s">
        <v>165</v>
      </c>
      <c r="F33" s="860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64" t="s">
        <v>185</v>
      </c>
      <c r="C35" s="865"/>
      <c r="D35" s="865"/>
      <c r="E35" s="865"/>
      <c r="F35" s="866"/>
      <c r="G35" s="20" t="s">
        <v>186</v>
      </c>
      <c r="H35" s="20"/>
    </row>
    <row r="36" spans="1:8" ht="20.100000000000001" customHeight="1" x14ac:dyDescent="0.2">
      <c r="A36" s="21"/>
      <c r="B36" s="853" t="s">
        <v>187</v>
      </c>
      <c r="C36" s="854"/>
      <c r="D36" s="854"/>
      <c r="E36" s="854"/>
      <c r="F36" s="855"/>
      <c r="G36" s="15" t="s">
        <v>188</v>
      </c>
      <c r="H36" s="13"/>
    </row>
    <row r="37" spans="1:8" ht="20.100000000000001" customHeight="1" x14ac:dyDescent="0.2">
      <c r="A37" s="21"/>
      <c r="B37" s="853" t="s">
        <v>189</v>
      </c>
      <c r="C37" s="854"/>
      <c r="D37" s="854"/>
      <c r="E37" s="854"/>
      <c r="F37" s="855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22" activePane="bottomLeft" state="frozen"/>
      <selection pane="bottomLeft" activeCell="N10" sqref="N10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6" t="str">
        <f>NeoBerInfB!B3</f>
        <v>Actuele Afspraken</v>
      </c>
      <c r="D9" s="906"/>
      <c r="E9" s="906"/>
      <c r="F9" s="906"/>
      <c r="G9" s="906"/>
      <c r="H9" s="741" t="s">
        <v>4545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4547</v>
      </c>
      <c r="Q9" s="742" t="str">
        <f ca="1">Txt_Pat_GeboorteDat</f>
        <v/>
      </c>
      <c r="R9" s="741"/>
    </row>
    <row r="10" spans="1:18" ht="20.100000000000001" customHeight="1" x14ac:dyDescent="0.2">
      <c r="C10" s="906"/>
      <c r="D10" s="906"/>
      <c r="E10" s="906"/>
      <c r="F10" s="906"/>
      <c r="G10" s="906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4548</v>
      </c>
      <c r="Q10" s="742" t="str">
        <f>Txt_Pat_GestAge</f>
        <v/>
      </c>
      <c r="R10" s="741"/>
    </row>
    <row r="11" spans="1:18" ht="20.100000000000001" customHeight="1" x14ac:dyDescent="0.2">
      <c r="C11" s="906"/>
      <c r="D11" s="906"/>
      <c r="E11" s="906"/>
      <c r="F11" s="906"/>
      <c r="G11" s="906"/>
      <c r="H11" s="741" t="s">
        <v>235</v>
      </c>
      <c r="I11" s="741" t="str">
        <f ca="1">Txt_Pat_AfspraakDat</f>
        <v>19-sep-2017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4926</v>
      </c>
      <c r="Q11" s="742" t="str">
        <f>Txt_Pat_GebGew</f>
        <v/>
      </c>
      <c r="R11" s="741"/>
    </row>
    <row r="12" spans="1:18" ht="20.100000000000001" customHeight="1" x14ac:dyDescent="0.2">
      <c r="C12" s="906"/>
      <c r="D12" s="906"/>
      <c r="E12" s="906"/>
      <c r="F12" s="906"/>
      <c r="G12" s="906"/>
      <c r="H12" s="741" t="s">
        <v>399</v>
      </c>
      <c r="I12" s="741" t="str">
        <f>Txt_Pat_Bed</f>
        <v/>
      </c>
      <c r="J12" s="745"/>
      <c r="K12" s="741"/>
      <c r="L12" s="741"/>
      <c r="M12" s="741" t="s">
        <v>5391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4299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4300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4974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7" t="str">
        <f>IF(Var_Neo_InfB_Cont_MedTekst_1="","",Var_Neo_InfB_Cont_MedTekst_1)</f>
        <v/>
      </c>
      <c r="E42" s="907"/>
      <c r="F42" s="907"/>
      <c r="G42" s="907"/>
      <c r="H42" s="907"/>
      <c r="I42" s="907"/>
      <c r="J42" s="907"/>
      <c r="K42" s="908"/>
      <c r="L42" s="907"/>
      <c r="M42" s="907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9" t="str">
        <f>IF(Var_Neo_InfB_Cont_MedTekst_2="","",Var_Neo_InfB_Cont_MedTekst_2)</f>
        <v/>
      </c>
      <c r="E43" s="909"/>
      <c r="F43" s="909"/>
      <c r="G43" s="909"/>
      <c r="H43" s="909"/>
      <c r="I43" s="909"/>
      <c r="J43" s="909"/>
      <c r="K43" s="909"/>
      <c r="L43" s="909"/>
      <c r="M43" s="909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4301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4303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4302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4294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4295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4296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4297</v>
      </c>
      <c r="C71" s="739"/>
      <c r="D71" s="739"/>
      <c r="E71" s="738" t="s">
        <v>225</v>
      </c>
      <c r="F71" s="904" t="str">
        <f>IF(_Neo_Lab_Opm=0,"",_Neo_Lab_Opm)</f>
        <v/>
      </c>
      <c r="G71" s="905"/>
      <c r="H71" s="905"/>
      <c r="I71" s="905"/>
      <c r="J71" s="905"/>
      <c r="K71" s="905"/>
      <c r="L71" s="905"/>
      <c r="M71" s="905"/>
      <c r="N71" s="905"/>
      <c r="O71" s="905"/>
      <c r="P71" s="905"/>
      <c r="Q71" s="905"/>
      <c r="R71" s="905"/>
    </row>
    <row r="72" spans="1:18" ht="20.100000000000001" customHeight="1" x14ac:dyDescent="0.2">
      <c r="C72" s="739"/>
      <c r="D72" s="739"/>
      <c r="E72" s="740"/>
      <c r="F72" s="905"/>
      <c r="G72" s="905"/>
      <c r="H72" s="905"/>
      <c r="I72" s="905"/>
      <c r="J72" s="905"/>
      <c r="K72" s="905"/>
      <c r="L72" s="905"/>
      <c r="M72" s="905"/>
      <c r="N72" s="905"/>
      <c r="O72" s="905"/>
      <c r="P72" s="905"/>
      <c r="Q72" s="905"/>
      <c r="R72" s="905"/>
    </row>
    <row r="73" spans="1:18" ht="20.100000000000001" customHeight="1" x14ac:dyDescent="0.2">
      <c r="C73" s="484"/>
      <c r="D73" s="48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11" activePane="bottomRight" state="frozenSplit"/>
      <selection activeCell="J34" sqref="J34"/>
      <selection pane="topRight" activeCell="J34" sqref="J34"/>
      <selection pane="bottomLeft" activeCell="J34" sqref="J34"/>
      <selection pane="bottomRight" activeCell="I60" sqref="I60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4275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4122</v>
      </c>
      <c r="D2" s="426" t="s">
        <v>3322</v>
      </c>
      <c r="E2" s="426" t="s">
        <v>4105</v>
      </c>
      <c r="F2" s="426" t="s">
        <v>4279</v>
      </c>
      <c r="G2" s="426" t="s">
        <v>882</v>
      </c>
      <c r="H2" s="426" t="s">
        <v>4281</v>
      </c>
      <c r="I2" s="426" t="s">
        <v>405</v>
      </c>
      <c r="J2" s="426" t="s">
        <v>261</v>
      </c>
      <c r="K2" s="426" t="s">
        <v>3328</v>
      </c>
      <c r="L2" s="426" t="s">
        <v>4122</v>
      </c>
      <c r="M2" s="426" t="s">
        <v>156</v>
      </c>
      <c r="N2" s="426" t="s">
        <v>3321</v>
      </c>
      <c r="O2" s="426" t="s">
        <v>3322</v>
      </c>
      <c r="P2" s="426" t="s">
        <v>4280</v>
      </c>
      <c r="Q2" s="426" t="s">
        <v>4273</v>
      </c>
      <c r="R2" s="426" t="s">
        <v>4276</v>
      </c>
      <c r="S2" s="426" t="s">
        <v>433</v>
      </c>
      <c r="T2" s="426" t="s">
        <v>4927</v>
      </c>
      <c r="U2" s="426" t="s">
        <v>4956</v>
      </c>
      <c r="V2" s="426" t="s">
        <v>4930</v>
      </c>
      <c r="W2" s="426" t="s">
        <v>4957</v>
      </c>
      <c r="X2" s="426" t="s">
        <v>4972</v>
      </c>
      <c r="Y2" s="426" t="s">
        <v>4973</v>
      </c>
      <c r="Z2" s="426" t="s">
        <v>299</v>
      </c>
      <c r="AA2" s="426" t="s">
        <v>4537</v>
      </c>
      <c r="AB2" s="426" t="s">
        <v>4535</v>
      </c>
      <c r="AC2" s="426" t="s">
        <v>4536</v>
      </c>
      <c r="AD2" s="426" t="s">
        <v>4533</v>
      </c>
      <c r="AE2" s="426" t="s">
        <v>4534</v>
      </c>
      <c r="AF2" s="426" t="s">
        <v>4911</v>
      </c>
      <c r="AG2" s="426" t="s">
        <v>4912</v>
      </c>
      <c r="AH2" s="426" t="s">
        <v>4913</v>
      </c>
      <c r="AI2" s="426" t="s">
        <v>4292</v>
      </c>
      <c r="AJ2" s="426" t="s">
        <v>4293</v>
      </c>
      <c r="AK2" s="426" t="s">
        <v>5000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4283</v>
      </c>
    </row>
    <row r="3" spans="1:56" s="321" customFormat="1" x14ac:dyDescent="0.2">
      <c r="A3" s="235" t="s">
        <v>3747</v>
      </c>
      <c r="B3" s="321" t="s">
        <v>5185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41536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4304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126">
        <f>IF(AND(_Pat_Gewicht&gt;0,D32&gt;0),IF(IsEpiduraal(J32),F32/10,FixPrecision(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4282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21" t="s">
        <v>4732</v>
      </c>
      <c r="AP60" s="321" t="s">
        <v>4732</v>
      </c>
      <c r="AQ60" s="321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21" t="s">
        <v>4732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5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Q32" sqref="Q3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10">
        <f ca="1">TODAY()</f>
        <v>42997</v>
      </c>
      <c r="J2" s="910"/>
      <c r="K2" s="910"/>
      <c r="L2" s="159" t="s">
        <v>409</v>
      </c>
      <c r="M2" s="911">
        <f ca="1">NOW()</f>
        <v>42997.448927893522</v>
      </c>
      <c r="N2" s="911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2" t="s">
        <v>414</v>
      </c>
      <c r="N5" s="913"/>
      <c r="O5" s="914" t="s">
        <v>5186</v>
      </c>
      <c r="P5" s="915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H7" sqref="H7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4126</v>
      </c>
    </row>
    <row r="2" spans="1:22" s="445" customFormat="1" ht="38.25" x14ac:dyDescent="0.2">
      <c r="A2" s="443"/>
      <c r="B2" s="444" t="s">
        <v>463</v>
      </c>
      <c r="C2" s="444" t="s">
        <v>3321</v>
      </c>
      <c r="D2" s="444" t="s">
        <v>4124</v>
      </c>
      <c r="E2" s="444" t="s">
        <v>4914</v>
      </c>
      <c r="F2" s="444" t="s">
        <v>4915</v>
      </c>
      <c r="G2" s="444" t="s">
        <v>848</v>
      </c>
      <c r="H2" s="444" t="s">
        <v>849</v>
      </c>
      <c r="I2" s="444" t="s">
        <v>847</v>
      </c>
      <c r="J2" s="444" t="s">
        <v>4909</v>
      </c>
      <c r="K2" s="444" t="s">
        <v>4907</v>
      </c>
      <c r="L2" s="444" t="s">
        <v>850</v>
      </c>
      <c r="M2" s="444" t="s">
        <v>4125</v>
      </c>
      <c r="N2" s="444" t="s">
        <v>4971</v>
      </c>
      <c r="O2" s="444" t="s">
        <v>43</v>
      </c>
      <c r="P2" s="444" t="s">
        <v>4927</v>
      </c>
      <c r="Q2" s="444" t="s">
        <v>4955</v>
      </c>
      <c r="R2" s="444" t="s">
        <v>4954</v>
      </c>
      <c r="S2" s="444" t="s">
        <v>4928</v>
      </c>
      <c r="T2" s="444" t="s">
        <v>464</v>
      </c>
      <c r="U2" s="444" t="s">
        <v>4076</v>
      </c>
      <c r="V2" s="445" t="s">
        <v>4120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4929</v>
      </c>
      <c r="Q4" s="218">
        <v>1</v>
      </c>
      <c r="R4" s="218" t="s">
        <v>4930</v>
      </c>
      <c r="S4" s="218" t="s">
        <v>5212</v>
      </c>
      <c r="T4" s="446" t="s">
        <v>5187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4931</v>
      </c>
      <c r="Q5" s="218">
        <v>1</v>
      </c>
      <c r="R5" s="218" t="s">
        <v>4930</v>
      </c>
      <c r="S5" s="218" t="s">
        <v>5213</v>
      </c>
      <c r="T5" s="446" t="s">
        <v>5188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4932</v>
      </c>
      <c r="Q6" s="218">
        <v>1</v>
      </c>
      <c r="R6" s="218" t="s">
        <v>4930</v>
      </c>
      <c r="S6" s="218" t="s">
        <v>5214</v>
      </c>
      <c r="T6" s="446" t="s">
        <v>5189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5208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2</v>
      </c>
      <c r="I7" s="218">
        <v>1.01</v>
      </c>
      <c r="J7" s="218"/>
      <c r="K7" s="218"/>
      <c r="L7" s="218">
        <v>12</v>
      </c>
      <c r="M7" s="322" t="s">
        <v>4291</v>
      </c>
      <c r="N7" s="218">
        <v>24</v>
      </c>
      <c r="O7" s="218">
        <v>1</v>
      </c>
      <c r="P7" s="218" t="s">
        <v>4994</v>
      </c>
      <c r="Q7" s="218">
        <v>1</v>
      </c>
      <c r="R7" s="218" t="s">
        <v>4930</v>
      </c>
      <c r="S7" s="218" t="s">
        <v>5215</v>
      </c>
      <c r="T7" s="446" t="s">
        <v>5211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4933</v>
      </c>
      <c r="Q8" s="218">
        <v>1</v>
      </c>
      <c r="R8" s="218" t="s">
        <v>4930</v>
      </c>
      <c r="S8" s="218" t="s">
        <v>5216</v>
      </c>
      <c r="T8" s="446" t="s">
        <v>5190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4934</v>
      </c>
      <c r="Q9" s="218">
        <v>1</v>
      </c>
      <c r="R9" s="218" t="s">
        <v>4930</v>
      </c>
      <c r="S9" s="218" t="s">
        <v>5217</v>
      </c>
      <c r="T9" s="446" t="s">
        <v>5191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4935</v>
      </c>
      <c r="Q10" s="219">
        <v>1</v>
      </c>
      <c r="R10" s="219" t="s">
        <v>4930</v>
      </c>
      <c r="S10" s="219" t="s">
        <v>5218</v>
      </c>
      <c r="T10" s="446" t="s">
        <v>5192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5209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4936</v>
      </c>
      <c r="Q11" s="322">
        <v>1</v>
      </c>
      <c r="R11" s="322" t="s">
        <v>4930</v>
      </c>
      <c r="S11" s="322" t="s">
        <v>5219</v>
      </c>
      <c r="T11" s="446" t="s">
        <v>5193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4937</v>
      </c>
      <c r="Q12" s="322">
        <v>1</v>
      </c>
      <c r="R12" s="322" t="s">
        <v>4930</v>
      </c>
      <c r="S12" s="322" t="s">
        <v>4995</v>
      </c>
      <c r="T12" s="446" t="s">
        <v>5194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4938</v>
      </c>
      <c r="Q13" s="218">
        <v>1</v>
      </c>
      <c r="R13" s="218" t="s">
        <v>4930</v>
      </c>
      <c r="S13" s="218" t="s">
        <v>4996</v>
      </c>
      <c r="T13" s="446" t="s">
        <v>5195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4939</v>
      </c>
      <c r="Q14" s="218">
        <v>1</v>
      </c>
      <c r="R14" s="218" t="s">
        <v>4930</v>
      </c>
      <c r="S14" s="218" t="s">
        <v>4997</v>
      </c>
      <c r="T14" s="446" t="s">
        <v>5196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4083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4940</v>
      </c>
      <c r="Q15" s="218">
        <v>1</v>
      </c>
      <c r="R15" s="218" t="s">
        <v>4930</v>
      </c>
      <c r="S15" s="218" t="s">
        <v>4998</v>
      </c>
      <c r="T15" s="446" t="s">
        <v>5197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4941</v>
      </c>
      <c r="Q16" s="218">
        <v>1</v>
      </c>
      <c r="R16" s="218" t="s">
        <v>4930</v>
      </c>
      <c r="S16" s="218" t="s">
        <v>5220</v>
      </c>
      <c r="T16" s="446" t="s">
        <v>5198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4942</v>
      </c>
      <c r="Q17" s="218">
        <v>1</v>
      </c>
      <c r="R17" s="218" t="s">
        <v>4930</v>
      </c>
      <c r="S17" s="218" t="s">
        <v>5221</v>
      </c>
      <c r="T17" s="446" t="s">
        <v>5199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4289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4943</v>
      </c>
      <c r="Q18" s="218">
        <v>1</v>
      </c>
      <c r="R18" s="218" t="s">
        <v>4930</v>
      </c>
      <c r="S18" s="218" t="s">
        <v>5222</v>
      </c>
      <c r="T18" s="446" t="s">
        <v>5200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4944</v>
      </c>
      <c r="Q19" s="322">
        <v>1</v>
      </c>
      <c r="R19" s="322" t="s">
        <v>4930</v>
      </c>
      <c r="S19" s="322" t="s">
        <v>5223</v>
      </c>
      <c r="T19" s="446" t="s">
        <v>5201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4945</v>
      </c>
      <c r="Q20" s="218">
        <v>1</v>
      </c>
      <c r="R20" s="218" t="s">
        <v>4930</v>
      </c>
      <c r="S20" s="218" t="s">
        <v>5224</v>
      </c>
      <c r="T20" s="446" t="s">
        <v>5202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4946</v>
      </c>
      <c r="Q21" s="218">
        <v>1</v>
      </c>
      <c r="R21" s="218" t="s">
        <v>4930</v>
      </c>
      <c r="S21" s="218" t="s">
        <v>5225</v>
      </c>
      <c r="T21" s="446" t="s">
        <v>5203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4290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4947</v>
      </c>
      <c r="Q22" s="218">
        <v>1</v>
      </c>
      <c r="R22" s="218" t="s">
        <v>4930</v>
      </c>
      <c r="S22" s="218" t="s">
        <v>5226</v>
      </c>
      <c r="T22" s="446" t="s">
        <v>5204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4948</v>
      </c>
      <c r="Q23" s="218">
        <v>1</v>
      </c>
      <c r="R23" s="218" t="s">
        <v>4930</v>
      </c>
      <c r="S23" s="218" t="s">
        <v>5227</v>
      </c>
      <c r="T23" s="446" t="s">
        <v>5205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4949</v>
      </c>
      <c r="Q24" s="218">
        <v>1</v>
      </c>
      <c r="R24" s="218" t="s">
        <v>4930</v>
      </c>
      <c r="S24" s="218" t="s">
        <v>5228</v>
      </c>
      <c r="T24" s="446" t="s">
        <v>5206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4950</v>
      </c>
      <c r="Q25" s="218">
        <v>1</v>
      </c>
      <c r="R25" s="218" t="s">
        <v>4930</v>
      </c>
      <c r="S25" s="218" t="s">
        <v>5229</v>
      </c>
      <c r="T25" s="446" t="s">
        <v>5207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5210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2</v>
      </c>
      <c r="I26" s="218">
        <v>1.01</v>
      </c>
      <c r="J26" s="218"/>
      <c r="K26" s="218"/>
      <c r="L26" s="218">
        <v>12</v>
      </c>
      <c r="M26" s="322" t="s">
        <v>4291</v>
      </c>
      <c r="N26" s="322">
        <v>24</v>
      </c>
      <c r="O26" s="322">
        <v>1</v>
      </c>
      <c r="P26" s="218" t="s">
        <v>4999</v>
      </c>
      <c r="Q26" s="218">
        <v>1</v>
      </c>
      <c r="R26" s="218" t="s">
        <v>4930</v>
      </c>
      <c r="S26" s="218" t="s">
        <v>5230</v>
      </c>
      <c r="T26" s="446" t="s">
        <v>5211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4114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5212</v>
      </c>
    </row>
    <row r="30" spans="1:22" ht="12.75" customHeight="1" x14ac:dyDescent="0.2">
      <c r="A30" s="348" t="s">
        <v>5231</v>
      </c>
      <c r="S30" s="348" t="s">
        <v>5213</v>
      </c>
      <c r="T30" s="445"/>
    </row>
    <row r="31" spans="1:22" x14ac:dyDescent="0.2">
      <c r="S31" s="348" t="s">
        <v>5214</v>
      </c>
      <c r="T31" s="445"/>
    </row>
    <row r="32" spans="1:22" x14ac:dyDescent="0.2">
      <c r="S32" s="348" t="s">
        <v>5215</v>
      </c>
      <c r="T32" s="445"/>
    </row>
    <row r="33" spans="19:20" x14ac:dyDescent="0.2">
      <c r="S33" s="348" t="s">
        <v>5216</v>
      </c>
      <c r="T33" s="445"/>
    </row>
    <row r="34" spans="19:20" x14ac:dyDescent="0.2">
      <c r="S34" s="348" t="s">
        <v>5217</v>
      </c>
      <c r="T34" s="445"/>
    </row>
    <row r="35" spans="19:20" x14ac:dyDescent="0.2">
      <c r="S35" s="348" t="s">
        <v>5218</v>
      </c>
      <c r="T35" s="445"/>
    </row>
    <row r="36" spans="19:20" x14ac:dyDescent="0.2">
      <c r="S36" s="348" t="s">
        <v>5219</v>
      </c>
      <c r="T36" s="445"/>
    </row>
    <row r="37" spans="19:20" x14ac:dyDescent="0.2">
      <c r="S37" s="348" t="s">
        <v>4995</v>
      </c>
      <c r="T37" s="445"/>
    </row>
    <row r="38" spans="19:20" x14ac:dyDescent="0.2">
      <c r="S38" s="348" t="s">
        <v>4996</v>
      </c>
      <c r="T38" s="445"/>
    </row>
    <row r="39" spans="19:20" x14ac:dyDescent="0.2">
      <c r="S39" s="348" t="s">
        <v>4997</v>
      </c>
      <c r="T39" s="445"/>
    </row>
    <row r="40" spans="19:20" x14ac:dyDescent="0.2">
      <c r="S40" s="348" t="s">
        <v>4998</v>
      </c>
      <c r="T40" s="445"/>
    </row>
    <row r="41" spans="19:20" x14ac:dyDescent="0.2">
      <c r="S41" s="348" t="s">
        <v>5220</v>
      </c>
      <c r="T41" s="445"/>
    </row>
    <row r="42" spans="19:20" x14ac:dyDescent="0.2">
      <c r="S42" s="348" t="s">
        <v>5221</v>
      </c>
      <c r="T42" s="445"/>
    </row>
    <row r="43" spans="19:20" x14ac:dyDescent="0.2">
      <c r="S43" s="348" t="s">
        <v>5222</v>
      </c>
      <c r="T43" s="445"/>
    </row>
    <row r="44" spans="19:20" x14ac:dyDescent="0.2">
      <c r="S44" s="348" t="s">
        <v>5223</v>
      </c>
      <c r="T44" s="445"/>
    </row>
    <row r="45" spans="19:20" x14ac:dyDescent="0.2">
      <c r="S45" s="348" t="s">
        <v>5224</v>
      </c>
      <c r="T45" s="445"/>
    </row>
    <row r="46" spans="19:20" x14ac:dyDescent="0.2">
      <c r="S46" s="348" t="s">
        <v>5225</v>
      </c>
      <c r="T46" s="445"/>
    </row>
    <row r="47" spans="19:20" x14ac:dyDescent="0.2">
      <c r="S47" s="348" t="s">
        <v>5226</v>
      </c>
      <c r="T47" s="445"/>
    </row>
    <row r="48" spans="19:20" x14ac:dyDescent="0.2">
      <c r="S48" s="348" t="s">
        <v>5227</v>
      </c>
      <c r="T48" s="445"/>
    </row>
    <row r="49" spans="19:20" x14ac:dyDescent="0.2">
      <c r="S49" s="348" t="s">
        <v>5228</v>
      </c>
      <c r="T49" s="445"/>
    </row>
    <row r="50" spans="19:20" x14ac:dyDescent="0.2">
      <c r="S50" s="348" t="s">
        <v>5229</v>
      </c>
      <c r="T50" s="445"/>
    </row>
    <row r="51" spans="19:20" x14ac:dyDescent="0.2">
      <c r="S51" s="348" t="s">
        <v>5230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4088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4274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19-sep-2017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4549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3493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1" t="e">
        <f>IF(_Neo_AfsprD_WondkweekTekst=0,"",_Neo_AfsprD_WondkweekTekst)</f>
        <v>#NAME?</v>
      </c>
      <c r="I31" s="916"/>
    </row>
    <row r="32" spans="3:15" ht="18" customHeight="1" x14ac:dyDescent="0.2">
      <c r="C32" s="540"/>
      <c r="H32" s="916"/>
      <c r="I32" s="916"/>
    </row>
    <row r="33" spans="3:14" ht="18" customHeight="1" x14ac:dyDescent="0.2">
      <c r="H33" s="916"/>
      <c r="I33" s="916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19-sep-2017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4550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4551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3493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7" t="str">
        <f>IF(_Neo_Lab_Opm=0,"",_Neo_Lab_Opm)</f>
        <v/>
      </c>
      <c r="D41" s="918"/>
      <c r="E41" s="918"/>
      <c r="F41" s="918"/>
      <c r="G41" s="918"/>
      <c r="H41" s="918"/>
      <c r="I41" s="918"/>
      <c r="J41" s="918"/>
      <c r="K41" s="918"/>
      <c r="L41" s="918"/>
      <c r="M41" s="918"/>
      <c r="N41" s="918"/>
      <c r="O41" s="918"/>
      <c r="P41" s="918"/>
      <c r="Q41" s="918"/>
      <c r="R41" s="918"/>
      <c r="S41" s="918"/>
      <c r="T41" s="918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9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20"/>
      <c r="F21" s="920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22">
        <f ca="1">TODAY()</f>
        <v>42997</v>
      </c>
      <c r="N1" s="923"/>
      <c r="O1" s="640"/>
      <c r="P1" s="640"/>
      <c r="Q1" s="111">
        <f ca="1">NOW()</f>
        <v>42997.448927893522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24">
        <f>__0_PatNum</f>
        <v>0</v>
      </c>
      <c r="N3" s="924"/>
      <c r="O3" s="641"/>
      <c r="P3" s="641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25" t="str">
        <f ca="1">Txt_Pat_GeboorteDat</f>
        <v/>
      </c>
      <c r="N5" s="925"/>
      <c r="O5" s="925"/>
      <c r="P5" s="925"/>
      <c r="Q5" s="925"/>
      <c r="R5" s="925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26" t="str">
        <f ca="1">Txt_Pat_AfspraakDat</f>
        <v>19-sep-2017</v>
      </c>
      <c r="E9" s="926"/>
      <c r="F9" s="923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7" t="str">
        <f ca="1">Txt_Pat_Leeftijd</f>
        <v/>
      </c>
      <c r="J10" s="923"/>
      <c r="K10" s="923"/>
      <c r="L10" s="923"/>
      <c r="M10" s="923"/>
      <c r="N10" s="923"/>
      <c r="O10" s="923"/>
      <c r="P10" s="923"/>
      <c r="Q10" s="928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1" t="s">
        <v>89</v>
      </c>
      <c r="C69" s="921"/>
      <c r="D69" s="921"/>
      <c r="E69" s="921"/>
      <c r="F69" s="921"/>
      <c r="G69" s="921"/>
      <c r="H69" s="921"/>
      <c r="I69" s="921"/>
      <c r="J69" s="921"/>
      <c r="K69" s="921"/>
      <c r="L69" s="921"/>
      <c r="M69" s="921"/>
      <c r="N69" s="921"/>
      <c r="O69" s="921"/>
      <c r="P69" s="921"/>
      <c r="Q69" s="921"/>
      <c r="R69" s="921"/>
      <c r="S69" s="921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1" t="s">
        <v>57</v>
      </c>
      <c r="C80" s="921"/>
      <c r="D80" s="921"/>
      <c r="E80" s="921"/>
      <c r="F80" s="921"/>
      <c r="G80" s="921"/>
      <c r="H80" s="921"/>
      <c r="I80" s="921"/>
      <c r="J80" s="921"/>
      <c r="K80" s="921"/>
      <c r="L80" s="921"/>
      <c r="M80" s="921"/>
      <c r="N80" s="921"/>
      <c r="O80" s="921"/>
      <c r="P80" s="921"/>
      <c r="Q80" s="921"/>
      <c r="R80" s="921"/>
      <c r="S80" s="921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5182</v>
      </c>
      <c r="B1" s="115" t="s">
        <v>4993</v>
      </c>
      <c r="H1" s="935" t="s">
        <v>408</v>
      </c>
      <c r="I1" s="935"/>
      <c r="J1" s="939" t="str">
        <f ca="1">DateToString(TODAY())</f>
        <v>19-sep-2017</v>
      </c>
      <c r="K1" s="939"/>
      <c r="L1" s="939"/>
      <c r="M1" s="935" t="s">
        <v>399</v>
      </c>
      <c r="N1" s="935"/>
      <c r="O1" s="935">
        <f>__1_Bed</f>
        <v>0</v>
      </c>
      <c r="P1" s="935"/>
    </row>
    <row r="2" spans="1:17" x14ac:dyDescent="0.2">
      <c r="B2" s="936" t="s">
        <v>407</v>
      </c>
      <c r="C2" s="936"/>
      <c r="D2" s="940" t="str">
        <f>__3_VoorNaam&amp;" "&amp;__2_AchterNaam</f>
        <v xml:space="preserve"> </v>
      </c>
      <c r="E2" s="940"/>
      <c r="F2" s="940"/>
      <c r="G2" s="940"/>
      <c r="H2" s="935" t="s">
        <v>411</v>
      </c>
      <c r="I2" s="935"/>
      <c r="J2" s="924" t="s">
        <v>3513</v>
      </c>
      <c r="K2" s="924"/>
      <c r="L2" s="924"/>
      <c r="M2" s="935" t="s">
        <v>409</v>
      </c>
      <c r="N2" s="935"/>
      <c r="O2" s="941">
        <f ca="1">NOW()</f>
        <v>42997.448927893522</v>
      </c>
      <c r="P2" s="941"/>
    </row>
    <row r="3" spans="1:17" x14ac:dyDescent="0.2">
      <c r="B3" s="321" t="s">
        <v>5183</v>
      </c>
      <c r="D3" s="935">
        <f>__0_PatNum</f>
        <v>0</v>
      </c>
      <c r="E3" s="935"/>
      <c r="H3" s="936" t="s">
        <v>410</v>
      </c>
      <c r="I3" s="936"/>
      <c r="J3" s="115">
        <f>(_Pat_Gewicht/10)</f>
        <v>0</v>
      </c>
      <c r="K3" s="321" t="s">
        <v>498</v>
      </c>
      <c r="L3" s="117"/>
      <c r="M3" s="935" t="s">
        <v>426</v>
      </c>
      <c r="N3" s="935"/>
      <c r="O3" s="936"/>
      <c r="P3" s="936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7" t="s">
        <v>4951</v>
      </c>
      <c r="C9" s="937"/>
      <c r="D9" s="937"/>
      <c r="E9" s="937"/>
      <c r="F9" s="937"/>
      <c r="G9" s="937"/>
      <c r="H9" s="937"/>
      <c r="I9" s="937"/>
      <c r="J9" s="938" t="s">
        <v>5184</v>
      </c>
      <c r="K9" s="938"/>
      <c r="L9" s="938"/>
      <c r="M9" s="938" t="s">
        <v>4952</v>
      </c>
      <c r="N9" s="938"/>
      <c r="O9" s="938" t="s">
        <v>4953</v>
      </c>
      <c r="P9" s="938"/>
      <c r="Q9" s="117"/>
    </row>
    <row r="10" spans="1:17" ht="15.75" customHeight="1" x14ac:dyDescent="0.2">
      <c r="A10" s="783"/>
      <c r="B10" s="934" t="str">
        <f>"Product: "&amp;INDEX(Tbl_Neo_BerMedCont,A5,20)</f>
        <v xml:space="preserve">Product: </v>
      </c>
      <c r="C10" s="934"/>
      <c r="D10" s="934"/>
      <c r="E10" s="934"/>
      <c r="F10" s="934"/>
      <c r="G10" s="934"/>
      <c r="H10" s="934"/>
      <c r="I10" s="934"/>
      <c r="J10" s="934"/>
      <c r="K10" s="934"/>
      <c r="L10" s="934"/>
      <c r="M10" s="934"/>
      <c r="N10" s="934"/>
      <c r="O10" s="934"/>
      <c r="P10" s="934"/>
      <c r="Q10" s="117"/>
    </row>
    <row r="11" spans="1:17" ht="15.75" customHeight="1" x14ac:dyDescent="0.2">
      <c r="A11" s="783"/>
      <c r="B11" s="934"/>
      <c r="C11" s="934"/>
      <c r="D11" s="934"/>
      <c r="E11" s="934"/>
      <c r="F11" s="934"/>
      <c r="G11" s="934"/>
      <c r="H11" s="934"/>
      <c r="I11" s="934"/>
      <c r="J11" s="934"/>
      <c r="K11" s="934"/>
      <c r="L11" s="934"/>
      <c r="M11" s="934"/>
      <c r="N11" s="934"/>
      <c r="O11" s="934"/>
      <c r="P11" s="934"/>
      <c r="Q11" s="117"/>
    </row>
    <row r="12" spans="1:17" ht="9.9499999999999993" customHeight="1" x14ac:dyDescent="0.2">
      <c r="A12" s="783"/>
      <c r="B12" s="934"/>
      <c r="C12" s="934"/>
      <c r="D12" s="934"/>
      <c r="E12" s="934"/>
      <c r="F12" s="934"/>
      <c r="G12" s="934"/>
      <c r="H12" s="934"/>
      <c r="I12" s="934"/>
      <c r="J12" s="934"/>
      <c r="K12" s="934"/>
      <c r="L12" s="934"/>
      <c r="M12" s="934"/>
      <c r="N12" s="934"/>
      <c r="O12" s="934"/>
      <c r="P12" s="934"/>
      <c r="Q12" s="117"/>
    </row>
    <row r="13" spans="1:17" ht="15.75" customHeight="1" x14ac:dyDescent="0.2">
      <c r="A13" s="783"/>
      <c r="B13" s="934" t="str">
        <f>"Oplosmiddel: "&amp;IFERROR( VLOOKUP(J6,Tbl_Glob_ParEnt,14,FALSE),"")</f>
        <v xml:space="preserve">Oplosmiddel: </v>
      </c>
      <c r="C13" s="934"/>
      <c r="D13" s="934"/>
      <c r="E13" s="934"/>
      <c r="F13" s="934"/>
      <c r="G13" s="934"/>
      <c r="H13" s="934"/>
      <c r="I13" s="934"/>
      <c r="J13" s="934"/>
      <c r="K13" s="934"/>
      <c r="L13" s="934"/>
      <c r="M13" s="934"/>
      <c r="N13" s="934"/>
      <c r="O13" s="934"/>
      <c r="P13" s="934"/>
      <c r="Q13" s="117"/>
    </row>
    <row r="14" spans="1:17" ht="15.75" customHeight="1" x14ac:dyDescent="0.2">
      <c r="A14" s="783"/>
      <c r="B14" s="934"/>
      <c r="C14" s="934"/>
      <c r="D14" s="934"/>
      <c r="E14" s="934"/>
      <c r="F14" s="934"/>
      <c r="G14" s="934"/>
      <c r="H14" s="934"/>
      <c r="I14" s="934"/>
      <c r="J14" s="934"/>
      <c r="K14" s="934"/>
      <c r="L14" s="934"/>
      <c r="M14" s="934"/>
      <c r="N14" s="934"/>
      <c r="O14" s="934"/>
      <c r="P14" s="934"/>
      <c r="Q14" s="117"/>
    </row>
    <row r="15" spans="1:17" ht="15.75" customHeight="1" x14ac:dyDescent="0.2">
      <c r="A15" s="783"/>
      <c r="B15" s="934"/>
      <c r="C15" s="934"/>
      <c r="D15" s="934"/>
      <c r="E15" s="934"/>
      <c r="F15" s="934"/>
      <c r="G15" s="934"/>
      <c r="H15" s="934"/>
      <c r="I15" s="934"/>
      <c r="J15" s="934"/>
      <c r="K15" s="934"/>
      <c r="L15" s="934"/>
      <c r="M15" s="934"/>
      <c r="N15" s="934"/>
      <c r="O15" s="934"/>
      <c r="P15" s="934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4928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3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3"/>
      <c r="D19" s="933"/>
      <c r="E19" s="933"/>
      <c r="F19" s="933"/>
      <c r="G19" s="933"/>
      <c r="H19" s="933"/>
      <c r="I19" s="933"/>
      <c r="J19" s="933"/>
      <c r="K19" s="933"/>
      <c r="L19" s="933"/>
      <c r="M19" s="933"/>
      <c r="N19" s="933"/>
      <c r="O19" s="933"/>
      <c r="P19" s="933"/>
      <c r="Q19" s="117"/>
    </row>
    <row r="20" spans="1:17" ht="9.9499999999999993" customHeight="1" x14ac:dyDescent="0.2">
      <c r="A20" s="783"/>
      <c r="B20" s="933"/>
      <c r="C20" s="933"/>
      <c r="D20" s="933"/>
      <c r="E20" s="933"/>
      <c r="F20" s="933"/>
      <c r="G20" s="933"/>
      <c r="H20" s="933"/>
      <c r="I20" s="933"/>
      <c r="J20" s="933"/>
      <c r="K20" s="933"/>
      <c r="L20" s="933"/>
      <c r="M20" s="933"/>
      <c r="N20" s="933"/>
      <c r="O20" s="933"/>
      <c r="P20" s="933"/>
      <c r="Q20" s="117"/>
    </row>
    <row r="21" spans="1:17" ht="14.25" customHeight="1" x14ac:dyDescent="0.2">
      <c r="A21" s="783"/>
      <c r="B21" s="933"/>
      <c r="C21" s="933"/>
      <c r="D21" s="933"/>
      <c r="E21" s="933"/>
      <c r="F21" s="933"/>
      <c r="G21" s="933"/>
      <c r="H21" s="933"/>
      <c r="I21" s="933"/>
      <c r="J21" s="933"/>
      <c r="K21" s="933"/>
      <c r="L21" s="933"/>
      <c r="M21" s="933"/>
      <c r="N21" s="933"/>
      <c r="O21" s="933"/>
      <c r="P21" s="933"/>
      <c r="Q21" s="117"/>
    </row>
    <row r="22" spans="1:17" ht="14.25" customHeight="1" x14ac:dyDescent="0.2">
      <c r="A22" s="783"/>
      <c r="B22" s="933"/>
      <c r="C22" s="933"/>
      <c r="D22" s="933"/>
      <c r="E22" s="933"/>
      <c r="F22" s="933"/>
      <c r="G22" s="933"/>
      <c r="H22" s="933"/>
      <c r="I22" s="933"/>
      <c r="J22" s="933"/>
      <c r="K22" s="933"/>
      <c r="L22" s="933"/>
      <c r="M22" s="933"/>
      <c r="N22" s="933"/>
      <c r="O22" s="933"/>
      <c r="P22" s="933"/>
      <c r="Q22" s="117"/>
    </row>
    <row r="23" spans="1:17" ht="14.25" customHeight="1" x14ac:dyDescent="0.2">
      <c r="A23" s="783"/>
      <c r="B23" s="933"/>
      <c r="C23" s="933"/>
      <c r="D23" s="933"/>
      <c r="E23" s="933"/>
      <c r="F23" s="933"/>
      <c r="G23" s="933"/>
      <c r="H23" s="933"/>
      <c r="I23" s="933"/>
      <c r="J23" s="933"/>
      <c r="K23" s="933"/>
      <c r="L23" s="933"/>
      <c r="M23" s="933"/>
      <c r="N23" s="933"/>
      <c r="O23" s="933"/>
      <c r="P23" s="933"/>
      <c r="Q23" s="117"/>
    </row>
    <row r="24" spans="1:17" ht="9.9499999999999993" customHeight="1" x14ac:dyDescent="0.2">
      <c r="A24" s="783"/>
      <c r="B24" s="933"/>
      <c r="C24" s="933"/>
      <c r="D24" s="933"/>
      <c r="E24" s="933"/>
      <c r="F24" s="933"/>
      <c r="G24" s="933"/>
      <c r="H24" s="933"/>
      <c r="I24" s="933"/>
      <c r="J24" s="933"/>
      <c r="K24" s="933"/>
      <c r="L24" s="933"/>
      <c r="M24" s="933"/>
      <c r="N24" s="933"/>
      <c r="O24" s="933"/>
      <c r="P24" s="933"/>
      <c r="Q24" s="117"/>
    </row>
    <row r="25" spans="1:17" ht="14.25" customHeight="1" x14ac:dyDescent="0.2">
      <c r="A25" s="783"/>
      <c r="B25" s="933"/>
      <c r="C25" s="933"/>
      <c r="D25" s="933"/>
      <c r="E25" s="933"/>
      <c r="F25" s="933"/>
      <c r="G25" s="933"/>
      <c r="H25" s="933"/>
      <c r="I25" s="933"/>
      <c r="J25" s="933"/>
      <c r="K25" s="933"/>
      <c r="L25" s="933"/>
      <c r="M25" s="933"/>
      <c r="N25" s="933"/>
      <c r="O25" s="933"/>
      <c r="P25" s="933"/>
      <c r="Q25" s="117"/>
    </row>
    <row r="26" spans="1:17" ht="14.25" customHeight="1" x14ac:dyDescent="0.2">
      <c r="A26" s="783"/>
      <c r="B26" s="933"/>
      <c r="C26" s="933"/>
      <c r="D26" s="933"/>
      <c r="E26" s="933"/>
      <c r="F26" s="933"/>
      <c r="G26" s="933"/>
      <c r="H26" s="933"/>
      <c r="I26" s="933"/>
      <c r="J26" s="933"/>
      <c r="K26" s="933"/>
      <c r="L26" s="933"/>
      <c r="M26" s="933"/>
      <c r="N26" s="933"/>
      <c r="O26" s="933"/>
      <c r="P26" s="933"/>
      <c r="Q26" s="117"/>
    </row>
    <row r="27" spans="1:17" ht="14.25" customHeight="1" x14ac:dyDescent="0.2">
      <c r="A27" s="783"/>
      <c r="B27" s="933"/>
      <c r="C27" s="933"/>
      <c r="D27" s="933"/>
      <c r="E27" s="933"/>
      <c r="F27" s="933"/>
      <c r="G27" s="933"/>
      <c r="H27" s="933"/>
      <c r="I27" s="933"/>
      <c r="J27" s="933"/>
      <c r="K27" s="933"/>
      <c r="L27" s="933"/>
      <c r="M27" s="933"/>
      <c r="N27" s="933"/>
      <c r="O27" s="933"/>
      <c r="P27" s="933"/>
      <c r="Q27" s="117"/>
    </row>
    <row r="28" spans="1:17" ht="9.9499999999999993" customHeight="1" x14ac:dyDescent="0.2">
      <c r="A28" s="783"/>
      <c r="B28" s="933"/>
      <c r="C28" s="933"/>
      <c r="D28" s="933"/>
      <c r="E28" s="933"/>
      <c r="F28" s="933"/>
      <c r="G28" s="933"/>
      <c r="H28" s="933"/>
      <c r="I28" s="933"/>
      <c r="J28" s="933"/>
      <c r="K28" s="933"/>
      <c r="L28" s="933"/>
      <c r="M28" s="933"/>
      <c r="N28" s="933"/>
      <c r="O28" s="933"/>
      <c r="P28" s="933"/>
      <c r="Q28" s="117"/>
    </row>
    <row r="29" spans="1:17" ht="14.25" customHeight="1" x14ac:dyDescent="0.2">
      <c r="A29" s="783"/>
      <c r="B29" s="933"/>
      <c r="C29" s="933"/>
      <c r="D29" s="933"/>
      <c r="E29" s="933"/>
      <c r="F29" s="933"/>
      <c r="G29" s="933"/>
      <c r="H29" s="933"/>
      <c r="I29" s="933"/>
      <c r="J29" s="933"/>
      <c r="K29" s="933"/>
      <c r="L29" s="933"/>
      <c r="M29" s="933"/>
      <c r="N29" s="933"/>
      <c r="O29" s="933"/>
      <c r="P29" s="933"/>
      <c r="Q29" s="117"/>
    </row>
    <row r="30" spans="1:17" ht="14.25" customHeight="1" x14ac:dyDescent="0.2">
      <c r="A30" s="783"/>
      <c r="B30" s="933"/>
      <c r="C30" s="933"/>
      <c r="D30" s="933"/>
      <c r="E30" s="933"/>
      <c r="F30" s="933"/>
      <c r="G30" s="933"/>
      <c r="H30" s="933"/>
      <c r="I30" s="933"/>
      <c r="J30" s="933"/>
      <c r="K30" s="933"/>
      <c r="L30" s="933"/>
      <c r="M30" s="933"/>
      <c r="N30" s="933"/>
      <c r="O30" s="933"/>
      <c r="P30" s="933"/>
      <c r="Q30" s="117"/>
    </row>
    <row r="31" spans="1:17" ht="14.25" customHeight="1" x14ac:dyDescent="0.2">
      <c r="A31" s="783"/>
      <c r="B31" s="933"/>
      <c r="C31" s="933"/>
      <c r="D31" s="933"/>
      <c r="E31" s="933"/>
      <c r="F31" s="933"/>
      <c r="G31" s="933"/>
      <c r="H31" s="933"/>
      <c r="I31" s="933"/>
      <c r="J31" s="933"/>
      <c r="K31" s="933"/>
      <c r="L31" s="933"/>
      <c r="M31" s="933"/>
      <c r="N31" s="933"/>
      <c r="O31" s="933"/>
      <c r="P31" s="933"/>
      <c r="Q31" s="117"/>
    </row>
    <row r="32" spans="1:17" ht="9.9499999999999993" customHeight="1" x14ac:dyDescent="0.2">
      <c r="A32" s="783"/>
      <c r="B32" s="933"/>
      <c r="C32" s="933"/>
      <c r="D32" s="933"/>
      <c r="E32" s="933"/>
      <c r="F32" s="933"/>
      <c r="G32" s="933"/>
      <c r="H32" s="933"/>
      <c r="I32" s="933"/>
      <c r="J32" s="933"/>
      <c r="K32" s="933"/>
      <c r="L32" s="933"/>
      <c r="M32" s="933"/>
      <c r="N32" s="933"/>
      <c r="O32" s="933"/>
      <c r="P32" s="933"/>
      <c r="Q32" s="117"/>
    </row>
    <row r="33" spans="1:17" ht="14.25" customHeight="1" x14ac:dyDescent="0.2">
      <c r="A33" s="783"/>
      <c r="B33" s="933"/>
      <c r="C33" s="933"/>
      <c r="D33" s="933"/>
      <c r="E33" s="933"/>
      <c r="F33" s="933"/>
      <c r="G33" s="933"/>
      <c r="H33" s="933"/>
      <c r="I33" s="933"/>
      <c r="J33" s="933"/>
      <c r="K33" s="933"/>
      <c r="L33" s="933"/>
      <c r="M33" s="933"/>
      <c r="N33" s="933"/>
      <c r="O33" s="933"/>
      <c r="P33" s="933"/>
      <c r="Q33" s="117"/>
    </row>
    <row r="34" spans="1:17" ht="14.25" customHeight="1" x14ac:dyDescent="0.2">
      <c r="A34" s="783"/>
      <c r="B34" s="933"/>
      <c r="C34" s="933"/>
      <c r="D34" s="933"/>
      <c r="E34" s="933"/>
      <c r="F34" s="933"/>
      <c r="G34" s="933"/>
      <c r="H34" s="933"/>
      <c r="I34" s="933"/>
      <c r="J34" s="933"/>
      <c r="K34" s="933"/>
      <c r="L34" s="933"/>
      <c r="M34" s="933"/>
      <c r="N34" s="933"/>
      <c r="O34" s="933"/>
      <c r="P34" s="933"/>
      <c r="Q34" s="117"/>
    </row>
    <row r="35" spans="1:17" ht="14.25" customHeight="1" x14ac:dyDescent="0.2">
      <c r="A35" s="783"/>
      <c r="B35" s="933"/>
      <c r="C35" s="933"/>
      <c r="D35" s="933"/>
      <c r="E35" s="933"/>
      <c r="F35" s="933"/>
      <c r="G35" s="933"/>
      <c r="H35" s="933"/>
      <c r="I35" s="933"/>
      <c r="J35" s="933"/>
      <c r="K35" s="933"/>
      <c r="L35" s="933"/>
      <c r="M35" s="933"/>
      <c r="N35" s="933"/>
      <c r="O35" s="933"/>
      <c r="P35" s="933"/>
      <c r="Q35" s="117"/>
    </row>
    <row r="36" spans="1:17" ht="9.9499999999999993" customHeight="1" x14ac:dyDescent="0.2">
      <c r="A36" s="783"/>
      <c r="B36" s="933"/>
      <c r="C36" s="933"/>
      <c r="D36" s="933"/>
      <c r="E36" s="933"/>
      <c r="F36" s="933"/>
      <c r="G36" s="933"/>
      <c r="H36" s="933"/>
      <c r="I36" s="933"/>
      <c r="J36" s="933"/>
      <c r="K36" s="933"/>
      <c r="L36" s="933"/>
      <c r="M36" s="933"/>
      <c r="N36" s="933"/>
      <c r="O36" s="933"/>
      <c r="P36" s="933"/>
      <c r="Q36" s="117"/>
    </row>
    <row r="37" spans="1:17" ht="14.25" customHeight="1" x14ac:dyDescent="0.2">
      <c r="A37" s="783"/>
      <c r="B37" s="933"/>
      <c r="C37" s="933"/>
      <c r="D37" s="933"/>
      <c r="E37" s="933"/>
      <c r="F37" s="933"/>
      <c r="G37" s="933"/>
      <c r="H37" s="933"/>
      <c r="I37" s="933"/>
      <c r="J37" s="933"/>
      <c r="K37" s="933"/>
      <c r="L37" s="933"/>
      <c r="M37" s="933"/>
      <c r="N37" s="933"/>
      <c r="O37" s="933"/>
      <c r="P37" s="933"/>
      <c r="Q37" s="117"/>
    </row>
    <row r="38" spans="1:17" ht="14.25" customHeight="1" x14ac:dyDescent="0.2">
      <c r="A38" s="783"/>
      <c r="B38" s="933"/>
      <c r="C38" s="933"/>
      <c r="D38" s="933"/>
      <c r="E38" s="933"/>
      <c r="F38" s="933"/>
      <c r="G38" s="933"/>
      <c r="H38" s="933"/>
      <c r="I38" s="933"/>
      <c r="J38" s="933"/>
      <c r="K38" s="933"/>
      <c r="L38" s="933"/>
      <c r="M38" s="933"/>
      <c r="N38" s="933"/>
      <c r="O38" s="933"/>
      <c r="P38" s="933"/>
      <c r="Q38" s="117"/>
    </row>
    <row r="39" spans="1:17" ht="14.25" customHeight="1" x14ac:dyDescent="0.2">
      <c r="A39" s="783"/>
      <c r="B39" s="933"/>
      <c r="C39" s="933"/>
      <c r="D39" s="933"/>
      <c r="E39" s="933"/>
      <c r="F39" s="933"/>
      <c r="G39" s="933"/>
      <c r="H39" s="933"/>
      <c r="I39" s="933"/>
      <c r="J39" s="933"/>
      <c r="K39" s="933"/>
      <c r="L39" s="933"/>
      <c r="M39" s="933"/>
      <c r="N39" s="933"/>
      <c r="O39" s="933"/>
      <c r="P39" s="933"/>
      <c r="Q39" s="117"/>
    </row>
    <row r="40" spans="1:17" ht="9.75" customHeight="1" x14ac:dyDescent="0.2">
      <c r="A40" s="783"/>
      <c r="B40" s="933"/>
      <c r="C40" s="933"/>
      <c r="D40" s="933"/>
      <c r="E40" s="933"/>
      <c r="F40" s="933"/>
      <c r="G40" s="933"/>
      <c r="H40" s="933"/>
      <c r="I40" s="933"/>
      <c r="J40" s="933"/>
      <c r="K40" s="933"/>
      <c r="L40" s="933"/>
      <c r="M40" s="933"/>
      <c r="N40" s="933"/>
      <c r="O40" s="933"/>
      <c r="P40" s="933"/>
      <c r="Q40" s="117"/>
    </row>
    <row r="41" spans="1:17" ht="14.25" customHeight="1" x14ac:dyDescent="0.2">
      <c r="A41" s="783"/>
      <c r="B41" s="933"/>
      <c r="C41" s="933"/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117"/>
    </row>
    <row r="42" spans="1:17" ht="14.25" customHeight="1" x14ac:dyDescent="0.2">
      <c r="A42" s="783"/>
      <c r="B42" s="933"/>
      <c r="C42" s="933"/>
      <c r="D42" s="933"/>
      <c r="E42" s="933"/>
      <c r="F42" s="933"/>
      <c r="G42" s="933"/>
      <c r="H42" s="933"/>
      <c r="I42" s="933"/>
      <c r="J42" s="933"/>
      <c r="K42" s="933"/>
      <c r="L42" s="933"/>
      <c r="M42" s="933"/>
      <c r="N42" s="933"/>
      <c r="O42" s="933"/>
      <c r="P42" s="933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2">
        <f ca="1">IF(E44&lt;=$A$17,TODAY(),"")</f>
        <v>42997</v>
      </c>
      <c r="B45" s="932"/>
      <c r="C45" s="930">
        <f>IF(E44&lt;=$A$17,$O$1,"")</f>
        <v>0</v>
      </c>
      <c r="D45" s="930"/>
      <c r="F45" s="125"/>
      <c r="G45" s="932">
        <f ca="1">IF(K44&lt;=$A$17,TODAY(),"")</f>
        <v>42997</v>
      </c>
      <c r="H45" s="932"/>
      <c r="I45" s="930">
        <f>IF(K44&lt;=$A$17,$O$1,"")</f>
        <v>0</v>
      </c>
      <c r="J45" s="930"/>
      <c r="L45" s="125"/>
      <c r="M45" s="932">
        <f ca="1">IF(Q44&lt;=$A$17,TODAY(),"")</f>
        <v>42997</v>
      </c>
      <c r="N45" s="932"/>
      <c r="O45" s="930">
        <f>IF(Q44&lt;=$A$17,$O$1,"")</f>
        <v>0</v>
      </c>
      <c r="P45" s="930"/>
    </row>
    <row r="46" spans="1:17" ht="12" customHeight="1" x14ac:dyDescent="0.2">
      <c r="A46" s="924" t="str">
        <f>IF(E44&lt;=$A$17,$D$2,"")</f>
        <v xml:space="preserve"> </v>
      </c>
      <c r="B46" s="924"/>
      <c r="C46" s="924"/>
      <c r="D46" s="924"/>
      <c r="E46" s="924"/>
      <c r="F46" s="125"/>
      <c r="G46" s="924" t="str">
        <f>IF(K44&lt;=$A$17,$D$2,"")</f>
        <v xml:space="preserve"> </v>
      </c>
      <c r="H46" s="924"/>
      <c r="I46" s="924"/>
      <c r="J46" s="924"/>
      <c r="K46" s="924"/>
      <c r="L46" s="125"/>
      <c r="M46" s="924" t="str">
        <f>IF(Q44&lt;=$A$17,$D$2,"")</f>
        <v xml:space="preserve"> </v>
      </c>
      <c r="N46" s="924"/>
      <c r="O46" s="924"/>
      <c r="P46" s="924"/>
      <c r="Q46" s="924"/>
    </row>
    <row r="47" spans="1:17" ht="12" customHeight="1" x14ac:dyDescent="0.2">
      <c r="A47" s="930" t="str">
        <f>IF(E44&lt;=$A$17,$D$5&amp;" "&amp;IF(Var_Neo_InfB_Cont_DubbeleHoev,$G$5/2,$G$5)&amp;" "&amp;$H$5,"")</f>
        <v xml:space="preserve"> 0 </v>
      </c>
      <c r="B47" s="930"/>
      <c r="C47" s="930"/>
      <c r="D47" s="930"/>
      <c r="E47" s="930"/>
      <c r="F47" s="125"/>
      <c r="G47" s="930" t="str">
        <f>IF(K44&lt;=$A$17,$D$5&amp;" "&amp;IF(Var_Neo_InfB_Cont_DubbeleHoev,$G$5/2,$G$5)&amp;" "&amp;$H$5,"")</f>
        <v xml:space="preserve"> 0 </v>
      </c>
      <c r="H47" s="930"/>
      <c r="I47" s="930"/>
      <c r="J47" s="930"/>
      <c r="K47" s="930"/>
      <c r="L47" s="125"/>
      <c r="M47" s="930" t="str">
        <f>IF(Q44&lt;=$A$17,$D$5&amp;" "&amp;IF(Var_Neo_InfB_Cont_DubbeleHoev,$G$5/2,$G$5)&amp;" "&amp;$H$5,"")</f>
        <v xml:space="preserve"> 0 </v>
      </c>
      <c r="N47" s="930"/>
      <c r="O47" s="930"/>
      <c r="P47" s="930"/>
      <c r="Q47" s="930"/>
    </row>
    <row r="48" spans="1:17" ht="12" customHeight="1" x14ac:dyDescent="0.2">
      <c r="A48" s="930" t="e">
        <f>IF(E44&lt;=$A$17,$I$6&amp;" "&amp;IF(Var_Neo_InfB_Cont_DubbeleHoev,($N$7+$O$7/10)/2,$N$7+$O$7/10)&amp;" ml "&amp;$J$6&amp;" "&amp;$K$6,"")</f>
        <v>#VALUE!</v>
      </c>
      <c r="B48" s="930"/>
      <c r="C48" s="930"/>
      <c r="D48" s="931" t="str">
        <f>IF(E44&lt;=$A$17,"(12 ml extra)","")</f>
        <v>(12 ml extra)</v>
      </c>
      <c r="E48" s="931"/>
      <c r="F48" s="125"/>
      <c r="G48" s="930" t="e">
        <f>IF(K44&lt;=$A$17,$I$6&amp;" "&amp;IF(Var_Neo_InfB_Cont_DubbeleHoev,($N$7+$O$7/10)/2,$N$7+$O$7/10)&amp;" ml "&amp;$J$6&amp;" "&amp;$K$6,"")</f>
        <v>#VALUE!</v>
      </c>
      <c r="H48" s="930"/>
      <c r="I48" s="930"/>
      <c r="J48" s="931" t="str">
        <f>IF(K44&lt;=$A$17,"(12 ml extra)","")</f>
        <v>(12 ml extra)</v>
      </c>
      <c r="K48" s="931"/>
      <c r="L48" s="125"/>
      <c r="M48" s="930" t="e">
        <f>IF(Q44&lt;=$A$17,$I$6&amp;" "&amp;IF(Var_Neo_InfB_Cont_DubbeleHoev,($N$7+$O$7/10)/2,$N$7+$O$7/10)&amp;" ml "&amp;$J$6&amp;" "&amp;$K$6,"")</f>
        <v>#VALUE!</v>
      </c>
      <c r="N48" s="930"/>
      <c r="O48" s="930"/>
      <c r="P48" s="931" t="str">
        <f>IF(Q44&lt;=$A$17,"(12 ml extra)","")</f>
        <v>(12 ml extra)</v>
      </c>
      <c r="Q48" s="931"/>
    </row>
    <row r="49" spans="1:17" ht="12" customHeight="1" x14ac:dyDescent="0.2">
      <c r="A49" s="930" t="e">
        <f>IF(E44&lt;=$A$17,$D$6,"")</f>
        <v>#VALUE!</v>
      </c>
      <c r="B49" s="930"/>
      <c r="C49" s="931" t="str">
        <f>IF(E44&lt;=$A$17,$F$6,"")</f>
        <v xml:space="preserve">0 </v>
      </c>
      <c r="D49" s="931"/>
      <c r="E49" s="931"/>
      <c r="F49" s="125"/>
      <c r="G49" s="930" t="e">
        <f>IF(K44&lt;=$A$17,$D$6,"")</f>
        <v>#VALUE!</v>
      </c>
      <c r="H49" s="930"/>
      <c r="I49" s="931" t="str">
        <f>IF(K44&lt;=$A$17,$F$6,"")</f>
        <v xml:space="preserve">0 </v>
      </c>
      <c r="J49" s="931"/>
      <c r="K49" s="931"/>
      <c r="L49" s="125"/>
      <c r="M49" s="930" t="e">
        <f>IF(Q44&lt;=$A$17,$D$6,"")</f>
        <v>#VALUE!</v>
      </c>
      <c r="N49" s="930"/>
      <c r="O49" s="931" t="str">
        <f>IF(Q44&lt;=$A$17,$F$6,"")</f>
        <v xml:space="preserve">0 </v>
      </c>
      <c r="P49" s="931"/>
      <c r="Q49" s="931"/>
    </row>
    <row r="50" spans="1:17" ht="12" customHeight="1" x14ac:dyDescent="0.2">
      <c r="A50" s="125"/>
      <c r="B50" s="125"/>
      <c r="C50" s="125" t="str">
        <f>IF(E44&lt;=$A$17,"Exp:","")</f>
        <v>Exp:</v>
      </c>
      <c r="D50" s="929">
        <f ca="1">IF(E44&lt;=$A$17,TODAY()+1,"")</f>
        <v>42998</v>
      </c>
      <c r="E50" s="929"/>
      <c r="F50" s="125"/>
      <c r="G50" s="125"/>
      <c r="H50" s="125"/>
      <c r="I50" s="125" t="str">
        <f>IF(K44&lt;=$A$17,"Exp:","")</f>
        <v>Exp:</v>
      </c>
      <c r="J50" s="929">
        <f ca="1">IF(K44&lt;=$A$17,TODAY()+1,"")</f>
        <v>42998</v>
      </c>
      <c r="K50" s="929"/>
      <c r="L50" s="785"/>
      <c r="M50" s="125"/>
      <c r="N50" s="125"/>
      <c r="O50" s="125" t="str">
        <f>IF(Q44&lt;=$A$17,"Exp:","")</f>
        <v>Exp:</v>
      </c>
      <c r="P50" s="929">
        <f ca="1">IF(Q44&lt;=$A$17,TODAY()+1,"")</f>
        <v>42998</v>
      </c>
      <c r="Q50" s="929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2">
        <f ca="1">IF(E55&lt;=$A$17,TODAY(),"")</f>
        <v>42997</v>
      </c>
      <c r="B56" s="932"/>
      <c r="C56" s="930">
        <f>IF(E55&lt;=$A$17,$O$1,"")</f>
        <v>0</v>
      </c>
      <c r="D56" s="930"/>
      <c r="F56" s="125"/>
      <c r="G56" s="932">
        <f ca="1">IF(K55&lt;=$A$17,TODAY(),"")</f>
        <v>42997</v>
      </c>
      <c r="H56" s="932"/>
      <c r="I56" s="930">
        <f>IF(K55&lt;=$A$17,$O$1,"")</f>
        <v>0</v>
      </c>
      <c r="J56" s="930"/>
      <c r="L56" s="125"/>
      <c r="M56" s="932">
        <f ca="1">IF(Q55&lt;=$A$17,TODAY(),"")</f>
        <v>42997</v>
      </c>
      <c r="N56" s="932"/>
      <c r="O56" s="930">
        <f>IF(Q55&lt;=$A$17,$O$1,"")</f>
        <v>0</v>
      </c>
      <c r="P56" s="930"/>
    </row>
    <row r="57" spans="1:17" ht="12" customHeight="1" x14ac:dyDescent="0.2">
      <c r="A57" s="924" t="str">
        <f>IF(E55&lt;=$A$17,$D$2,"")</f>
        <v xml:space="preserve"> </v>
      </c>
      <c r="B57" s="924"/>
      <c r="C57" s="924"/>
      <c r="D57" s="924"/>
      <c r="E57" s="924"/>
      <c r="F57" s="125"/>
      <c r="G57" s="924" t="str">
        <f>IF(K55&lt;=$A$17,$D$2,"")</f>
        <v xml:space="preserve"> </v>
      </c>
      <c r="H57" s="924"/>
      <c r="I57" s="924"/>
      <c r="J57" s="924"/>
      <c r="K57" s="924"/>
      <c r="L57" s="125"/>
      <c r="M57" s="924" t="str">
        <f>IF(Q55&lt;=$A$17,$D$2,"")</f>
        <v xml:space="preserve"> </v>
      </c>
      <c r="N57" s="924"/>
      <c r="O57" s="924"/>
      <c r="P57" s="924"/>
      <c r="Q57" s="924"/>
    </row>
    <row r="58" spans="1:17" ht="12" customHeight="1" x14ac:dyDescent="0.2">
      <c r="A58" s="930" t="str">
        <f>IF(E55&lt;=$A$17,$D$5&amp;" "&amp;IF(Var_Neo_InfB_Cont_DubbeleHoev,$G$5/2,$G$5)&amp;" "&amp;$H$5,"")</f>
        <v xml:space="preserve"> 0 </v>
      </c>
      <c r="B58" s="930"/>
      <c r="C58" s="930"/>
      <c r="D58" s="930"/>
      <c r="E58" s="930"/>
      <c r="F58" s="125"/>
      <c r="G58" s="930" t="str">
        <f>IF(K55&lt;=$A$17,$D$5&amp;" "&amp;IF(Var_Neo_InfB_Cont_DubbeleHoev,$G$5/2,$G$5)&amp;" "&amp;$H$5,"")</f>
        <v xml:space="preserve"> 0 </v>
      </c>
      <c r="H58" s="930"/>
      <c r="I58" s="930"/>
      <c r="J58" s="930"/>
      <c r="K58" s="930"/>
      <c r="L58" s="125"/>
      <c r="M58" s="930" t="str">
        <f>IF(Q55&lt;=$A$17,$D$5&amp;" "&amp;IF(Var_Neo_InfB_Cont_DubbeleHoev,$G$5/2,$G$5)&amp;" "&amp;$H$5,"")</f>
        <v xml:space="preserve"> 0 </v>
      </c>
      <c r="N58" s="930"/>
      <c r="O58" s="930"/>
      <c r="P58" s="930"/>
      <c r="Q58" s="930"/>
    </row>
    <row r="59" spans="1:17" ht="12" customHeight="1" x14ac:dyDescent="0.2">
      <c r="A59" s="930" t="e">
        <f>IF(E55&lt;=$A$17,$I$6&amp;" "&amp;IF(Var_Neo_InfB_Cont_DubbeleHoev,($N$7+$O$7/10)/2,$N$7+$O$7/10)&amp;" ml "&amp;$J$6&amp;" "&amp;$K$6,"")</f>
        <v>#VALUE!</v>
      </c>
      <c r="B59" s="930"/>
      <c r="C59" s="930"/>
      <c r="D59" s="931" t="str">
        <f>IF(E55&lt;=$A$17,"(12 ml extra)","")</f>
        <v>(12 ml extra)</v>
      </c>
      <c r="E59" s="931"/>
      <c r="F59" s="125"/>
      <c r="G59" s="930" t="e">
        <f>IF(K55&lt;=$A$17,$I$6&amp;" "&amp;IF(Var_Neo_InfB_Cont_DubbeleHoev,($N$7+$O$7/10)/2,$N$7+$O$7/10)&amp;" ml "&amp;$J$6&amp;" "&amp;$K$6,"")</f>
        <v>#VALUE!</v>
      </c>
      <c r="H59" s="930"/>
      <c r="I59" s="930"/>
      <c r="J59" s="931" t="str">
        <f>IF(K55&lt;=$A$17,"(12 ml extra)","")</f>
        <v>(12 ml extra)</v>
      </c>
      <c r="K59" s="931"/>
      <c r="L59" s="125"/>
      <c r="M59" s="930" t="e">
        <f>IF(Q55&lt;=$A$17,$I$6&amp;" "&amp;IF(Var_Neo_InfB_Cont_DubbeleHoev,($N$7+$O$7/10)/2,$N$7+$O$7/10)&amp;" ml "&amp;$J$6&amp;" "&amp;$K$6,"")</f>
        <v>#VALUE!</v>
      </c>
      <c r="N59" s="930"/>
      <c r="O59" s="930"/>
      <c r="P59" s="931" t="str">
        <f>IF(Q55&lt;=$A$17,"(12 ml extra)","")</f>
        <v>(12 ml extra)</v>
      </c>
      <c r="Q59" s="931"/>
    </row>
    <row r="60" spans="1:17" ht="12" customHeight="1" x14ac:dyDescent="0.2">
      <c r="A60" s="930" t="e">
        <f>IF(E55&lt;=$A$17,$D$6,"")</f>
        <v>#VALUE!</v>
      </c>
      <c r="B60" s="930"/>
      <c r="C60" s="931" t="str">
        <f>IF(E55&lt;=$A$17,$F$6,"")</f>
        <v xml:space="preserve">0 </v>
      </c>
      <c r="D60" s="931"/>
      <c r="E60" s="931"/>
      <c r="F60" s="125"/>
      <c r="G60" s="930" t="e">
        <f>IF(K55&lt;=$A$17,$D$6,"")</f>
        <v>#VALUE!</v>
      </c>
      <c r="H60" s="930"/>
      <c r="I60" s="931" t="str">
        <f>IF(K55&lt;=$A$17,$F$6,"")</f>
        <v xml:space="preserve">0 </v>
      </c>
      <c r="J60" s="931"/>
      <c r="K60" s="931"/>
      <c r="L60" s="125"/>
      <c r="M60" s="930" t="e">
        <f>IF(Q55&lt;=$A$17,$D$6,"")</f>
        <v>#VALUE!</v>
      </c>
      <c r="N60" s="930"/>
      <c r="O60" s="931" t="str">
        <f>IF(Q55&lt;=$A$17,$F$6,"")</f>
        <v xml:space="preserve">0 </v>
      </c>
      <c r="P60" s="931"/>
      <c r="Q60" s="931"/>
    </row>
    <row r="61" spans="1:17" ht="12" customHeight="1" x14ac:dyDescent="0.2">
      <c r="A61" s="930"/>
      <c r="B61" s="930"/>
      <c r="C61" s="125" t="str">
        <f>IF(E55&lt;=$A$17,"Exp:","")</f>
        <v>Exp:</v>
      </c>
      <c r="D61" s="929">
        <f ca="1">IF(E55&lt;=$A$17,TODAY()+1,"")</f>
        <v>42998</v>
      </c>
      <c r="E61" s="929"/>
      <c r="F61" s="785"/>
      <c r="G61" s="930"/>
      <c r="H61" s="930"/>
      <c r="I61" s="125" t="str">
        <f>IF(K55&lt;=$A$17,"Exp:","")</f>
        <v>Exp:</v>
      </c>
      <c r="J61" s="929">
        <f ca="1">IF(K55&lt;=$A$17,TODAY()+1,"")</f>
        <v>42998</v>
      </c>
      <c r="K61" s="929"/>
      <c r="L61" s="785"/>
      <c r="M61" s="930"/>
      <c r="N61" s="930"/>
      <c r="O61" s="125" t="str">
        <f>IF(Q55&lt;=$A$17,"Exp:","")</f>
        <v>Exp:</v>
      </c>
      <c r="P61" s="929">
        <f ca="1">IF(Q55&lt;=$A$17,TODAY()+1,"")</f>
        <v>42998</v>
      </c>
      <c r="Q61" s="929"/>
    </row>
  </sheetData>
  <sheetProtection password="CC20" sheet="1" objects="1" scenarios="1" selectLockedCells="1" selectUnlockedCells="1"/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1" t="str">
        <f ca="1">Txt_Pat_GeboorteDat</f>
        <v/>
      </c>
      <c r="F2" s="851"/>
      <c r="G2" s="267" t="str">
        <f>Txt_Pat_Gewicht</f>
        <v>Gewicht:</v>
      </c>
      <c r="H2" s="590"/>
      <c r="O2" s="590" t="s">
        <v>138</v>
      </c>
      <c r="Q2" s="849"/>
      <c r="R2" s="849"/>
      <c r="S2" s="849"/>
      <c r="T2" s="849"/>
      <c r="U2" s="849"/>
      <c r="V2" s="849"/>
      <c r="X2" s="584" t="s">
        <v>235</v>
      </c>
      <c r="AA2" s="850">
        <f ca="1">TODAY()</f>
        <v>42997</v>
      </c>
      <c r="AB2" s="850"/>
      <c r="AC2" s="850"/>
      <c r="AD2" s="850"/>
      <c r="AE2" s="85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2">
        <f ca="1">TODAY()</f>
        <v>42997</v>
      </c>
      <c r="AB25" s="852"/>
      <c r="AC25" s="852"/>
      <c r="AD25" s="852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2191</vt:i4>
      </vt:variant>
    </vt:vector>
  </HeadingPairs>
  <TitlesOfParts>
    <vt:vector size="2213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2017-09-19T08:50:34Z</dcterms:modified>
</cp:coreProperties>
</file>